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025" yWindow="3900" windowWidth="21600" windowHeight="11385" tabRatio="600" firstSheet="0" activeTab="0" autoFilterDateGrouping="1"/>
  </bookViews>
  <sheets>
    <sheet name="Рецепты" sheetId="1" state="visible" r:id="rId1"/>
    <sheet name="Отзывы" sheetId="2" state="visible" r:id="rId2"/>
  </sheets>
  <definedNames/>
  <calcPr calcId="191029" fullCalcOnLoad="1"/>
</workbook>
</file>

<file path=xl/styles.xml><?xml version="1.0" encoding="utf-8"?>
<styleSheet xmlns="http://schemas.openxmlformats.org/spreadsheetml/2006/main">
  <numFmts count="0"/>
  <fonts count="2">
    <font>
      <name val="Calibri"/>
      <charset val="204"/>
      <family val="2"/>
      <color theme="1"/>
      <sz val="11"/>
      <scheme val="minor"/>
    </font>
    <font>
      <name val="Calibri"/>
      <charset val="204"/>
      <family val="2"/>
      <b val="1"/>
      <color theme="1"/>
      <sz val="11"/>
      <scheme val="minor"/>
    </font>
  </fonts>
  <fills count="6">
    <fill>
      <patternFill/>
    </fill>
    <fill>
      <patternFill patternType="gray125"/>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rgb="FFFF0000"/>
        <bgColor rgb="FFFF0000"/>
      </patternFill>
    </fill>
  </fills>
  <borders count="1">
    <border>
      <left/>
      <right/>
      <top/>
      <bottom/>
      <diagonal/>
    </border>
  </borders>
  <cellStyleXfs count="1">
    <xf numFmtId="0" fontId="0" fillId="0" borderId="0"/>
  </cellStyleXfs>
  <cellXfs count="10">
    <xf numFmtId="0" fontId="0" fillId="0" borderId="0" pivotButton="0" quotePrefix="0" xfId="0"/>
    <xf numFmtId="14" fontId="0" fillId="0" borderId="0" pivotButton="0" quotePrefix="0" xfId="0"/>
    <xf numFmtId="0" fontId="0" fillId="0" borderId="0" applyAlignment="1" pivotButton="0" quotePrefix="0" xfId="0">
      <alignment wrapText="1"/>
    </xf>
    <xf numFmtId="0" fontId="1"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5" borderId="0" pivotButton="0" quotePrefix="0" xfId="0"/>
    <xf numFmtId="14" fontId="0" fillId="5" borderId="0" pivotButton="0" quotePrefix="0" xfId="0"/>
    <xf numFmtId="0" fontId="0" fillId="5" borderId="0" applyAlignment="1" pivotButton="0" quotePrefix="0" xfId="0">
      <alignment wrapText="1"/>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J1501"/>
  <sheetViews>
    <sheetView tabSelected="1" workbookViewId="0">
      <selection activeCell="A1" sqref="A1"/>
    </sheetView>
  </sheetViews>
  <sheetFormatPr baseColWidth="8" defaultRowHeight="15"/>
  <cols>
    <col width="9.28515625" bestFit="1" customWidth="1" min="8" max="8"/>
    <col width="16.28515625" bestFit="1" customWidth="1" min="9" max="9"/>
  </cols>
  <sheetData>
    <row r="1">
      <c r="B1" t="inlineStr">
        <is>
          <t>name</t>
        </is>
      </c>
      <c r="C1" t="inlineStr">
        <is>
          <t>id</t>
        </is>
      </c>
      <c r="D1" t="inlineStr">
        <is>
          <t>minutes</t>
        </is>
      </c>
      <c r="E1" t="inlineStr">
        <is>
          <t>submitted</t>
        </is>
      </c>
      <c r="F1" t="inlineStr">
        <is>
          <t>description</t>
        </is>
      </c>
      <c r="G1" t="inlineStr">
        <is>
          <t>n_ingredients</t>
        </is>
      </c>
      <c r="H1" s="3" t="inlineStr">
        <is>
          <t>Секунды</t>
        </is>
      </c>
      <c r="I1" s="3" t="inlineStr">
        <is>
          <t>seconds_formula</t>
        </is>
      </c>
      <c r="J1" t="inlineStr">
        <is>
          <t>n_reviews</t>
        </is>
      </c>
    </row>
    <row r="2">
      <c r="A2" t="n">
        <v>13422</v>
      </c>
      <c r="B2" t="inlineStr">
        <is>
          <t>healthier ramen</t>
        </is>
      </c>
      <c r="C2" t="n">
        <v>179764</v>
      </c>
      <c r="D2" s="4" t="n">
        <v>15</v>
      </c>
      <c r="E2" s="1" t="n">
        <v>38929</v>
      </c>
      <c r="F2" t="inlineStr">
        <is>
          <t>my 80 year old mother loved instant ramen  for their taste, price, and convenience.  but when her health deteriorated, i researched ways to reduce sodium and cholesterol in the foods she enjoyed.  i was shocked to find that the first 2 ingredients in the seasoning packet of chicken-flavored instant ramen were salt and msg, and that sodium listed in nutrition facts was for only half of the package.  so instead of 800 mg. of sodium, the package actually contained 1,600 mg.! msg research on the national library of medicine database indicated msg links to human diabetes, and there were dozens of msg links to animal obesity and destruction of brain cells as well. the following recipe has no msg in it and contains about 2/3 less sodium than commercial ramen packages.  while the flavor enhancer, msg, and the large amounts of sodium are what make the packages of noodles taste so good, this version is a decent substitute that you won't be afraid to eat or serve people you care about. cook's note:  because 1 tsp. of instant chicken bouillon granules contains 790 mg. of sodium, the nutrition facts listed on this recipe should read at least 395 mg. per serving.</t>
        </is>
      </c>
      <c r="G2" t="n">
        <v>12</v>
      </c>
      <c r="H2" t="n">
        <v>900</v>
      </c>
      <c r="I2">
        <f>D2*60</f>
        <v/>
      </c>
      <c r="J2">
        <f>COUNTIF(Отзывы!$D:$D, 179764)</f>
        <v/>
      </c>
    </row>
    <row r="3">
      <c r="A3" t="n">
        <v>28507</v>
      </c>
      <c r="B3" t="inlineStr">
        <is>
          <t>vanilla cake batter ice cream</t>
        </is>
      </c>
      <c r="C3" t="n">
        <v>125681</v>
      </c>
      <c r="D3" s="4" t="n">
        <v>55</v>
      </c>
      <c r="E3" s="1" t="n">
        <v>38515</v>
      </c>
      <c r="F3" t="inlineStr">
        <is>
          <t>custard with french vanilla cake mix flavour, can swirl fudge sauce or berries into the frozen mixture, before the final freezing in the refrigerator.  this is simple and easy.  if you like it smooth add dry mix at the start, if you like it clumpy add the dry mix 15 minutes after the freezing has begun..the texture is up to you and your family.see my tips at the end of instructions also.</t>
        </is>
      </c>
      <c r="G3" t="n">
        <v>6</v>
      </c>
      <c r="H3" t="n">
        <v>3300</v>
      </c>
      <c r="I3">
        <f>D3*60</f>
        <v/>
      </c>
      <c r="J3">
        <f>COUNTIF(Отзывы!$D:$D, 125681)</f>
        <v/>
      </c>
    </row>
    <row r="4">
      <c r="A4" t="n">
        <v>15873</v>
      </c>
      <c r="B4" t="inlineStr">
        <is>
          <t>lemon cutout cookies</t>
        </is>
      </c>
      <c r="C4" t="n">
        <v>117453</v>
      </c>
      <c r="D4" s="4" t="n">
        <v>20</v>
      </c>
      <c r="E4" s="1" t="n">
        <v>38458</v>
      </c>
      <c r="F4" t="inlineStr">
        <is>
          <t>these cookies have a delicate lemon flavor, but no too lemony or sweet.  prep time does not include chill time for dough.</t>
        </is>
      </c>
      <c r="G4" t="n">
        <v>8</v>
      </c>
      <c r="H4" t="n">
        <v>1200</v>
      </c>
      <c r="I4">
        <f>D4*60</f>
        <v/>
      </c>
      <c r="J4">
        <f>COUNTIF(Отзывы!$D:$D, 117453)</f>
        <v/>
      </c>
    </row>
    <row r="5" ht="409.5" customHeight="1">
      <c r="A5" t="n">
        <v>5840</v>
      </c>
      <c r="B5" t="inlineStr">
        <is>
          <t>chicken marinade or baste</t>
        </is>
      </c>
      <c r="C5" t="n">
        <v>94416</v>
      </c>
      <c r="D5" s="4" t="n">
        <v>50</v>
      </c>
      <c r="E5" s="1" t="n">
        <v>38164</v>
      </c>
      <c r="F5" s="2" t="inlineStr">
        <is>
          <t>this is a great marinade for baked or grilled chicken legs, breasts or thighs. it also makes a great sauce for wings for that summer bbq. use some of the left over marinade to baste the chicken as it bakes or grills. just remember, to let it cook after basting since the raw chicken marinaded in it. the sauce sticks to the chicken very well and gives a wonderful flavor. this is quick and very easy to make when you are pressed for time on a hot summer night. marinade time not included in cooking time.  edited to add that chef jessica used this as a oamc recipe and said in her review that it worked great and froze very well!_x000D_
eta:  i added agave nectar as a substitute for honey or maple syrup.  this is a great substitution for diabetics!</t>
        </is>
      </c>
      <c r="G5" t="n">
        <v>8</v>
      </c>
      <c r="H5" t="n">
        <v>3000</v>
      </c>
      <c r="I5">
        <f>D5*60</f>
        <v/>
      </c>
      <c r="J5">
        <f>COUNTIF(Отзывы!$D:$D, 94416)</f>
        <v/>
      </c>
    </row>
    <row r="6">
      <c r="A6" t="n">
        <v>14512</v>
      </c>
      <c r="B6" t="inlineStr">
        <is>
          <t>inside out spring roll salad</t>
        </is>
      </c>
      <c r="C6" t="n">
        <v>477840</v>
      </c>
      <c r="D6" s="4" t="n">
        <v>20</v>
      </c>
      <c r="E6" s="1" t="n">
        <v>41011</v>
      </c>
      <c r="F6" t="inlineStr">
        <is>
          <t>if you enjoy the fresh flavors and satisfying crunch of a  spring roll, wait until you see this recipe contest winner created by roxanne chan.  this salad combines a variety of the fresh vegetables found inside spring rolls and dipping sauces served alongside and brings them into the salad bowl. the salad is light, fresh, colorful and tasty  salad perfect for spring or summer!</t>
        </is>
      </c>
      <c r="G6" t="n">
        <v>18</v>
      </c>
      <c r="H6" t="n">
        <v>1200</v>
      </c>
      <c r="I6">
        <f>D6*60</f>
        <v/>
      </c>
      <c r="J6">
        <f>COUNTIF(Отзывы!$D:$D, 477840)</f>
        <v/>
      </c>
    </row>
    <row r="7">
      <c r="A7" t="n">
        <v>10990</v>
      </c>
      <c r="B7" t="inlineStr">
        <is>
          <t>filipino menudo</t>
        </is>
      </c>
      <c r="C7" t="n">
        <v>198730</v>
      </c>
      <c r="D7" s="4" t="n">
        <v>120</v>
      </c>
      <c r="E7" s="1" t="n">
        <v>39053</v>
      </c>
      <c r="F7" t="inlineStr">
        <is>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is>
      </c>
      <c r="G7" t="n">
        <v>17</v>
      </c>
      <c r="H7" t="n">
        <v>7200</v>
      </c>
      <c r="I7">
        <f>D7*60</f>
        <v/>
      </c>
      <c r="J7">
        <f>COUNTIF(Отзывы!$D:$D, 198730)</f>
        <v/>
      </c>
    </row>
    <row r="8">
      <c r="A8" t="n">
        <v>8701</v>
      </c>
      <c r="B8" t="inlineStr">
        <is>
          <t>crock pot short ribs in ancho chile sauce</t>
        </is>
      </c>
      <c r="C8" t="n">
        <v>82430</v>
      </c>
      <c r="D8" s="4" t="n">
        <v>660</v>
      </c>
      <c r="E8" s="1" t="n">
        <v>38015</v>
      </c>
      <c r="F8" t="inlineStr">
        <is>
          <t>tender ribs with a flavorful, spicy chile sauce. i like to serve this with black beans or poblano chiles stuffed with a seasoned goat cheese mixture, and sometimes a small salad.</t>
        </is>
      </c>
      <c r="H8" t="n">
        <v>39600</v>
      </c>
      <c r="I8">
        <f>D8*60</f>
        <v/>
      </c>
      <c r="J8">
        <f>COUNTIF(Отзывы!$D:$D, 82430)</f>
        <v/>
      </c>
    </row>
    <row r="9">
      <c r="A9" t="n">
        <v>15850</v>
      </c>
      <c r="B9" t="inlineStr">
        <is>
          <t>lemon chutney</t>
        </is>
      </c>
      <c r="C9" t="n">
        <v>9992</v>
      </c>
      <c r="D9" s="4" t="n">
        <v>75</v>
      </c>
      <c r="E9" s="1" t="n">
        <v>37077</v>
      </c>
      <c r="F9" t="inlineStr">
        <is>
          <t>quick and easy recipe-good with curries.</t>
        </is>
      </c>
      <c r="G9" t="n">
        <v>11</v>
      </c>
      <c r="H9" t="n">
        <v>4500</v>
      </c>
      <c r="I9">
        <f>D9*60</f>
        <v/>
      </c>
      <c r="J9">
        <f>COUNTIF(Отзывы!$D:$D, 9992)</f>
        <v/>
      </c>
    </row>
    <row r="10" ht="409.5" customHeight="1">
      <c r="A10" t="n">
        <v>14849</v>
      </c>
      <c r="B10" t="inlineStr">
        <is>
          <t>jamaican baste</t>
        </is>
      </c>
      <c r="C10" t="n">
        <v>381270</v>
      </c>
      <c r="D10" s="4" t="n">
        <v>20</v>
      </c>
      <c r="E10" s="1" t="n">
        <v>40007</v>
      </c>
      <c r="F10" s="2" t="inlineStr">
        <is>
          <t>great on chicken-use as a baste for 4 chicken breast fillets or 8 drumsticks_x000D_
recipe using aussie tablespoon that is equivelant to 4 teaspoons. you can use other variety of chili if you wish._x000D_
for gluten-free diet ensure the seasoning/spices used are gluten-free (some spices will have flour added to stop them from clumping)</t>
        </is>
      </c>
      <c r="G10" t="n">
        <v>8</v>
      </c>
      <c r="H10" t="n">
        <v>1200</v>
      </c>
      <c r="I10">
        <f>D10*60</f>
        <v/>
      </c>
      <c r="J10">
        <f>COUNTIF(Отзывы!$D:$D, 381270)</f>
        <v/>
      </c>
    </row>
    <row r="11">
      <c r="A11" t="n">
        <v>28748</v>
      </c>
      <c r="B11" t="inlineStr">
        <is>
          <t>vegetarian stir fry</t>
        </is>
      </c>
      <c r="C11" t="n">
        <v>302699</v>
      </c>
      <c r="D11" s="4" t="n">
        <v>50</v>
      </c>
      <c r="E11" s="1" t="n">
        <v>39575</v>
      </c>
      <c r="F11" t="inlineStr">
        <is>
          <t>i don't eat meat or meat products, although i do eat dairy/eggs- this is a recipe i came up with while browsing the produce at our local farmer's market- hope you enjoy it as much as we did! there are a lot of ingredients, but all harmonious in my opinion.</t>
        </is>
      </c>
      <c r="G11" t="n">
        <v>18</v>
      </c>
      <c r="H11" t="n">
        <v>3000</v>
      </c>
      <c r="I11">
        <f>D11*60</f>
        <v/>
      </c>
      <c r="J11">
        <f>COUNTIF(Отзывы!$D:$D, 302699)</f>
        <v/>
      </c>
    </row>
    <row r="12">
      <c r="A12" t="n">
        <v>16305</v>
      </c>
      <c r="B12" t="inlineStr">
        <is>
          <t>littlemafia s dumplings with plums</t>
        </is>
      </c>
      <c r="C12" t="n">
        <v>394765</v>
      </c>
      <c r="D12" s="4" t="n">
        <v>40</v>
      </c>
      <c r="E12" s="1" t="n">
        <v>40101</v>
      </c>
      <c r="F12" t="inlineStr">
        <is>
          <t>my mom used to make them a lot when i was growing up. now we make them ahead and freeze them. cut the plums in half and double the amount of dumplings.</t>
        </is>
      </c>
      <c r="G12" t="n">
        <v>8</v>
      </c>
      <c r="H12" t="n">
        <v>2400</v>
      </c>
      <c r="I12">
        <f>D12*60</f>
        <v/>
      </c>
      <c r="J12">
        <f>COUNTIF(Отзывы!$D:$D, 394765)</f>
        <v/>
      </c>
    </row>
    <row r="13">
      <c r="A13" t="n">
        <v>25063</v>
      </c>
      <c r="B13" t="inlineStr">
        <is>
          <t>spaghetti squash casserole with sweet sausage   peppers</t>
        </is>
      </c>
      <c r="C13" t="n">
        <v>518980</v>
      </c>
      <c r="D13" s="4" t="n">
        <v>105</v>
      </c>
      <c r="E13" s="1" t="n">
        <v>41922</v>
      </c>
      <c r="F13" t="inlineStr">
        <is>
          <t>this is fantastic!  i love using bratwurst in my pasta dishes in place of ground beef.  it bursts with flavor and adds sweetness.</t>
        </is>
      </c>
      <c r="G13" t="n">
        <v>11</v>
      </c>
      <c r="H13" t="n">
        <v>6300</v>
      </c>
      <c r="I13">
        <f>D13*60</f>
        <v/>
      </c>
      <c r="J13">
        <f>COUNTIF(Отзывы!$D:$D, 518980)</f>
        <v/>
      </c>
    </row>
    <row r="14" ht="409.5" customHeight="1">
      <c r="A14" t="n">
        <v>6809</v>
      </c>
      <c r="B14" t="inlineStr">
        <is>
          <t>chocolate cinnamon cake roll</t>
        </is>
      </c>
      <c r="C14" t="n">
        <v>7443</v>
      </c>
      <c r="D14" s="5" t="n">
        <v>0</v>
      </c>
      <c r="E14" s="1" t="n">
        <v>36598</v>
      </c>
      <c r="F14" s="2" t="inlineStr">
        <is>
          <t>okay, this isn't my recipe, although i do intend on making it soon.  it's one of the ones i acquired when the elves were clearing out the recipezaar account.  please tell me what it's like if you make it._x000D_
_x000D_
at some point i'll try to sort out the ingredients.  currently, things like the coffee liqueur appear three times because they're in the cake, filling and icing.</t>
        </is>
      </c>
      <c r="G14" t="n">
        <v>11</v>
      </c>
      <c r="H14" t="n">
        <v>0</v>
      </c>
      <c r="I14">
        <f>D14*60</f>
        <v/>
      </c>
      <c r="J14">
        <f>COUNTIF(Отзывы!$D:$D, 7443)</f>
        <v/>
      </c>
    </row>
    <row r="15">
      <c r="A15" t="n">
        <v>12125</v>
      </c>
      <c r="B15" t="inlineStr">
        <is>
          <t>gluten free   cream of chicken soup replacement for casseroles</t>
        </is>
      </c>
      <c r="C15" t="n">
        <v>497505</v>
      </c>
      <c r="D15" s="4" t="n">
        <v>15</v>
      </c>
      <c r="E15" s="1" t="n">
        <v>41346</v>
      </c>
      <c r="F15" t="inlineStr">
        <is>
          <t>a gluten free replacement for cream of chicken soup in casseroles.</t>
        </is>
      </c>
      <c r="G15" t="n">
        <v>5</v>
      </c>
      <c r="H15" t="n">
        <v>900</v>
      </c>
      <c r="I15">
        <f>D15*60</f>
        <v/>
      </c>
      <c r="J15">
        <f>COUNTIF(Отзывы!$D:$D, 497505)</f>
        <v/>
      </c>
    </row>
    <row r="16">
      <c r="A16" t="n">
        <v>27792</v>
      </c>
      <c r="B16" t="inlineStr">
        <is>
          <t>tomato frittata</t>
        </is>
      </c>
      <c r="C16" t="n">
        <v>120578</v>
      </c>
      <c r="D16" s="4" t="n">
        <v>40</v>
      </c>
      <c r="E16" s="1" t="n">
        <v>38476</v>
      </c>
      <c r="F16" t="inlineStr">
        <is>
          <t>you say tomato, i say frittata. tomatoes are so good for you. i found this recipe in a webmd magazine at my dr's office.</t>
        </is>
      </c>
      <c r="H16" t="n">
        <v>2400</v>
      </c>
      <c r="I16">
        <f>D16*60</f>
        <v/>
      </c>
      <c r="J16">
        <f>COUNTIF(Отзывы!$D:$D, 120578)</f>
        <v/>
      </c>
    </row>
    <row r="17">
      <c r="A17" t="n">
        <v>1228</v>
      </c>
      <c r="B17" t="inlineStr">
        <is>
          <t>asian marinated cucumbers</t>
        </is>
      </c>
      <c r="C17" t="n">
        <v>383039</v>
      </c>
      <c r="D17" s="6" t="n">
        <v>10</v>
      </c>
      <c r="E17" s="1" t="n">
        <v>40021</v>
      </c>
      <c r="F17" t="inlineStr">
        <is>
          <t>the times listed does not included marinating time.</t>
        </is>
      </c>
      <c r="G17" t="n">
        <v>7</v>
      </c>
      <c r="H17" t="n">
        <v>600</v>
      </c>
      <c r="I17">
        <f>D17*60</f>
        <v/>
      </c>
      <c r="J17">
        <f>COUNTIF(Отзывы!$D:$D, 383039)</f>
        <v/>
      </c>
    </row>
    <row r="18">
      <c r="A18" t="n">
        <v>20852</v>
      </c>
      <c r="B18" t="inlineStr">
        <is>
          <t>pineapple upside down cake  gluten free</t>
        </is>
      </c>
      <c r="C18" t="n">
        <v>421141</v>
      </c>
      <c r="D18" s="4" t="n">
        <v>55</v>
      </c>
      <c r="E18" s="1" t="n">
        <v>40289</v>
      </c>
      <c r="F18" t="inlineStr">
        <is>
          <t>a delicious gluten-free pineapple upside down cake!</t>
        </is>
      </c>
      <c r="G18" t="n">
        <v>15</v>
      </c>
      <c r="H18" t="n">
        <v>3300</v>
      </c>
      <c r="I18">
        <f>D18*60</f>
        <v/>
      </c>
      <c r="J18">
        <f>COUNTIF(Отзывы!$D:$D, 421141)</f>
        <v/>
      </c>
    </row>
    <row r="19" ht="409.5" customHeight="1">
      <c r="A19" t="n">
        <v>16120</v>
      </c>
      <c r="B19" t="inlineStr">
        <is>
          <t>light as a feather cake</t>
        </is>
      </c>
      <c r="C19" t="n">
        <v>381018</v>
      </c>
      <c r="D19" s="4" t="n">
        <v>65</v>
      </c>
      <c r="E19" s="1" t="n">
        <v>40006</v>
      </c>
      <c r="F19" s="2" t="inlineStr">
        <is>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again._x000D_
note: thanks to **tinkerbell** for reminding me that the cake needs to cool upside down so it stays tall and fluffy!</t>
        </is>
      </c>
      <c r="H19" t="n">
        <v>3900</v>
      </c>
      <c r="I19">
        <f>D19*60</f>
        <v/>
      </c>
      <c r="J19">
        <f>COUNTIF(Отзывы!$D:$D, 381018)</f>
        <v/>
      </c>
    </row>
    <row r="20" ht="255" customHeight="1">
      <c r="A20" t="n">
        <v>10212</v>
      </c>
      <c r="B20" t="inlineStr">
        <is>
          <t>easy shepherds pie</t>
        </is>
      </c>
      <c r="C20" t="n">
        <v>245688</v>
      </c>
      <c r="D20" s="4" t="n">
        <v>45</v>
      </c>
      <c r="E20" s="1" t="n">
        <v>39304</v>
      </c>
      <c r="F20" s="2" t="inlineStr">
        <is>
          <t>this is a great recipe thats easy to prepare with not many ingredients._x000D_
enjoy with a side salad for a complete meal.</t>
        </is>
      </c>
      <c r="H20" t="n">
        <v>2700</v>
      </c>
      <c r="I20">
        <f>D20*60</f>
        <v/>
      </c>
      <c r="J20">
        <f>COUNTIF(Отзывы!$D:$D, 245688)</f>
        <v/>
      </c>
    </row>
    <row r="21">
      <c r="A21" t="n">
        <v>23379</v>
      </c>
      <c r="B21" t="inlineStr">
        <is>
          <t>satarash</t>
        </is>
      </c>
      <c r="C21" t="n">
        <v>81329</v>
      </c>
      <c r="D21" s="4" t="n">
        <v>25</v>
      </c>
      <c r="E21" s="1" t="n">
        <v>38003</v>
      </c>
      <c r="F21" t="inlineStr">
        <is>
          <t>this is an old peasant side dish from eastern europe. we enjoyed this especially when the garden was stocked full with tomatoes and peppers. the only thing i've changed over the years is i add the basil, oregano, and mint. basil, and tomatoes are dance partners. mint is for those that are bothered by the acids tomatoes sometimes give off. mint soothes the stomach. the combination goes well. plus i have also added other vegetables like mushrooms, zucchini, fresh string beans which alter the flavor ever so slightly but a new dish appears on the tables.</t>
        </is>
      </c>
      <c r="H21" t="n">
        <v>1500</v>
      </c>
      <c r="I21">
        <f>D21*60</f>
        <v/>
      </c>
      <c r="J21">
        <f>COUNTIF(Отзывы!$D:$D, 81329)</f>
        <v/>
      </c>
    </row>
    <row r="22">
      <c r="A22" t="n">
        <v>27586</v>
      </c>
      <c r="B22" t="inlineStr">
        <is>
          <t>three seed bread</t>
        </is>
      </c>
      <c r="C22" t="n">
        <v>471968</v>
      </c>
      <c r="D22" s="4" t="n">
        <v>220</v>
      </c>
      <c r="E22" s="1" t="n">
        <v>40923</v>
      </c>
      <c r="F22" t="inlineStr">
        <is>
          <t>feel free to experiment with different seeds...</t>
        </is>
      </c>
      <c r="G22" t="n">
        <v>11</v>
      </c>
      <c r="H22" t="n">
        <v>13200</v>
      </c>
      <c r="I22">
        <f>D22*60</f>
        <v/>
      </c>
      <c r="J22">
        <f>COUNTIF(Отзывы!$D:$D, 471968)</f>
        <v/>
      </c>
    </row>
    <row r="23">
      <c r="A23" t="n">
        <v>17630</v>
      </c>
      <c r="B23" t="inlineStr">
        <is>
          <t>middle eastern tuna salad</t>
        </is>
      </c>
      <c r="C23" t="n">
        <v>314012</v>
      </c>
      <c r="D23" s="6" t="n">
        <v>5</v>
      </c>
      <c r="E23" s="1" t="n">
        <v>39644</v>
      </c>
      <c r="F23" t="inlineStr">
        <is>
          <t>a delicious tuna salad made with yogurt instead of mayonnaise, with chick peas and fresh parsley. delicious!</t>
        </is>
      </c>
      <c r="H23" t="n">
        <v>300</v>
      </c>
      <c r="I23">
        <f>D23*60</f>
        <v/>
      </c>
      <c r="J23">
        <f>COUNTIF(Отзывы!$D:$D, 314012)</f>
        <v/>
      </c>
    </row>
    <row r="24">
      <c r="A24" t="n">
        <v>21697</v>
      </c>
      <c r="B24" t="inlineStr">
        <is>
          <t>pumpkin ginger gingerbread</t>
        </is>
      </c>
      <c r="C24" t="n">
        <v>352209</v>
      </c>
      <c r="D24" s="4" t="n">
        <v>75</v>
      </c>
      <c r="E24" s="1" t="n">
        <v>39840</v>
      </c>
      <c r="F24" t="inlineStr">
        <is>
          <t>gingerbread with lots of spice (and a bit of pumpkin) is twice as nice!  (slightly adapted from a prevention magazine recipe.)  note:  post-baking-chill-time not included in prep/cook time.</t>
        </is>
      </c>
      <c r="G24" t="n">
        <v>14</v>
      </c>
      <c r="H24" t="n">
        <v>4500</v>
      </c>
      <c r="I24">
        <f>D24*60</f>
        <v/>
      </c>
      <c r="J24">
        <f>COUNTIF(Отзывы!$D:$D, 352209)</f>
        <v/>
      </c>
    </row>
    <row r="25">
      <c r="A25" t="n">
        <v>7536</v>
      </c>
      <c r="B25" t="inlineStr">
        <is>
          <t>coq au vin in a crock pot</t>
        </is>
      </c>
      <c r="C25" t="n">
        <v>317259</v>
      </c>
      <c r="D25" s="4" t="n">
        <v>35</v>
      </c>
      <c r="E25" s="1" t="n">
        <v>39663</v>
      </c>
      <c r="F25" t="inlineStr">
        <is>
          <t>i like to cook coq au vin in the traditional way when i have time however, that takes days.  i have played with it and i think this crock pot version is a great alternative and you can cook coq au vin on a busy weeknight.  i have used boneless skinless thighs in place of the chicken legs with thighs.  the soup base is not boullion (too salty).  this is similar to demiglace and beef or veal can be used.</t>
        </is>
      </c>
      <c r="G25" t="n">
        <v>10</v>
      </c>
      <c r="H25" t="n">
        <v>2100</v>
      </c>
      <c r="I25">
        <f>D25*60</f>
        <v/>
      </c>
      <c r="J25">
        <f>COUNTIF(Отзывы!$D:$D, 317259)</f>
        <v/>
      </c>
    </row>
    <row r="26">
      <c r="A26" t="n">
        <v>3536</v>
      </c>
      <c r="B26" t="inlineStr">
        <is>
          <t>boston cream pie martini</t>
        </is>
      </c>
      <c r="C26" t="n">
        <v>150063</v>
      </c>
      <c r="D26" s="4" t="n">
        <v>35</v>
      </c>
      <c r="E26" s="1" t="n">
        <v>38719</v>
      </c>
      <c r="F26" t="inlineStr">
        <is>
          <t>yummy</t>
        </is>
      </c>
      <c r="G26" t="n">
        <v>3</v>
      </c>
      <c r="H26" t="n">
        <v>2100</v>
      </c>
      <c r="I26">
        <f>D26*60</f>
        <v/>
      </c>
      <c r="J26">
        <f>COUNTIF(Отзывы!$D:$D, 150063)</f>
        <v/>
      </c>
    </row>
    <row r="27">
      <c r="A27" t="n">
        <v>1319</v>
      </c>
      <c r="B27" t="inlineStr">
        <is>
          <t>asparagus with nutmeg butter</t>
        </is>
      </c>
      <c r="C27" t="n">
        <v>362466</v>
      </c>
      <c r="D27" s="4" t="n">
        <v>11</v>
      </c>
      <c r="E27" s="1" t="n">
        <v>39895</v>
      </c>
      <c r="F27" t="inlineStr">
        <is>
          <t>adapted from an old cookbook which suggested it as a good accompaniment to a dinner omelet.  i just love asparagus, in fact i never met one i didn't like, except of course for the dreaded overcooked asparagus.</t>
        </is>
      </c>
      <c r="G27" t="n">
        <v>5</v>
      </c>
      <c r="H27" t="n">
        <v>660</v>
      </c>
      <c r="I27">
        <f>D27*60</f>
        <v/>
      </c>
      <c r="J27">
        <f>COUNTIF(Отзывы!$D:$D, 362466)</f>
        <v/>
      </c>
    </row>
    <row r="28">
      <c r="A28" t="n">
        <v>28819</v>
      </c>
      <c r="B28" t="inlineStr">
        <is>
          <t>vermouth chicken salad</t>
        </is>
      </c>
      <c r="C28" t="n">
        <v>71418</v>
      </c>
      <c r="D28" s="4" t="n">
        <v>45</v>
      </c>
      <c r="E28" s="1" t="n">
        <v>37878</v>
      </c>
      <c r="F28" t="inlineStr">
        <is>
          <t>my mother and i created this recipe and we get many compliments at dinner parties. a chef who owns a 4-star restaurant sampled it at an event my mother attended and raved about it. needless to say, we were happy with his approval. whoo-hoo! mom likes to garnish this with avocado slices. adjust seasonings to your own tastes.</t>
        </is>
      </c>
      <c r="G28" t="n">
        <v>7</v>
      </c>
      <c r="H28" t="n">
        <v>2700</v>
      </c>
      <c r="I28">
        <f>D28*60</f>
        <v/>
      </c>
      <c r="J28">
        <f>COUNTIF(Отзывы!$D:$D, 71418)</f>
        <v/>
      </c>
    </row>
    <row r="29">
      <c r="A29" t="n">
        <v>26490</v>
      </c>
      <c r="B29" t="inlineStr">
        <is>
          <t>super sunday tacos</t>
        </is>
      </c>
      <c r="C29" t="n">
        <v>137284</v>
      </c>
      <c r="D29" s="4" t="n">
        <v>75</v>
      </c>
      <c r="E29" s="1" t="n">
        <v>38608</v>
      </c>
      <c r="F29" t="inlineStr">
        <is>
          <t>these babies crush any tacos made with just ground beef and "taco seasoning". they are guaranteed to be gone at any party. the filling can also be used for burritos, salads, eggs and whatever else you can imagine.</t>
        </is>
      </c>
      <c r="G29" t="n">
        <v>15</v>
      </c>
      <c r="H29" t="n">
        <v>4500</v>
      </c>
      <c r="I29">
        <f>D29*60</f>
        <v/>
      </c>
      <c r="J29">
        <f>COUNTIF(Отзывы!$D:$D, 137284)</f>
        <v/>
      </c>
    </row>
    <row r="30">
      <c r="A30" t="n">
        <v>7466</v>
      </c>
      <c r="B30" t="inlineStr">
        <is>
          <t>confetti egg bake</t>
        </is>
      </c>
      <c r="C30" t="n">
        <v>274471</v>
      </c>
      <c r="D30" s="4" t="n">
        <v>40</v>
      </c>
      <c r="E30" s="1" t="n">
        <v>39444</v>
      </c>
      <c r="F30" t="inlineStr">
        <is>
          <t>this pretty dish has a lot of flavor, and is perfect for brunch.  from the pillsbury party cookbook.  the original recipe called for "light" ingredients, but we like a lot of flavor, so we use non-light ingredients!</t>
        </is>
      </c>
      <c r="H30" t="n">
        <v>2400</v>
      </c>
      <c r="I30">
        <f>D30*60</f>
        <v/>
      </c>
      <c r="J30">
        <f>COUNTIF(Отзывы!$D:$D, 274471)</f>
        <v/>
      </c>
    </row>
    <row r="31">
      <c r="A31" t="n">
        <v>26275</v>
      </c>
      <c r="B31" t="inlineStr">
        <is>
          <t>sugar free blueberry muffins</t>
        </is>
      </c>
      <c r="C31" t="n">
        <v>357663</v>
      </c>
      <c r="D31" s="4" t="n">
        <v>45</v>
      </c>
      <c r="E31" s="1" t="n">
        <v>39868</v>
      </c>
      <c r="F31" t="inlineStr">
        <is>
          <t>i adapted this recipe from "mad about muffins" to make it sugar-free. my family and i thought they turned out very good - my "growing" teenage brother ate about 8 of the 12 muffins in one sitting!</t>
        </is>
      </c>
      <c r="G31" t="n">
        <v>10</v>
      </c>
      <c r="H31" t="n">
        <v>2700</v>
      </c>
      <c r="I31">
        <f>D31*60</f>
        <v/>
      </c>
      <c r="J31">
        <f>COUNTIF(Отзывы!$D:$D, 357663)</f>
        <v/>
      </c>
    </row>
    <row r="32">
      <c r="A32" t="n">
        <v>5890</v>
      </c>
      <c r="B32" t="inlineStr">
        <is>
          <t>chicken patty sandwich</t>
        </is>
      </c>
      <c r="C32" t="n">
        <v>411250</v>
      </c>
      <c r="D32" s="4" t="n">
        <v>35</v>
      </c>
      <c r="E32" s="1" t="n">
        <v>40210</v>
      </c>
      <c r="F32" t="inlineStr">
        <is>
          <t>great, quick meal</t>
        </is>
      </c>
      <c r="G32" t="n">
        <v>6</v>
      </c>
      <c r="H32" t="n">
        <v>2100</v>
      </c>
      <c r="I32">
        <f>D32*60</f>
        <v/>
      </c>
      <c r="J32">
        <f>COUNTIF(Отзывы!$D:$D, 411250)</f>
        <v/>
      </c>
    </row>
    <row r="33">
      <c r="A33" t="n">
        <v>29763</v>
      </c>
      <c r="B33" t="inlineStr">
        <is>
          <t>yummy low carb low fat grilled eggplant  aubergine</t>
        </is>
      </c>
      <c r="C33" t="n">
        <v>90248</v>
      </c>
      <c r="D33" s="4" t="n">
        <v>30</v>
      </c>
      <c r="E33" s="1" t="n">
        <v>38107</v>
      </c>
      <c r="F33" t="inlineStr">
        <is>
          <t>this recipe fits in with the south beach, gi and atkins diets as well as tastes delicious. diets can make eating boring and leave you feeling hungry. after a few attempts, this made mr. nondiet love it. this was super easy to make and really a delicious treat while dieting. it also looks very "restaurant-ish" on the plate. yummy.</t>
        </is>
      </c>
      <c r="G33" t="n">
        <v>10</v>
      </c>
      <c r="H33" t="n">
        <v>1800</v>
      </c>
      <c r="I33">
        <f>D33*60</f>
        <v/>
      </c>
      <c r="J33">
        <f>COUNTIF(Отзывы!$D:$D, 90248)</f>
        <v/>
      </c>
    </row>
    <row r="34">
      <c r="A34" t="n">
        <v>27280</v>
      </c>
      <c r="B34" t="inlineStr">
        <is>
          <t>thai spiced chicken and carrot stew</t>
        </is>
      </c>
      <c r="C34" t="n">
        <v>407599</v>
      </c>
      <c r="D34" s="4" t="n">
        <v>190</v>
      </c>
      <c r="E34" s="1" t="n">
        <v>40188</v>
      </c>
      <c r="F34" t="inlineStr">
        <is>
          <t>from 1001 best slow cooker recipes</t>
        </is>
      </c>
      <c r="G34" t="n">
        <v>12</v>
      </c>
      <c r="H34" t="n">
        <v>11400</v>
      </c>
      <c r="I34">
        <f>D34*60</f>
        <v/>
      </c>
      <c r="J34">
        <f>COUNTIF(Отзывы!$D:$D, 407599)</f>
        <v/>
      </c>
    </row>
    <row r="35">
      <c r="A35" t="n">
        <v>9943</v>
      </c>
      <c r="B35" t="inlineStr">
        <is>
          <t>easy cinnamon biscuits</t>
        </is>
      </c>
      <c r="C35" t="n">
        <v>87766</v>
      </c>
      <c r="D35" s="4" t="n">
        <v>33</v>
      </c>
      <c r="E35" s="1" t="n">
        <v>38076</v>
      </c>
      <c r="F35" t="inlineStr">
        <is>
          <t>not yet tried, but soon to be.</t>
        </is>
      </c>
      <c r="G35" t="n">
        <v>10</v>
      </c>
      <c r="H35" t="n">
        <v>1980</v>
      </c>
      <c r="I35">
        <f>D35*60</f>
        <v/>
      </c>
      <c r="J35">
        <f>COUNTIF(Отзывы!$D:$D, 87766)</f>
        <v/>
      </c>
    </row>
    <row r="36">
      <c r="A36" t="n">
        <v>10502</v>
      </c>
      <c r="B36" t="inlineStr">
        <is>
          <t>elegant wild boar burgers for two</t>
        </is>
      </c>
      <c r="C36" t="n">
        <v>93049</v>
      </c>
      <c r="D36" s="4" t="n">
        <v>26</v>
      </c>
      <c r="E36" s="1" t="n">
        <v>38147</v>
      </c>
      <c r="F36" t="inlineStr">
        <is>
          <t>i created this recipe after buying a small amount of wild ground boar to try. i didn't find that the boar was gamey, but maybe just tasted more earthy than, say, beef. if you can find boar, why not give it a try? the cambozola adds richness while complementing the earthy tones of the sage and thyme. the shallot adds a bit of sweetness. a really different burger!</t>
        </is>
      </c>
      <c r="G36" t="n">
        <v>8</v>
      </c>
      <c r="H36" t="n">
        <v>1560</v>
      </c>
      <c r="I36">
        <f>D36*60</f>
        <v/>
      </c>
      <c r="J36">
        <f>COUNTIF(Отзывы!$D:$D, 93049)</f>
        <v/>
      </c>
    </row>
    <row r="37">
      <c r="A37" t="n">
        <v>15908</v>
      </c>
      <c r="B37" t="inlineStr">
        <is>
          <t>lemon lace cookies</t>
        </is>
      </c>
      <c r="C37" t="n">
        <v>79451</v>
      </c>
      <c r="D37" s="4" t="n">
        <v>25</v>
      </c>
      <c r="E37" s="1" t="n">
        <v>37978</v>
      </c>
      <c r="F37" t="inlineStr">
        <is>
          <t>a very elegant cookie.</t>
        </is>
      </c>
      <c r="G37" t="n">
        <v>8</v>
      </c>
      <c r="H37" t="n">
        <v>1500</v>
      </c>
      <c r="I37">
        <f>D37*60</f>
        <v/>
      </c>
      <c r="J37">
        <f>COUNTIF(Отзывы!$D:$D, 79451)</f>
        <v/>
      </c>
    </row>
    <row r="38">
      <c r="A38" t="n">
        <v>4038</v>
      </c>
      <c r="B38" t="inlineStr">
        <is>
          <t>buckeye candy</t>
        </is>
      </c>
      <c r="C38" t="n">
        <v>114953</v>
      </c>
      <c r="D38" s="4" t="n">
        <v>20</v>
      </c>
      <c r="E38" s="1" t="n">
        <v>38443</v>
      </c>
      <c r="F38" t="inlineStr">
        <is>
          <t>comes from "favorit fixins from fafnir folks" cookbook.</t>
        </is>
      </c>
      <c r="G38" t="n">
        <v>4</v>
      </c>
      <c r="H38" t="n">
        <v>1200</v>
      </c>
      <c r="I38">
        <f>D38*60</f>
        <v/>
      </c>
      <c r="J38">
        <f>COUNTIF(Отзывы!$D:$D, 114953)</f>
        <v/>
      </c>
    </row>
    <row r="39">
      <c r="A39" t="n">
        <v>11406</v>
      </c>
      <c r="B39" t="inlineStr">
        <is>
          <t>fresh picked strawberry ice cream</t>
        </is>
      </c>
      <c r="C39" t="n">
        <v>68038</v>
      </c>
      <c r="D39" s="4" t="n">
        <v>35</v>
      </c>
      <c r="E39" s="1" t="n">
        <v>37837</v>
      </c>
      <c r="F39" t="inlineStr">
        <is>
          <t>although this is a wonderful ice cream recipe (imho), it is an old one, and contains raw egg. please feel free to use an egg substitute or pasteurized eggs in this recipe. you may leave out the egg altogether, but the texture may suffer. the "cook time" is for the processing time of my (your) ice cream machine. the 1/2 to 1 hour "chill time" was not included in the prep/cook time.</t>
        </is>
      </c>
      <c r="G39" t="n">
        <v>4</v>
      </c>
      <c r="H39" t="n">
        <v>2100</v>
      </c>
      <c r="I39">
        <f>D39*60</f>
        <v/>
      </c>
      <c r="J39">
        <f>COUNTIF(Отзывы!$D:$D, 68038)</f>
        <v/>
      </c>
    </row>
    <row r="40">
      <c r="A40" t="n">
        <v>3883</v>
      </c>
      <c r="B40" t="inlineStr">
        <is>
          <t>broiled mushrooms and cheese</t>
        </is>
      </c>
      <c r="C40" t="n">
        <v>288657</v>
      </c>
      <c r="D40" s="4" t="n">
        <v>20</v>
      </c>
      <c r="E40" s="1" t="n">
        <v>39503</v>
      </c>
      <c r="F40" t="inlineStr">
        <is>
          <t>this is  quick, tasty,  and inexpensive!  i love these.  this recipe came from, "the saturday evening post, family cookbook."</t>
        </is>
      </c>
      <c r="G40" t="n">
        <v>3</v>
      </c>
      <c r="H40" t="n">
        <v>1200</v>
      </c>
      <c r="I40">
        <f>D40*60</f>
        <v/>
      </c>
      <c r="J40">
        <f>COUNTIF(Отзывы!$D:$D, 288657)</f>
        <v/>
      </c>
    </row>
    <row r="41">
      <c r="A41" t="n">
        <v>29926</v>
      </c>
      <c r="B41" t="inlineStr">
        <is>
          <t>zucchini chip cupcakes</t>
        </is>
      </c>
      <c r="C41" t="n">
        <v>406686</v>
      </c>
      <c r="D41" s="4" t="n">
        <v>35</v>
      </c>
      <c r="E41" s="1" t="n">
        <v>40182</v>
      </c>
      <c r="F41" t="inlineStr">
        <is>
          <t>this is a great tasting recipe to use up zucchini and they freeze well. the recipe is from taste of home - the only change i made was to add more nuts</t>
        </is>
      </c>
      <c r="G41" t="n">
        <v>14</v>
      </c>
      <c r="H41" t="n">
        <v>2100</v>
      </c>
      <c r="I41">
        <f>D41*60</f>
        <v/>
      </c>
      <c r="J41">
        <f>COUNTIF(Отзывы!$D:$D, 406686)</f>
        <v/>
      </c>
    </row>
    <row r="42">
      <c r="A42" t="n">
        <v>25618</v>
      </c>
      <c r="B42" t="inlineStr">
        <is>
          <t>spinach borani</t>
        </is>
      </c>
      <c r="C42" t="n">
        <v>150334</v>
      </c>
      <c r="D42" s="4" t="n">
        <v>25</v>
      </c>
      <c r="E42" s="1" t="n">
        <v>38721</v>
      </c>
      <c r="F42" t="inlineStr">
        <is>
          <t>yum!  serve this flavorful dip with toasted pita chips for a great low-fat appetizer or snack.  recipe courtesy of chef carrie balkcom, denver, co.</t>
        </is>
      </c>
      <c r="G42" t="n">
        <v>10</v>
      </c>
      <c r="H42" t="n">
        <v>1500</v>
      </c>
      <c r="I42">
        <f>D42*60</f>
        <v/>
      </c>
      <c r="J42">
        <f>COUNTIF(Отзывы!$D:$D, 150334)</f>
        <v/>
      </c>
    </row>
    <row r="43">
      <c r="A43" t="n">
        <v>18299</v>
      </c>
      <c r="B43" t="inlineStr">
        <is>
          <t>mushroom jalapeno matzo ball soup</t>
        </is>
      </c>
      <c r="C43" t="n">
        <v>489639</v>
      </c>
      <c r="D43" s="4" t="n">
        <v>90</v>
      </c>
      <c r="E43" s="1" t="n">
        <v>41215</v>
      </c>
      <c r="F43" t="inlineStr">
        <is>
          <t>from patis table; really good recipes on this blog; good instructions too.</t>
        </is>
      </c>
      <c r="G43" t="n">
        <v>15</v>
      </c>
      <c r="H43" t="n">
        <v>5400</v>
      </c>
      <c r="I43">
        <f>D43*60</f>
        <v/>
      </c>
      <c r="J43">
        <f>COUNTIF(Отзывы!$D:$D, 489639)</f>
        <v/>
      </c>
    </row>
    <row r="44">
      <c r="A44" t="n">
        <v>25170</v>
      </c>
      <c r="B44" t="inlineStr">
        <is>
          <t>special meatloaf with heinz 57 sauce</t>
        </is>
      </c>
      <c r="C44" t="n">
        <v>41739</v>
      </c>
      <c r="D44" s="4" t="n">
        <v>70</v>
      </c>
      <c r="E44" s="1" t="n">
        <v>37530</v>
      </c>
      <c r="F44" t="inlineStr">
        <is>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is>
      </c>
      <c r="H44" t="n">
        <v>4200</v>
      </c>
      <c r="I44">
        <f>D44*60</f>
        <v/>
      </c>
      <c r="J44">
        <f>COUNTIF(Отзывы!$D:$D, 41739)</f>
        <v/>
      </c>
    </row>
    <row r="45">
      <c r="A45" t="n">
        <v>9813</v>
      </c>
      <c r="B45" t="inlineStr">
        <is>
          <t>easy bagels</t>
        </is>
      </c>
      <c r="C45" t="n">
        <v>421374</v>
      </c>
      <c r="D45" s="4" t="n">
        <v>40</v>
      </c>
      <c r="E45" s="1" t="n">
        <v>40291</v>
      </c>
      <c r="F45" t="inlineStr">
        <is>
          <t>this recipe for bagels is soo easy to make and impressive:)</t>
        </is>
      </c>
      <c r="G45" t="n">
        <v>7</v>
      </c>
      <c r="H45" t="n">
        <v>2400</v>
      </c>
      <c r="I45">
        <f>D45*60</f>
        <v/>
      </c>
      <c r="J45">
        <f>COUNTIF(Отзывы!$D:$D, 421374)</f>
        <v/>
      </c>
    </row>
    <row r="46">
      <c r="A46" t="n">
        <v>25051</v>
      </c>
      <c r="B46" t="inlineStr">
        <is>
          <t>spaghetti asparagus lasagne</t>
        </is>
      </c>
      <c r="C46" t="n">
        <v>362505</v>
      </c>
      <c r="D46" s="4" t="n">
        <v>75</v>
      </c>
      <c r="E46" s="1" t="n">
        <v>39895</v>
      </c>
      <c r="F46" t="inlineStr">
        <is>
          <t>asparagus is one of my favorite "spring veggies."  this is a light, and delicious recipe i originally found on cooking.com and really like.</t>
        </is>
      </c>
      <c r="G46" t="n">
        <v>11</v>
      </c>
      <c r="H46" t="n">
        <v>4500</v>
      </c>
      <c r="I46">
        <f>D46*60</f>
        <v/>
      </c>
      <c r="J46">
        <f>COUNTIF(Отзывы!$D:$D, 362505)</f>
        <v/>
      </c>
    </row>
    <row r="47">
      <c r="A47" t="n">
        <v>10761</v>
      </c>
      <c r="B47" t="inlineStr">
        <is>
          <t>farfelle with sausage</t>
        </is>
      </c>
      <c r="C47" t="n">
        <v>490497</v>
      </c>
      <c r="D47" s="4" t="n">
        <v>30</v>
      </c>
      <c r="E47" s="1" t="n">
        <v>41232</v>
      </c>
      <c r="F47" t="inlineStr">
        <is>
          <t>i call this farfelle, i don't know why because the inspiration came from kraft and was called pappardelle. anyway, we love this no matter the name. it is fast and easy with things we always have on hand.</t>
        </is>
      </c>
      <c r="H47" t="n">
        <v>1800</v>
      </c>
      <c r="I47">
        <f>D47*60</f>
        <v/>
      </c>
      <c r="J47">
        <f>COUNTIF(Отзывы!$D:$D, 490497)</f>
        <v/>
      </c>
    </row>
    <row r="48" ht="409.5" customHeight="1">
      <c r="A48" t="n">
        <v>1670</v>
      </c>
      <c r="B48" t="inlineStr">
        <is>
          <t>bacon swiss lettuce salad</t>
        </is>
      </c>
      <c r="C48" t="n">
        <v>215787</v>
      </c>
      <c r="D48" s="6" t="n">
        <v>10</v>
      </c>
      <c r="E48" s="1" t="n">
        <v>39150</v>
      </c>
      <c r="F48" s="2" t="inlineStr">
        <is>
          <t>this is great for picnics and potlucks.  it's a salad, but that doesn't mean it's healthy, low fat or low calorie.  guys tend to like this salad.  there's just enough bacon and cheese in here to make them forget they're eating lettuce.  ;)_x000D_
prep time does not include cooking the bacon.</t>
        </is>
      </c>
      <c r="G48" t="n">
        <v>11</v>
      </c>
      <c r="H48" t="n">
        <v>600</v>
      </c>
      <c r="I48">
        <f>D48*60</f>
        <v/>
      </c>
      <c r="J48">
        <f>COUNTIF(Отзывы!$D:$D, 215787)</f>
        <v/>
      </c>
    </row>
    <row r="49">
      <c r="A49" t="n">
        <v>10191</v>
      </c>
      <c r="B49" t="inlineStr">
        <is>
          <t>easy reuben sandwich slices</t>
        </is>
      </c>
      <c r="C49" t="n">
        <v>360031</v>
      </c>
      <c r="D49" s="4" t="n">
        <v>55</v>
      </c>
      <c r="E49" s="1" t="n">
        <v>39881</v>
      </c>
      <c r="F49" t="inlineStr">
        <is>
          <t>from a pilsubury email . looks good.</t>
        </is>
      </c>
      <c r="G49" t="n">
        <v>8</v>
      </c>
      <c r="H49" t="n">
        <v>3300</v>
      </c>
      <c r="I49">
        <f>D49*60</f>
        <v/>
      </c>
      <c r="J49">
        <f>COUNTIF(Отзывы!$D:$D, 360031)</f>
        <v/>
      </c>
    </row>
    <row r="50">
      <c r="A50" t="n">
        <v>25883</v>
      </c>
      <c r="B50" t="inlineStr">
        <is>
          <t>stewed fava beans a family recipe</t>
        </is>
      </c>
      <c r="C50" t="n">
        <v>175577</v>
      </c>
      <c r="D50" s="4" t="n">
        <v>40</v>
      </c>
      <c r="E50" s="1" t="n">
        <v>38901</v>
      </c>
      <c r="F50" t="inlineStr">
        <is>
          <t>this is one of my favortie dishes and it goes great with rice or pasta.  you can use canned favas (broad beans) but fresh is really were it's at if you can get them in season.  it's a bit more work as you have to peel them but worth the effort.</t>
        </is>
      </c>
      <c r="G50" t="n">
        <v>9</v>
      </c>
      <c r="H50" t="n">
        <v>2400</v>
      </c>
      <c r="I50">
        <f>D50*60</f>
        <v/>
      </c>
      <c r="J50">
        <f>COUNTIF(Отзывы!$D:$D, 175577)</f>
        <v/>
      </c>
    </row>
    <row r="51">
      <c r="A51" t="n">
        <v>29882</v>
      </c>
      <c r="B51" t="inlineStr">
        <is>
          <t>zippy chili</t>
        </is>
      </c>
      <c r="C51" t="n">
        <v>240689</v>
      </c>
      <c r="D51" s="4" t="n">
        <v>90</v>
      </c>
      <c r="E51" s="1" t="n">
        <v>39279</v>
      </c>
      <c r="F51" t="inlineStr">
        <is>
          <t>this is a very hearty chili packed with beans and vegetables.</t>
        </is>
      </c>
      <c r="G51" t="n">
        <v>13</v>
      </c>
      <c r="H51" t="n">
        <v>5400</v>
      </c>
      <c r="I51">
        <f>D51*60</f>
        <v/>
      </c>
      <c r="J51">
        <f>COUNTIF(Отзывы!$D:$D, 240689)</f>
        <v/>
      </c>
    </row>
    <row r="52">
      <c r="A52" t="n">
        <v>14187</v>
      </c>
      <c r="B52" t="inlineStr">
        <is>
          <t>hot cocoa for one</t>
        </is>
      </c>
      <c r="C52" t="n">
        <v>26773</v>
      </c>
      <c r="D52" s="5" t="n">
        <v>2</v>
      </c>
      <c r="E52" s="1" t="n">
        <v>37375</v>
      </c>
      <c r="F52" t="inlineStr">
        <is>
          <t>quick hot cocoa in the microwave.</t>
        </is>
      </c>
      <c r="G52" t="n">
        <v>5</v>
      </c>
      <c r="H52" t="n">
        <v>120</v>
      </c>
      <c r="I52">
        <f>D52*60</f>
        <v/>
      </c>
      <c r="J52">
        <f>COUNTIF(Отзывы!$D:$D, 26773)</f>
        <v/>
      </c>
    </row>
    <row r="53" ht="409.5" customHeight="1">
      <c r="A53" t="n">
        <v>16180</v>
      </c>
      <c r="B53" t="inlineStr">
        <is>
          <t>lime and coriander marinated chicken</t>
        </is>
      </c>
      <c r="C53" t="n">
        <v>421281</v>
      </c>
      <c r="D53" s="6" t="n">
        <v>5</v>
      </c>
      <c r="E53" s="1" t="n">
        <v>40290</v>
      </c>
      <c r="F53" s="2" t="inlineStr">
        <is>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is>
      </c>
      <c r="G53" t="n">
        <v>7</v>
      </c>
      <c r="H53" t="n">
        <v>300</v>
      </c>
      <c r="I53">
        <f>D53*60</f>
        <v/>
      </c>
      <c r="J53">
        <f>COUNTIF(Отзывы!$D:$D, 421281)</f>
        <v/>
      </c>
    </row>
    <row r="54">
      <c r="A54" t="n">
        <v>10182</v>
      </c>
      <c r="B54" t="inlineStr">
        <is>
          <t>easy quiche</t>
        </is>
      </c>
      <c r="C54" t="n">
        <v>195717</v>
      </c>
      <c r="D54" s="6" t="n">
        <v>10</v>
      </c>
      <c r="E54" s="1" t="n">
        <v>39036</v>
      </c>
      <c r="F54" t="inlineStr">
        <is>
          <t>this is one of my favorites! it freezes really well.  just cut them into desired squares and when your ready, just take them out and microwave them for a couple of minutes.</t>
        </is>
      </c>
      <c r="H54" t="n">
        <v>600</v>
      </c>
      <c r="I54">
        <f>D54*60</f>
        <v/>
      </c>
      <c r="J54">
        <f>COUNTIF(Отзывы!$D:$D, 195717)</f>
        <v/>
      </c>
    </row>
    <row r="55">
      <c r="A55" t="n">
        <v>24295</v>
      </c>
      <c r="B55" t="inlineStr">
        <is>
          <t>simple tomato broth</t>
        </is>
      </c>
      <c r="C55" t="n">
        <v>252440</v>
      </c>
      <c r="D55" s="4" t="n">
        <v>15</v>
      </c>
      <c r="E55" s="1" t="n">
        <v>39336</v>
      </c>
      <c r="F55" t="inlineStr">
        <is>
          <t>very delicious light soup</t>
        </is>
      </c>
      <c r="G55" t="n">
        <v>5</v>
      </c>
      <c r="H55" t="n">
        <v>900</v>
      </c>
      <c r="I55">
        <f>D55*60</f>
        <v/>
      </c>
      <c r="J55">
        <f>COUNTIF(Отзывы!$D:$D, 252440)</f>
        <v/>
      </c>
    </row>
    <row r="56" ht="285" customHeight="1">
      <c r="A56" t="n">
        <v>17659</v>
      </c>
      <c r="B56" t="inlineStr">
        <is>
          <t>milder pumpkin pie</t>
        </is>
      </c>
      <c r="C56" t="n">
        <v>443070</v>
      </c>
      <c r="D56" s="4" t="n">
        <v>80</v>
      </c>
      <c r="E56" s="1" t="n">
        <v>40511</v>
      </c>
      <c r="F56" s="2" t="inlineStr">
        <is>
          <t>this recipe is great for those who prefer a milder pumpkin flavor to their pie._x000D_
best served with generous portions of real whip cream.</t>
        </is>
      </c>
      <c r="G56" t="n">
        <v>11</v>
      </c>
      <c r="H56" t="n">
        <v>4800</v>
      </c>
      <c r="I56">
        <f>D56*60</f>
        <v/>
      </c>
      <c r="J56">
        <f>COUNTIF(Отзывы!$D:$D, 443070)</f>
        <v/>
      </c>
    </row>
    <row r="57">
      <c r="A57" t="n">
        <v>20827</v>
      </c>
      <c r="B57" t="inlineStr">
        <is>
          <t>pineapple mustard pork loin</t>
        </is>
      </c>
      <c r="C57" t="n">
        <v>60312</v>
      </c>
      <c r="D57" s="4" t="n">
        <v>85</v>
      </c>
      <c r="E57" s="1" t="n">
        <v>37729</v>
      </c>
      <c r="F57" t="inlineStr">
        <is>
          <t>i found this recipe in the sunday paper-louisville, ky.  sounds great!  complement meat with another recipe i am posting (recipe #60314).</t>
        </is>
      </c>
      <c r="G57" t="n">
        <v>5</v>
      </c>
      <c r="H57" t="n">
        <v>5100</v>
      </c>
      <c r="I57">
        <f>D57*60</f>
        <v/>
      </c>
      <c r="J57">
        <f>COUNTIF(Отзывы!$D:$D, 60312)</f>
        <v/>
      </c>
    </row>
    <row r="58">
      <c r="A58" t="n">
        <v>10140</v>
      </c>
      <c r="B58" t="inlineStr">
        <is>
          <t>easy peanut butter   chocolate chip cookies</t>
        </is>
      </c>
      <c r="C58" t="n">
        <v>24153</v>
      </c>
      <c r="D58" s="4" t="n">
        <v>15</v>
      </c>
      <c r="E58" s="1" t="n">
        <v>37348</v>
      </c>
      <c r="F58" t="inlineStr">
        <is>
          <t>these are a very easy cookie and don't take a lot of time either. perfect for if you love peanut butter and chocolate-they have great taste!</t>
        </is>
      </c>
      <c r="H58" t="n">
        <v>900</v>
      </c>
      <c r="I58">
        <f>D58*60</f>
        <v/>
      </c>
      <c r="J58">
        <f>COUNTIF(Отзывы!$D:$D, 24153)</f>
        <v/>
      </c>
    </row>
    <row r="59">
      <c r="A59" t="n">
        <v>18667</v>
      </c>
      <c r="B59" t="inlineStr">
        <is>
          <t>nif s light grilled marinated chicken</t>
        </is>
      </c>
      <c r="C59" t="n">
        <v>379991</v>
      </c>
      <c r="D59" s="4" t="n">
        <v>20</v>
      </c>
      <c r="E59" s="1" t="n">
        <v>39996</v>
      </c>
      <c r="F59" t="inlineStr">
        <is>
          <t>a nice light, yet flavourful dish that is easy and the breasts can be served whole or on skewers. if you are using wooden skewers, be sure to soak them in cool water for 30 minutes. i also place a strip of tinfoil under the exposed skewers when on the grill. i recently purchased metal skewers and i really like them. i did not include marinating time. enjoy!</t>
        </is>
      </c>
      <c r="H59" t="n">
        <v>1200</v>
      </c>
      <c r="I59">
        <f>D59*60</f>
        <v/>
      </c>
      <c r="J59">
        <f>COUNTIF(Отзывы!$D:$D, 379991)</f>
        <v/>
      </c>
    </row>
    <row r="60">
      <c r="A60" t="n">
        <v>15697</v>
      </c>
      <c r="B60" t="inlineStr">
        <is>
          <t>lazy chicken in herbed sauce</t>
        </is>
      </c>
      <c r="C60" t="n">
        <v>43928</v>
      </c>
      <c r="D60" s="4" t="n">
        <v>90</v>
      </c>
      <c r="E60" s="1" t="n">
        <v>37551</v>
      </c>
      <c r="F60" t="inlineStr">
        <is>
          <t xml:space="preserve">last month, at an antique auction, i bought a maple cookbook stand full of vintage cookbooks. the books start in the mid 1930's and chronicles the owner's interest in american food. this unbound 64 page version of </t>
        </is>
      </c>
      <c r="H60" t="n">
        <v>5400</v>
      </c>
      <c r="I60">
        <f>D60*60</f>
        <v/>
      </c>
      <c r="J60">
        <f>COUNTIF(Отзывы!$D:$D, 43928)</f>
        <v/>
      </c>
    </row>
    <row r="61">
      <c r="A61" t="n">
        <v>14382</v>
      </c>
      <c r="B61" t="inlineStr">
        <is>
          <t>iced lime tea</t>
        </is>
      </c>
      <c r="C61" t="n">
        <v>171512</v>
      </c>
      <c r="D61" s="6" t="n">
        <v>10</v>
      </c>
      <c r="E61" s="1" t="n">
        <v>38873</v>
      </c>
      <c r="F61" t="inlineStr">
        <is>
          <t>this recipe will suite diabetics and anyone needing a sugar free recipe—alternately, regular ingredients can be used.</t>
        </is>
      </c>
      <c r="G61" t="n">
        <v>4</v>
      </c>
      <c r="H61" t="n">
        <v>600</v>
      </c>
      <c r="I61">
        <f>D61*60</f>
        <v/>
      </c>
      <c r="J61">
        <f>COUNTIF(Отзывы!$D:$D, 171512)</f>
        <v/>
      </c>
    </row>
    <row r="62">
      <c r="A62" t="n">
        <v>2600</v>
      </c>
      <c r="B62" t="inlineStr">
        <is>
          <t>beef and hash browns dinner crock pot</t>
        </is>
      </c>
      <c r="C62" t="n">
        <v>38672</v>
      </c>
      <c r="D62" s="4" t="n">
        <v>370</v>
      </c>
      <c r="E62" s="1" t="n">
        <v>37495</v>
      </c>
      <c r="F62" t="inlineStr">
        <is>
          <t>the best crock pot dinner i have ever made! a fabulous combination of ground beef, hash brown potatoes, creamed corn and cheddar cheese.</t>
        </is>
      </c>
      <c r="G62" t="n">
        <v>11</v>
      </c>
      <c r="H62" t="n">
        <v>22200</v>
      </c>
      <c r="I62">
        <f>D62*60</f>
        <v/>
      </c>
      <c r="J62">
        <f>COUNTIF(Отзывы!$D:$D, 38672)</f>
        <v/>
      </c>
    </row>
    <row r="63">
      <c r="A63" t="n">
        <v>11211</v>
      </c>
      <c r="B63" t="inlineStr">
        <is>
          <t>fortifying beverage</t>
        </is>
      </c>
      <c r="C63" t="n">
        <v>408186</v>
      </c>
      <c r="D63" s="6" t="n">
        <v>5</v>
      </c>
      <c r="E63" s="1" t="n">
        <v>40190</v>
      </c>
      <c r="F63" t="inlineStr">
        <is>
          <t>drink this before breakfast. tastes great, is incredibly healthy, and you don't need a juicer. tip: i prepare some ahead of time and freeze 1 cup in silicone muffin pans. i take it out the night before, let it thaw overnight in the fridge, and i have a constant supply.</t>
        </is>
      </c>
      <c r="G63" t="n">
        <v>3</v>
      </c>
      <c r="H63" t="n">
        <v>300</v>
      </c>
      <c r="I63">
        <f>D63*60</f>
        <v/>
      </c>
      <c r="J63">
        <f>COUNTIF(Отзывы!$D:$D, 408186)</f>
        <v/>
      </c>
    </row>
    <row r="64">
      <c r="A64" t="n">
        <v>16495</v>
      </c>
      <c r="B64" t="inlineStr">
        <is>
          <t>low fat oven fried scallops</t>
        </is>
      </c>
      <c r="C64" t="n">
        <v>31662</v>
      </c>
      <c r="D64" s="4" t="n">
        <v>20</v>
      </c>
      <c r="E64" s="1" t="n">
        <v>37427</v>
      </c>
      <c r="F64" t="inlineStr">
        <is>
          <t>easy, tasty, low-fat says it all about these scallops!</t>
        </is>
      </c>
      <c r="G64" t="n">
        <v>6</v>
      </c>
      <c r="H64" t="n">
        <v>1200</v>
      </c>
      <c r="I64">
        <f>D64*60</f>
        <v/>
      </c>
      <c r="J64">
        <f>COUNTIF(Отзывы!$D:$D, 31662)</f>
        <v/>
      </c>
    </row>
    <row r="65">
      <c r="A65" t="n">
        <v>58</v>
      </c>
      <c r="B65" t="inlineStr">
        <is>
          <t>missy s  sweet potato casserole</t>
        </is>
      </c>
      <c r="C65" t="n">
        <v>401605</v>
      </c>
      <c r="D65" s="4" t="n">
        <v>50</v>
      </c>
      <c r="E65" s="1" t="n">
        <v>40145</v>
      </c>
      <c r="F65" t="inlineStr">
        <is>
          <t>this is the recipe i have been using for years, and i am putting it here for safekeeping.  i was making it this morning for thanksgiving and noticed that my copy is starting to get soiled.  this is so good, you could almost eat it for dessert.</t>
        </is>
      </c>
      <c r="G65" t="n">
        <v>10</v>
      </c>
      <c r="H65" t="n">
        <v>3000</v>
      </c>
      <c r="I65">
        <f>D65*60</f>
        <v/>
      </c>
      <c r="J65">
        <f>COUNTIF(Отзывы!$D:$D, 401605)</f>
        <v/>
      </c>
    </row>
    <row r="66">
      <c r="A66" t="n">
        <v>22588</v>
      </c>
      <c r="B66" t="inlineStr">
        <is>
          <t>rich tea biscuits</t>
        </is>
      </c>
      <c r="C66" t="n">
        <v>74691</v>
      </c>
      <c r="D66" s="4" t="n">
        <v>30</v>
      </c>
      <c r="E66" s="1" t="n">
        <v>37925</v>
      </c>
      <c r="F66" t="inlineStr">
        <is>
          <t>found this recipe in jean pare's "company's coming" cookbook. i've made baking powder biscuits before, but not with cream of tarter in the recipe.</t>
        </is>
      </c>
      <c r="G66" t="n">
        <v>7</v>
      </c>
      <c r="H66" t="n">
        <v>1800</v>
      </c>
      <c r="I66">
        <f>D66*60</f>
        <v/>
      </c>
      <c r="J66">
        <f>COUNTIF(Отзывы!$D:$D, 74691)</f>
        <v/>
      </c>
    </row>
    <row r="67">
      <c r="A67" t="n">
        <v>7215</v>
      </c>
      <c r="B67" t="inlineStr">
        <is>
          <t>clover honey</t>
        </is>
      </c>
      <c r="C67" t="n">
        <v>93301</v>
      </c>
      <c r="D67" s="4" t="n">
        <v>17</v>
      </c>
      <c r="E67" s="1" t="n">
        <v>38152</v>
      </c>
      <c r="F67" t="inlineStr">
        <is>
          <t>my neighbor, dot warman, ( she's 101 now) used to make this and give it out for gifts. this is a fun summer recipe to make with kids. you won't believe it's not the real thing! =) ps just make sure the clover and roses have no spray or other chemicals on them.</t>
        </is>
      </c>
      <c r="G67" t="n">
        <v>6</v>
      </c>
      <c r="H67" t="n">
        <v>1020</v>
      </c>
      <c r="I67">
        <f>D67*60</f>
        <v/>
      </c>
      <c r="J67">
        <f>COUNTIF(Отзывы!$D:$D, 93301)</f>
        <v/>
      </c>
    </row>
    <row r="68">
      <c r="A68" t="n">
        <v>9913</v>
      </c>
      <c r="B68" t="inlineStr">
        <is>
          <t>easy chicken kiev  baked</t>
        </is>
      </c>
      <c r="C68" t="n">
        <v>241178</v>
      </c>
      <c r="D68" s="4" t="n">
        <v>80</v>
      </c>
      <c r="E68" s="1" t="n">
        <v>39281</v>
      </c>
      <c r="F68" t="inlineStr">
        <is>
          <t>there's a few recipes on zaar for this, but this one seems different from the rest, even though some ingredients are the same.  this is simple and delicious.  prep time includes 30 minutes to freeze.</t>
        </is>
      </c>
      <c r="G68" t="n">
        <v>10</v>
      </c>
      <c r="H68" t="n">
        <v>4800</v>
      </c>
      <c r="I68">
        <f>D68*60</f>
        <v/>
      </c>
      <c r="J68">
        <f>COUNTIF(Отзывы!$D:$D, 241178)</f>
        <v/>
      </c>
    </row>
    <row r="69" ht="105" customHeight="1">
      <c r="A69" t="n">
        <v>21938</v>
      </c>
      <c r="B69" t="inlineStr">
        <is>
          <t>quick hoppin  john</t>
        </is>
      </c>
      <c r="C69" t="n">
        <v>137845</v>
      </c>
      <c r="D69" s="4" t="n">
        <v>30</v>
      </c>
      <c r="E69" s="1" t="n">
        <v>38614</v>
      </c>
      <c r="F69" s="2" t="inlineStr">
        <is>
          <t>from southern living/homestyle cooking_x000D_
easy and quick</t>
        </is>
      </c>
      <c r="G69" t="n">
        <v>9</v>
      </c>
      <c r="H69" t="n">
        <v>1800</v>
      </c>
      <c r="I69">
        <f>D69*60</f>
        <v/>
      </c>
      <c r="J69">
        <f>COUNTIF(Отзывы!$D:$D, 137845)</f>
        <v/>
      </c>
    </row>
    <row r="70">
      <c r="A70" t="n">
        <v>21609</v>
      </c>
      <c r="B70" t="inlineStr">
        <is>
          <t>puck s packet o  fish</t>
        </is>
      </c>
      <c r="C70" t="n">
        <v>278695</v>
      </c>
      <c r="D70" s="4" t="n">
        <v>30</v>
      </c>
      <c r="E70" s="1" t="n">
        <v>39461</v>
      </c>
      <c r="F70" t="inlineStr">
        <is>
          <t>this light and flavorful dish is new-year’s-resolution-friendly! using the en papillote technique benefits the delicate texture and taste of fish and shellfish without compromising moisture retention.  i like to use nz orange roughy if available. wolfgang puck says, "use whatever really fresh fish fillets you find such as red snapper, bass, trout, or pike; or try shrimp instead. vary the seasonings in any way you like. for example, use toasted sesame oil, grated ginger, minced garlic, and a splash of soy sauce for an asian variation.  or substitute cilantro, minced jalapeño, and a little lime juice for a mexican flavor."  we really enjoyed this served with rice.</t>
        </is>
      </c>
      <c r="G70" t="n">
        <v>9</v>
      </c>
      <c r="H70" t="n">
        <v>1800</v>
      </c>
      <c r="I70">
        <f>D70*60</f>
        <v/>
      </c>
      <c r="J70">
        <f>COUNTIF(Отзывы!$D:$D, 278695)</f>
        <v/>
      </c>
    </row>
    <row r="71">
      <c r="A71" t="n">
        <v>12546</v>
      </c>
      <c r="B71" t="inlineStr">
        <is>
          <t>greek feta cheese souffls</t>
        </is>
      </c>
      <c r="C71" t="n">
        <v>58042</v>
      </c>
      <c r="D71" s="4" t="n">
        <v>75</v>
      </c>
      <c r="E71" s="1" t="n">
        <v>37715</v>
      </c>
      <c r="F71" t="inlineStr">
        <is>
          <t>a nice feta cheese souffle. serve with chablis, chenin blanc or beaujolais wine. enjoy</t>
        </is>
      </c>
      <c r="G71" t="n">
        <v>9</v>
      </c>
      <c r="H71" t="n">
        <v>4500</v>
      </c>
      <c r="I71">
        <f>D71*60</f>
        <v/>
      </c>
      <c r="J71">
        <f>COUNTIF(Отзывы!$D:$D, 58042)</f>
        <v/>
      </c>
    </row>
    <row r="72">
      <c r="A72" t="n">
        <v>20915</v>
      </c>
      <c r="B72" t="inlineStr">
        <is>
          <t>pistachio chicken strips</t>
        </is>
      </c>
      <c r="C72" t="n">
        <v>289109</v>
      </c>
      <c r="D72" s="4" t="n">
        <v>35</v>
      </c>
      <c r="E72" s="1" t="n">
        <v>39506</v>
      </c>
      <c r="F72" t="inlineStr">
        <is>
          <t>i was craving a chicken-finger type lunch so i invented these.  they are crispy on the outside and keep the chicken tender on the inside.  i hope you enjoy them!</t>
        </is>
      </c>
      <c r="G72" t="n">
        <v>8</v>
      </c>
      <c r="H72" t="n">
        <v>2100</v>
      </c>
      <c r="I72">
        <f>D72*60</f>
        <v/>
      </c>
      <c r="J72">
        <f>COUNTIF(Отзывы!$D:$D, 289109)</f>
        <v/>
      </c>
    </row>
    <row r="73">
      <c r="A73" t="n">
        <v>8367</v>
      </c>
      <c r="B73" t="inlineStr">
        <is>
          <t>creamy southwestern dip</t>
        </is>
      </c>
      <c r="C73" t="n">
        <v>149282</v>
      </c>
      <c r="D73" s="6" t="n">
        <v>10</v>
      </c>
      <c r="E73" s="1" t="n">
        <v>38712</v>
      </c>
      <c r="F73" t="inlineStr">
        <is>
          <t>this dip is always a hit.  serve w/ tortilla chips, crackers, or veggies.</t>
        </is>
      </c>
      <c r="G73" t="n">
        <v>9</v>
      </c>
      <c r="H73" t="n">
        <v>600</v>
      </c>
      <c r="I73">
        <f>D73*60</f>
        <v/>
      </c>
      <c r="J73">
        <f>COUNTIF(Отзывы!$D:$D, 149282)</f>
        <v/>
      </c>
    </row>
    <row r="74">
      <c r="A74" t="n">
        <v>12426</v>
      </c>
      <c r="B74" t="inlineStr">
        <is>
          <t>grandma s kitchen old world manicotti</t>
        </is>
      </c>
      <c r="C74" t="n">
        <v>263012</v>
      </c>
      <c r="D74" s="4" t="n">
        <v>60</v>
      </c>
      <c r="E74" s="1" t="n">
        <v>39387</v>
      </c>
      <c r="F74" t="inlineStr">
        <is>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is>
      </c>
      <c r="G74" t="n">
        <v>6</v>
      </c>
      <c r="H74" t="n">
        <v>3600</v>
      </c>
      <c r="I74">
        <f>D74*60</f>
        <v/>
      </c>
      <c r="J74">
        <f>COUNTIF(Отзывы!$D:$D, 263012)</f>
        <v/>
      </c>
    </row>
    <row r="75">
      <c r="A75" t="n">
        <v>20057</v>
      </c>
      <c r="B75" t="inlineStr">
        <is>
          <t>paula dean s spicy buttermilk fried chicken</t>
        </is>
      </c>
      <c r="C75" t="n">
        <v>457092</v>
      </c>
      <c r="D75" s="4" t="n">
        <v>30</v>
      </c>
      <c r="E75" s="1" t="n">
        <v>40686</v>
      </c>
      <c r="F75" t="inlineStr">
        <is>
          <t>this is a great recipe if you like fried chicken! i usually place my chicken in the buttermilk mixture and let sit over night until the next evening when i prepare it. i also add more hot sauce to the buttermilk. paula dean definitely knows how to fry chicken!</t>
        </is>
      </c>
      <c r="G75" t="n">
        <v>9</v>
      </c>
      <c r="H75" t="n">
        <v>1800</v>
      </c>
      <c r="I75">
        <f>D75*60</f>
        <v/>
      </c>
      <c r="J75">
        <f>COUNTIF(Отзывы!$D:$D, 457092)</f>
        <v/>
      </c>
    </row>
    <row r="76">
      <c r="A76" t="n">
        <v>1595</v>
      </c>
      <c r="B76" t="inlineStr">
        <is>
          <t>baby carrots with dill butter</t>
        </is>
      </c>
      <c r="C76" t="n">
        <v>340656</v>
      </c>
      <c r="D76" s="6" t="n">
        <v>10</v>
      </c>
      <c r="E76" s="1" t="n">
        <v>39783</v>
      </c>
      <c r="F76" t="inlineStr">
        <is>
          <t>a simple carrot dish that's perfect for many meals.</t>
        </is>
      </c>
      <c r="G76" t="n">
        <v>5</v>
      </c>
      <c r="H76" t="n">
        <v>600</v>
      </c>
      <c r="I76">
        <f>D76*60</f>
        <v/>
      </c>
      <c r="J76">
        <f>COUNTIF(Отзывы!$D:$D, 340656)</f>
        <v/>
      </c>
    </row>
    <row r="77">
      <c r="A77" t="n">
        <v>4099</v>
      </c>
      <c r="B77" t="inlineStr">
        <is>
          <t>bulk hometown buffet fried chicken seasoning</t>
        </is>
      </c>
      <c r="C77" t="n">
        <v>493081</v>
      </c>
      <c r="D77" s="6" t="n">
        <v>10</v>
      </c>
      <c r="E77" s="1" t="n">
        <v>41279</v>
      </c>
      <c r="F77" t="inlineStr">
        <is>
          <t>my reverse-engineered recipe for hometown buffet's 'hand breaded fried chicken' chicken yields enough seasoning for 6 batches fried chicken (for the single recipe version, see recipe #409958). mix 5 level tablespoons of this blend with 1 3/4 cups all-purpose flour plus 1/4 cup cornstarch, for frying 8-10 pieces chicken. see recipe #409958 for frying instructions.</t>
        </is>
      </c>
      <c r="H77" t="n">
        <v>600</v>
      </c>
      <c r="I77">
        <f>D77*60</f>
        <v/>
      </c>
      <c r="J77">
        <f>COUNTIF(Отзывы!$D:$D, 493081)</f>
        <v/>
      </c>
    </row>
    <row r="78">
      <c r="A78" t="n">
        <v>24073</v>
      </c>
      <c r="B78" t="inlineStr">
        <is>
          <t>shrimp dipping broth</t>
        </is>
      </c>
      <c r="C78" t="n">
        <v>229492</v>
      </c>
      <c r="D78" s="4" t="n">
        <v>50</v>
      </c>
      <c r="E78" s="1" t="n">
        <v>39224</v>
      </c>
      <c r="F78" t="inlineStr">
        <is>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is>
      </c>
      <c r="G78" t="n">
        <v>12</v>
      </c>
      <c r="H78" t="n">
        <v>3000</v>
      </c>
      <c r="I78">
        <f>D78*60</f>
        <v/>
      </c>
      <c r="J78">
        <f>COUNTIF(Отзывы!$D:$D, 229492)</f>
        <v/>
      </c>
    </row>
    <row r="79">
      <c r="A79" t="n">
        <v>3114</v>
      </c>
      <c r="B79" t="inlineStr">
        <is>
          <t>black bean   rice veggie burgers</t>
        </is>
      </c>
      <c r="C79" t="n">
        <v>156332</v>
      </c>
      <c r="D79" s="4" t="n">
        <v>20</v>
      </c>
      <c r="E79" s="1" t="n">
        <v>38764</v>
      </c>
      <c r="F79" t="inlineStr">
        <is>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is>
      </c>
      <c r="G79" t="n">
        <v>5</v>
      </c>
      <c r="H79" t="n">
        <v>1200</v>
      </c>
      <c r="I79">
        <f>D79*60</f>
        <v/>
      </c>
      <c r="J79">
        <f>COUNTIF(Отзывы!$D:$D, 156332)</f>
        <v/>
      </c>
    </row>
    <row r="80" ht="409.5" customHeight="1">
      <c r="A80" t="n">
        <v>25141</v>
      </c>
      <c r="B80" t="inlineStr">
        <is>
          <t>spanish tortilla ww 2 pts  core</t>
        </is>
      </c>
      <c r="C80" t="n">
        <v>180161</v>
      </c>
      <c r="D80" s="4" t="n">
        <v>35</v>
      </c>
      <c r="E80" s="1" t="n">
        <v>38930</v>
      </c>
      <c r="F80" s="2" t="inlineStr">
        <is>
          <t>in spain, tortilla most commonly refers to an omelet, not the flat bread we know.  this variation on the classic adds spinach to the basic egg-and-potato combination.  add a tomato salad as a side dish and this would make a perfect brunch dish.  it is best served at room temperature._x000D_
_x000D_
this is a recipe i have yet to try.  it is from the weight watchers-1996- cut the fat cookbook.  therefore prep/cooking times are approximate._x000D_
_x000D_
this recipe is 2pts if you are doing flex, and it is a core recipe.</t>
        </is>
      </c>
      <c r="G80" t="n">
        <v>11</v>
      </c>
      <c r="H80" t="n">
        <v>2100</v>
      </c>
      <c r="I80">
        <f>D80*60</f>
        <v/>
      </c>
      <c r="J80">
        <f>COUNTIF(Отзывы!$D:$D, 180161)</f>
        <v/>
      </c>
    </row>
    <row r="81">
      <c r="A81" t="n">
        <v>19632</v>
      </c>
      <c r="B81" t="inlineStr">
        <is>
          <t>oven roasted tomatoes</t>
        </is>
      </c>
      <c r="C81" t="n">
        <v>232092</v>
      </c>
      <c r="D81" s="4" t="n">
        <v>50</v>
      </c>
      <c r="E81" s="1" t="n">
        <v>39236</v>
      </c>
      <c r="F81" t="inlineStr">
        <is>
          <t>excellent on italian sandwiches</t>
        </is>
      </c>
      <c r="H81" t="n">
        <v>3000</v>
      </c>
      <c r="I81">
        <f>D81*60</f>
        <v/>
      </c>
      <c r="J81">
        <f>COUNTIF(Отзывы!$D:$D, 232092)</f>
        <v/>
      </c>
    </row>
    <row r="82">
      <c r="A82" t="n">
        <v>26432</v>
      </c>
      <c r="B82" t="inlineStr">
        <is>
          <t>super easy no bake pie</t>
        </is>
      </c>
      <c r="C82" t="n">
        <v>442469</v>
      </c>
      <c r="D82" s="4" t="n">
        <v>20</v>
      </c>
      <c r="E82" s="1" t="n">
        <v>40502</v>
      </c>
      <c r="F82" t="inlineStr">
        <is>
          <t>prewarn you that this pie turns out crazy sweet, thick, and rich. it can easily be adjusted and personallized anyway you like. i made a chocolate cheese-cake like cream pie with whipped topping (top sprinkled with mini chocolate chips) but i can think of hundreds of different pies i can make with varying the flavors and additions. it is so simple, the ingredients are cheap, and it can be done and ready in a snap. great for a quick desert or sweet treat. let me know what ideas you come up with!</t>
        </is>
      </c>
      <c r="G82" t="n">
        <v>5</v>
      </c>
      <c r="H82" t="n">
        <v>1200</v>
      </c>
      <c r="I82">
        <f>D82*60</f>
        <v/>
      </c>
      <c r="J82">
        <f>COUNTIF(Отзывы!$D:$D, 442469)</f>
        <v/>
      </c>
    </row>
    <row r="83">
      <c r="A83" t="n">
        <v>12933</v>
      </c>
      <c r="B83" t="inlineStr">
        <is>
          <t>grilled meat skewers with bay leaves</t>
        </is>
      </c>
      <c r="C83" t="n">
        <v>67685</v>
      </c>
      <c r="D83" s="4" t="n">
        <v>30</v>
      </c>
      <c r="E83" s="1" t="n">
        <v>37830</v>
      </c>
      <c r="F83" t="inlineStr">
        <is>
          <t>this recipe is from the houston chronicle. the smell of the bay leaves, while grilling, is wonderful. throw some on the fire, too, for great aroma-therapy! the time indicated does not include time to prepare the grill.</t>
        </is>
      </c>
      <c r="G83" t="n">
        <v>5</v>
      </c>
      <c r="H83" t="n">
        <v>1800</v>
      </c>
      <c r="I83">
        <f>D83*60</f>
        <v/>
      </c>
      <c r="J83">
        <f>COUNTIF(Отзывы!$D:$D, 67685)</f>
        <v/>
      </c>
    </row>
    <row r="84">
      <c r="A84" t="n">
        <v>29395</v>
      </c>
      <c r="B84" t="inlineStr">
        <is>
          <t>wicked blueberry coffee cake</t>
        </is>
      </c>
      <c r="C84" t="n">
        <v>222789</v>
      </c>
      <c r="D84" s="4" t="n">
        <v>50</v>
      </c>
      <c r="E84" s="1" t="n">
        <v>39188</v>
      </c>
      <c r="F84" t="inlineStr">
        <is>
          <t>from murder on the rocks by karen macinerney. i haven't tried this yet but it sounds good.</t>
        </is>
      </c>
      <c r="H84" t="n">
        <v>3000</v>
      </c>
      <c r="I84">
        <f>D84*60</f>
        <v/>
      </c>
      <c r="J84">
        <f>COUNTIF(Отзывы!$D:$D, 222789)</f>
        <v/>
      </c>
    </row>
    <row r="85" ht="409.5" customHeight="1">
      <c r="A85" t="n">
        <v>12992</v>
      </c>
      <c r="B85" t="inlineStr">
        <is>
          <t>grilled rib eye brochettes with charmoula</t>
        </is>
      </c>
      <c r="C85" t="n">
        <v>504814</v>
      </c>
      <c r="D85" s="4" t="n">
        <v>145</v>
      </c>
      <c r="E85" s="1" t="n">
        <v>41483</v>
      </c>
      <c r="F85" s="2" t="inlineStr">
        <is>
          <t>charmoula or chermoula  (chrmla) is a marinade used in algerian, moroccan and tunisian cooking. it is usually used to flavor fish or seafood, but it can be used on other meats or vegetables.  chrmla is often made of a mixture of herbs, oil, lemon juice, pickled lemons, garlic, cumin, and salt.  it may also include onion, fresh coriander, ground chili peppers, black pepper, or saffron.  _x000D_
there are many different recipes that use different spices, and the proportions vary widely. in most recipes, the first two ingredients are garlic and coriander).  a moroccan version comprises dried parsley, cumin, paprika and salt and pepper. it is the original seasoning for grilling meat and fish in moroccan cuisine.  this recipe adds easy north african flavor to beef kebabs by using a traditional charmoula marinade and was created by chef tim mckee of minneapolis.  use a marbled rib eye for the kebabs; it won't dry out on the grill.</t>
        </is>
      </c>
      <c r="G85" t="n">
        <v>15</v>
      </c>
      <c r="H85" t="n">
        <v>8700</v>
      </c>
      <c r="I85">
        <f>D85*60</f>
        <v/>
      </c>
      <c r="J85">
        <f>COUNTIF(Отзывы!$D:$D, 504814)</f>
        <v/>
      </c>
    </row>
    <row r="86">
      <c r="A86" t="n">
        <v>25120</v>
      </c>
      <c r="B86" t="inlineStr">
        <is>
          <t>spanish meatballs with romesco sauce</t>
        </is>
      </c>
      <c r="C86" t="n">
        <v>370313</v>
      </c>
      <c r="D86" s="4" t="n">
        <v>65</v>
      </c>
      <c r="E86" s="1" t="n">
        <v>39939</v>
      </c>
      <c r="F86" t="inlineStr">
        <is>
          <t>perfect for a tapas party.  you'll want to put the romesco sauce on everything.  from williams-sonoma "taste" cookbook.</t>
        </is>
      </c>
      <c r="G86" t="n">
        <v>19</v>
      </c>
      <c r="H86" t="n">
        <v>3900</v>
      </c>
      <c r="I86">
        <f>D86*60</f>
        <v/>
      </c>
      <c r="J86">
        <f>COUNTIF(Отзывы!$D:$D, 370313)</f>
        <v/>
      </c>
    </row>
    <row r="87" ht="409.5" customHeight="1">
      <c r="A87" t="n">
        <v>57</v>
      </c>
      <c r="B87" t="inlineStr">
        <is>
          <t>melanie s  chicken chili</t>
        </is>
      </c>
      <c r="C87" t="n">
        <v>390230</v>
      </c>
      <c r="D87" s="4" t="n">
        <v>90</v>
      </c>
      <c r="E87" s="1" t="n">
        <v>40070</v>
      </c>
      <c r="F87" s="2" t="inlineStr">
        <is>
          <t>years ago, i started experimenting with a chicken variety of my mom's old basic chili recipe.    i never, ever make a chili the same way - that's the beauty of it.   just use what you have in your pantry or what you are craving....there's really no way you can go wrong.   every time, i make chili with chicken it is different. for my family &amp; friends who think there is an actual "melanie's chicken chili recipe", here's my attempt to finally publish it with approximate ingredients for you.    _x000D_
_x000D_
feel free to mix it up anyway you please - but my biggest rule is please don't use canned diced chilies in that acidic gross tasting preservative juice - yeah you know what i'm talking about and gross!</t>
        </is>
      </c>
      <c r="G87" t="n">
        <v>22</v>
      </c>
      <c r="H87" t="n">
        <v>5400</v>
      </c>
      <c r="I87">
        <f>D87*60</f>
        <v/>
      </c>
      <c r="J87">
        <f>COUNTIF(Отзывы!$D:$D, 390230)</f>
        <v/>
      </c>
    </row>
    <row r="88">
      <c r="A88" t="n">
        <v>3205</v>
      </c>
      <c r="B88" t="inlineStr">
        <is>
          <t>black and white turkey chili</t>
        </is>
      </c>
      <c r="C88" t="n">
        <v>325051</v>
      </c>
      <c r="D88" s="4" t="n">
        <v>50</v>
      </c>
      <c r="E88" s="1" t="n">
        <v>39704</v>
      </c>
      <c r="F88" t="inlineStr">
        <is>
          <t>this is a recipe that i found in a new cookbook that i just received called "betty crocker country favorites".  i can't wait to try this one!  cannellini beans are large, white italian kidney beans that are quite delicious.  special update note 9/20/2008: one helpful reviewer suggested 1/4 - 1/2 teaspoon cheyenne pepper to spice this up a bit.  thanks for sharing!</t>
        </is>
      </c>
      <c r="G88" t="n">
        <v>10</v>
      </c>
      <c r="H88" t="n">
        <v>3000</v>
      </c>
      <c r="I88">
        <f>D88*60</f>
        <v/>
      </c>
      <c r="J88">
        <f>COUNTIF(Отзывы!$D:$D, 325051)</f>
        <v/>
      </c>
    </row>
    <row r="89" ht="409.5" customHeight="1">
      <c r="A89" t="n">
        <v>14112</v>
      </c>
      <c r="B89" t="inlineStr">
        <is>
          <t>hornswaggle peachy keen ginger mojito</t>
        </is>
      </c>
      <c r="C89" t="n">
        <v>501161</v>
      </c>
      <c r="D89" s="6" t="n">
        <v>5</v>
      </c>
      <c r="E89" s="1" t="n">
        <v>41424</v>
      </c>
      <c r="F89" s="2" t="inlineStr">
        <is>
          <t>ye'll be feelin' peachy keen after 'tis drink. make a virgin version usin' a drop or a pair 'o rum extract 'n peach juice from th' canned peaches to equal 1/4 cup. thank ye fer enjoyin' me feel jolly drink. oh you ask why hornswaggle because the canned peaches make it easy. hornswaggle=cheat also the blender makes it a cheating way so you don't have to muddle the goods. woe ye all had as much a ruckas as i did wit' 'tis contest? raiders 'o th' lost pantry cookin' contest _x000D_
if ye didnt maybe ye need a drink? yo-ho-ho and a bottle of rum!</t>
        </is>
      </c>
      <c r="H89" t="n">
        <v>300</v>
      </c>
      <c r="I89">
        <f>D89*60</f>
        <v/>
      </c>
      <c r="J89">
        <f>COUNTIF(Отзывы!$D:$D, 501161)</f>
        <v/>
      </c>
    </row>
    <row r="90">
      <c r="A90" t="n">
        <v>7742</v>
      </c>
      <c r="B90" t="inlineStr">
        <is>
          <t>country style pot roast</t>
        </is>
      </c>
      <c r="C90" t="n">
        <v>156573</v>
      </c>
      <c r="D90" s="4" t="n">
        <v>210</v>
      </c>
      <c r="E90" s="1" t="n">
        <v>38765</v>
      </c>
      <c r="F90" t="inlineStr">
        <is>
          <t>from a lipton recipe secrets newsletter.</t>
        </is>
      </c>
      <c r="H90" t="n">
        <v>12600</v>
      </c>
      <c r="I90">
        <f>D90*60</f>
        <v/>
      </c>
      <c r="J90">
        <f>COUNTIF(Отзывы!$D:$D, 156573)</f>
        <v/>
      </c>
    </row>
    <row r="91">
      <c r="A91" t="n">
        <v>17410</v>
      </c>
      <c r="B91" t="inlineStr">
        <is>
          <t>meringue kisses  almond orange strawberry mint cocoa variations</t>
        </is>
      </c>
      <c r="C91" t="n">
        <v>443465</v>
      </c>
      <c r="D91" s="4" t="n">
        <v>120</v>
      </c>
      <c r="E91" s="1" t="n">
        <v>40515</v>
      </c>
      <c r="F91" t="inlineStr">
        <is>
          <t>if you can't find superfine sugar you can make your own by running granulated sugar in a food processor or blender until powdery. after you turn it off, let the powder settle for a minute before you open the food processor.  see flavor variations below.</t>
        </is>
      </c>
      <c r="G91" t="n">
        <v>6</v>
      </c>
      <c r="H91" t="n">
        <v>7200</v>
      </c>
      <c r="I91">
        <f>D91*60</f>
        <v/>
      </c>
      <c r="J91">
        <f>COUNTIF(Отзывы!$D:$D, 443465)</f>
        <v/>
      </c>
    </row>
    <row r="92">
      <c r="A92" t="n">
        <v>15203</v>
      </c>
      <c r="B92" t="inlineStr">
        <is>
          <t>karee curry with chicken from thailand</t>
        </is>
      </c>
      <c r="C92" t="n">
        <v>502802</v>
      </c>
      <c r="D92" s="4" t="n">
        <v>40</v>
      </c>
      <c r="E92" s="1" t="n">
        <v>41457</v>
      </c>
      <c r="F92" t="inlineStr">
        <is>
          <t>a mild sounding chicken curry cooked in coconut milk.  from ezythaicooking.com for zwt</t>
        </is>
      </c>
      <c r="G92" t="n">
        <v>11</v>
      </c>
      <c r="H92" t="n">
        <v>2400</v>
      </c>
      <c r="I92">
        <f>D92*60</f>
        <v/>
      </c>
      <c r="J92">
        <f>COUNTIF(Отзывы!$D:$D, 502802)</f>
        <v/>
      </c>
    </row>
    <row r="93">
      <c r="A93" t="n">
        <v>1969</v>
      </c>
      <c r="B93" t="inlineStr">
        <is>
          <t>baked salmon fillets</t>
        </is>
      </c>
      <c r="C93" t="n">
        <v>204228</v>
      </c>
      <c r="D93" s="4" t="n">
        <v>25</v>
      </c>
      <c r="E93" s="1" t="n">
        <v>39090</v>
      </c>
      <c r="F93" t="inlineStr">
        <is>
          <t>i used my daughter's recipe with some modifications. for those who don't really fancy the taste of fish, this recipe will cure you of that. it is light and no overpowering fishy taste. serve with rice and a vegetable of your choice (we like it with steamed broccoli).</t>
        </is>
      </c>
      <c r="H93" t="n">
        <v>1500</v>
      </c>
      <c r="I93">
        <f>D93*60</f>
        <v/>
      </c>
      <c r="J93">
        <f>COUNTIF(Отзывы!$D:$D, 204228)</f>
        <v/>
      </c>
    </row>
    <row r="94">
      <c r="A94" t="n">
        <v>17651</v>
      </c>
      <c r="B94" t="inlineStr">
        <is>
          <t>mignon s rice and broccoli casserole</t>
        </is>
      </c>
      <c r="C94" t="n">
        <v>201818</v>
      </c>
      <c r="D94" s="4" t="n">
        <v>30</v>
      </c>
      <c r="E94" s="1" t="n">
        <v>39075</v>
      </c>
      <c r="F94" t="inlineStr">
        <is>
          <t>this is been made for years in the family and pretty good.</t>
        </is>
      </c>
      <c r="G94" t="n">
        <v>6</v>
      </c>
      <c r="H94" t="n">
        <v>1800</v>
      </c>
      <c r="I94">
        <f>D94*60</f>
        <v/>
      </c>
      <c r="J94">
        <f>COUNTIF(Отзывы!$D:$D, 201818)</f>
        <v/>
      </c>
    </row>
    <row r="95">
      <c r="A95" t="n">
        <v>10718</v>
      </c>
      <c r="B95" t="inlineStr">
        <is>
          <t>family favorite crock pot meatloaf</t>
        </is>
      </c>
      <c r="C95" t="n">
        <v>38249</v>
      </c>
      <c r="D95" s="4" t="n">
        <v>435</v>
      </c>
      <c r="E95" s="1" t="n">
        <v>37494</v>
      </c>
      <c r="F95" t="inlineStr">
        <is>
          <t>found this recipe many years ago in my very first crockery cookery cookbook. if you like meatloaf either hot or for cold sandwiches this has a real nice flavor especially with sweet sauce on the top!</t>
        </is>
      </c>
      <c r="H95" t="n">
        <v>26100</v>
      </c>
      <c r="I95">
        <f>D95*60</f>
        <v/>
      </c>
      <c r="J95">
        <f>COUNTIF(Отзывы!$D:$D, 38249)</f>
        <v/>
      </c>
    </row>
    <row r="96">
      <c r="A96" t="n">
        <v>17965</v>
      </c>
      <c r="B96" t="inlineStr">
        <is>
          <t>mom s calico beans</t>
        </is>
      </c>
      <c r="C96" t="n">
        <v>79793</v>
      </c>
      <c r="D96" s="4" t="n">
        <v>150</v>
      </c>
      <c r="E96" s="1" t="n">
        <v>37985</v>
      </c>
      <c r="F96" t="inlineStr">
        <is>
          <t>this is a meal all in it self. great for a nice wintry day! yummy!!</t>
        </is>
      </c>
      <c r="G96" t="n">
        <v>11</v>
      </c>
      <c r="H96" t="n">
        <v>9000</v>
      </c>
      <c r="I96">
        <f>D96*60</f>
        <v/>
      </c>
      <c r="J96">
        <f>COUNTIF(Отзывы!$D:$D, 79793)</f>
        <v/>
      </c>
    </row>
    <row r="97">
      <c r="A97" t="n">
        <v>20246</v>
      </c>
      <c r="B97" t="inlineStr">
        <is>
          <t>peanut butter granola</t>
        </is>
      </c>
      <c r="C97" t="n">
        <v>361127</v>
      </c>
      <c r="D97" s="4" t="n">
        <v>75</v>
      </c>
      <c r="E97" s="1" t="n">
        <v>39888</v>
      </c>
      <c r="F97" t="inlineStr">
        <is>
          <t>a nice early morning breakfast meal.</t>
        </is>
      </c>
      <c r="H97" t="n">
        <v>4500</v>
      </c>
      <c r="I97">
        <f>D97*60</f>
        <v/>
      </c>
      <c r="J97">
        <f>COUNTIF(Отзывы!$D:$D, 361127)</f>
        <v/>
      </c>
    </row>
    <row r="98">
      <c r="A98" t="n">
        <v>11084</v>
      </c>
      <c r="B98" t="inlineStr">
        <is>
          <t>flaky deli slices</t>
        </is>
      </c>
      <c r="C98" t="n">
        <v>252028</v>
      </c>
      <c r="D98" s="4" t="n">
        <v>22</v>
      </c>
      <c r="E98" s="1" t="n">
        <v>39336</v>
      </c>
      <c r="F98" t="inlineStr">
        <is>
          <t>this recipe came from the grand rapids press.  we have a recipe section once a week and they always highlight a particular person w/a posted recipe.  this is a hit w/my kids.  similar to a wrap only baked.  kinda like pizza too.  feel free to add/delete as needed as you can't mess it up.</t>
        </is>
      </c>
      <c r="G98" t="n">
        <v>5</v>
      </c>
      <c r="H98" t="n">
        <v>1320</v>
      </c>
      <c r="I98">
        <f>D98*60</f>
        <v/>
      </c>
      <c r="J98">
        <f>COUNTIF(Отзывы!$D:$D, 252028)</f>
        <v/>
      </c>
    </row>
    <row r="99">
      <c r="A99" t="n">
        <v>4479</v>
      </c>
      <c r="B99" t="inlineStr">
        <is>
          <t>calypso island chicken</t>
        </is>
      </c>
      <c r="C99" t="n">
        <v>117577</v>
      </c>
      <c r="D99" s="4" t="n">
        <v>55</v>
      </c>
      <c r="E99" s="1" t="n">
        <v>38459</v>
      </c>
      <c r="F99" t="inlineStr">
        <is>
          <t>calypso island chicken is highlighted by key seasonings of the west indies: tomatoes and red peppers. west indians often make a condiment out of hot peppers by steeping diced ones in vinegar. tabasco sauce is the closest equivalent readily available in america and is used in this recipe. the dish also includes plantain, a cousin of the banana that is larger and not as sweet. plantains must be cooked before eating, and only ripe fruit will have the proper texture for this dish. to select a ripe plantain, choose a finger that is deep yellow and speckled with black or one that is entirely black. if a green plantain is purchased, it may take several weeks to ripen at room temperature. do not refrigerate the fruit, for this will halt ripening. from the newspaper.</t>
        </is>
      </c>
      <c r="G99" t="n">
        <v>11</v>
      </c>
      <c r="H99" t="n">
        <v>3300</v>
      </c>
      <c r="I99">
        <f>D99*60</f>
        <v/>
      </c>
      <c r="J99">
        <f>COUNTIF(Отзывы!$D:$D, 117577)</f>
        <v/>
      </c>
    </row>
    <row r="100">
      <c r="A100" t="n">
        <v>5574</v>
      </c>
      <c r="B100" t="inlineStr">
        <is>
          <t>chicken and coleslaw wrap</t>
        </is>
      </c>
      <c r="C100" t="n">
        <v>464226</v>
      </c>
      <c r="D100" s="6" t="n">
        <v>5</v>
      </c>
      <c r="E100" s="1" t="n">
        <v>40801</v>
      </c>
      <c r="F100" t="inlineStr">
        <is>
          <t>i tweaked this recipe slightly to be able to use rotisserie chicken breast.</t>
        </is>
      </c>
      <c r="G100" t="n">
        <v>5</v>
      </c>
      <c r="H100" t="n">
        <v>300</v>
      </c>
      <c r="I100">
        <f>D100*60</f>
        <v/>
      </c>
      <c r="J100">
        <f>COUNTIF(Отзывы!$D:$D, 464226)</f>
        <v/>
      </c>
    </row>
    <row r="101">
      <c r="A101" t="n">
        <v>5791</v>
      </c>
      <c r="B101" t="inlineStr">
        <is>
          <t>chicken garlic ginger healing soup</t>
        </is>
      </c>
      <c r="C101" t="n">
        <v>474633</v>
      </c>
      <c r="D101" s="4" t="n">
        <v>50</v>
      </c>
      <c r="E101" s="1" t="n">
        <v>40959</v>
      </c>
      <c r="F101" t="inlineStr">
        <is>
          <t>have a cold or the flu? try this soup to kick up your immune system and get healthy fast! plus, this soup tastes so good. my husband loves it! (whew!) this soup is also great for inflammation and arthritis, due to the healing qualities of gingerol (from the ginger).</t>
        </is>
      </c>
      <c r="G101" t="n">
        <v>13</v>
      </c>
      <c r="H101" t="n">
        <v>3000</v>
      </c>
      <c r="I101">
        <f>D101*60</f>
        <v/>
      </c>
      <c r="J101">
        <f>COUNTIF(Отзывы!$D:$D, 474633)</f>
        <v/>
      </c>
    </row>
    <row r="102" ht="240" customHeight="1">
      <c r="A102" t="n">
        <v>1967</v>
      </c>
      <c r="B102" t="inlineStr">
        <is>
          <t>baked rutabaga  fries</t>
        </is>
      </c>
      <c r="C102" t="n">
        <v>416905</v>
      </c>
      <c r="D102" s="4" t="n">
        <v>50</v>
      </c>
      <c r="E102" s="1" t="n">
        <v>40253</v>
      </c>
      <c r="F102" s="2" t="inlineStr">
        <is>
          <t>rutagabas are a root vegetable, right? so why not make fries out of them too._x000D_
note: these will not be crispy.</t>
        </is>
      </c>
      <c r="G102" t="n">
        <v>5</v>
      </c>
      <c r="H102" t="n">
        <v>3000</v>
      </c>
      <c r="I102">
        <f>D102*60</f>
        <v/>
      </c>
      <c r="J102">
        <f>COUNTIF(Отзывы!$D:$D, 416905)</f>
        <v/>
      </c>
    </row>
    <row r="103">
      <c r="A103" t="n">
        <v>826</v>
      </c>
      <c r="B103" t="inlineStr">
        <is>
          <t>apple brickle dip</t>
        </is>
      </c>
      <c r="C103" t="n">
        <v>45643</v>
      </c>
      <c r="D103" s="4" t="n">
        <v>30</v>
      </c>
      <c r="E103" s="1" t="n">
        <v>37572</v>
      </c>
      <c r="G103" t="n">
        <v>6</v>
      </c>
      <c r="H103" t="n">
        <v>1800</v>
      </c>
      <c r="I103">
        <f>D103*60</f>
        <v/>
      </c>
      <c r="J103">
        <f>COUNTIF(Отзывы!$D:$D, 45643)</f>
        <v/>
      </c>
    </row>
    <row r="104">
      <c r="A104" t="n">
        <v>15861</v>
      </c>
      <c r="B104" t="inlineStr">
        <is>
          <t>lemon cream dessert</t>
        </is>
      </c>
      <c r="C104" t="n">
        <v>30865</v>
      </c>
      <c r="D104" s="4" t="n">
        <v>315</v>
      </c>
      <c r="E104" s="1" t="n">
        <v>37417</v>
      </c>
      <c r="F104" t="inlineStr">
        <is>
          <t>this is one of those desserts that everyone will ask how to make it. i know it may sound hard but it is so easy and oh so good. enjoy and please let me know what you think.  i have included in the prep time the chilling in the refrigerator.</t>
        </is>
      </c>
      <c r="H104" t="n">
        <v>18900</v>
      </c>
      <c r="I104">
        <f>D104*60</f>
        <v/>
      </c>
      <c r="J104">
        <f>COUNTIF(Отзывы!$D:$D, 30865)</f>
        <v/>
      </c>
    </row>
    <row r="105">
      <c r="A105" t="n">
        <v>26652</v>
      </c>
      <c r="B105" t="inlineStr">
        <is>
          <t>sweet chili salmon with three peppers and udon noodles</t>
        </is>
      </c>
      <c r="C105" t="n">
        <v>91930</v>
      </c>
      <c r="D105" s="4" t="n">
        <v>20</v>
      </c>
      <c r="E105" s="1" t="n">
        <v>38133</v>
      </c>
      <c r="F105" t="inlineStr">
        <is>
          <t>this is a meal-in-one, but you can simply make the salmon on it's own and serve with other side dishes. preparation time does not include marinading time.</t>
        </is>
      </c>
      <c r="G105" t="n">
        <v>11</v>
      </c>
      <c r="H105" t="n">
        <v>1200</v>
      </c>
      <c r="I105">
        <f>D105*60</f>
        <v/>
      </c>
      <c r="J105">
        <f>COUNTIF(Отзывы!$D:$D, 91930)</f>
        <v/>
      </c>
    </row>
    <row r="106">
      <c r="A106" t="n">
        <v>11664</v>
      </c>
      <c r="B106" t="inlineStr">
        <is>
          <t>fudgy  no guilt  brownies</t>
        </is>
      </c>
      <c r="C106" t="n">
        <v>248543</v>
      </c>
      <c r="D106" s="4" t="n">
        <v>45</v>
      </c>
      <c r="E106" s="1" t="n">
        <v>39318</v>
      </c>
      <c r="F106" t="inlineStr">
        <is>
          <t>recipe is from august 2007 edition of cuisine at home.  the recipe calls for walnuts, as usual, i use pecans.  for the diabetic, these work very well with 1/2 splenda and 1/2 sugar with a light dusting of recipe #241843.</t>
        </is>
      </c>
      <c r="G106" t="n">
        <v>12</v>
      </c>
      <c r="H106" t="n">
        <v>2700</v>
      </c>
      <c r="I106">
        <f>D106*60</f>
        <v/>
      </c>
      <c r="J106">
        <f>COUNTIF(Отзывы!$D:$D, 248543)</f>
        <v/>
      </c>
    </row>
    <row r="107">
      <c r="A107" t="n">
        <v>26071</v>
      </c>
      <c r="B107" t="inlineStr">
        <is>
          <t>strawberry preserves with black pepper and balsamic vinegar</t>
        </is>
      </c>
      <c r="C107" t="n">
        <v>299881</v>
      </c>
      <c r="D107" s="4" t="n">
        <v>30</v>
      </c>
      <c r="E107" s="1" t="n">
        <v>39560</v>
      </c>
      <c r="F107" t="inlineStr">
        <is>
          <t>use fresh strawberries, only freshly cracked black pepper, and the best balsamic you can afford. i actually prefer it with just the balsamic and strawberries. recipe is from gourmet.</t>
        </is>
      </c>
      <c r="H107" t="n">
        <v>1800</v>
      </c>
      <c r="I107">
        <f>D107*60</f>
        <v/>
      </c>
      <c r="J107">
        <f>COUNTIF(Отзывы!$D:$D, 299881)</f>
        <v/>
      </c>
    </row>
    <row r="108">
      <c r="A108" t="n">
        <v>24665</v>
      </c>
      <c r="B108" t="inlineStr">
        <is>
          <t>smothered pork chops  crock pot</t>
        </is>
      </c>
      <c r="C108" t="n">
        <v>280534</v>
      </c>
      <c r="D108" s="4" t="n">
        <v>310</v>
      </c>
      <c r="E108" s="1" t="n">
        <v>39469</v>
      </c>
      <c r="F108" t="inlineStr">
        <is>
          <t>called mom's smothered pork chops in judith finlayson's delicious and dependable slow cooker recipes. *variation: you can substitute 3 1/2 to 4 lbs. country style ribs but broil the ribs for 5 min. per side before placing them in slow cooker then add 1 tbsp. oil in skillet and proceed with the step that begins "add onions..." and cook for 8 hours on low or 4 hours on high.</t>
        </is>
      </c>
      <c r="G108" t="n">
        <v>12</v>
      </c>
      <c r="H108" t="n">
        <v>18600</v>
      </c>
      <c r="I108">
        <f>D108*60</f>
        <v/>
      </c>
      <c r="J108">
        <f>COUNTIF(Отзывы!$D:$D, 280534)</f>
        <v/>
      </c>
    </row>
    <row r="109">
      <c r="A109" t="n">
        <v>3645</v>
      </c>
      <c r="B109" t="inlineStr">
        <is>
          <t>brazilian baked bananas</t>
        </is>
      </c>
      <c r="C109" t="n">
        <v>456648</v>
      </c>
      <c r="D109" s="4" t="n">
        <v>16</v>
      </c>
      <c r="E109" s="1" t="n">
        <v>40682</v>
      </c>
      <c r="F109" t="inlineStr">
        <is>
          <t>desserts made of cooked bananas are popular all over the world. this version from brazil, where bananas are a major crop, is a great desset for lunch or dinner.</t>
        </is>
      </c>
      <c r="G109" t="n">
        <v>7</v>
      </c>
      <c r="H109" t="n">
        <v>960</v>
      </c>
      <c r="I109">
        <f>D109*60</f>
        <v/>
      </c>
      <c r="J109">
        <f>COUNTIF(Отзывы!$D:$D, 456648)</f>
        <v/>
      </c>
    </row>
    <row r="110">
      <c r="A110" t="n">
        <v>5334</v>
      </c>
      <c r="B110" t="inlineStr">
        <is>
          <t>cheesy tuna   rice muffinettes</t>
        </is>
      </c>
      <c r="C110" t="n">
        <v>13128</v>
      </c>
      <c r="D110" s="4" t="n">
        <v>20</v>
      </c>
      <c r="E110" s="1" t="n">
        <v>37187</v>
      </c>
      <c r="F110" t="inlineStr">
        <is>
          <t>this recipe is quick and delicious. i made it one day, and my son and hubby ate it all up, and then my hubby asked if i could make it the next day as well. this is definately worth the (little) effort that's put into it.</t>
        </is>
      </c>
      <c r="G110" t="n">
        <v>11</v>
      </c>
      <c r="H110" t="n">
        <v>1200</v>
      </c>
      <c r="I110">
        <f>D110*60</f>
        <v/>
      </c>
      <c r="J110">
        <f>COUNTIF(Отзывы!$D:$D, 13128)</f>
        <v/>
      </c>
    </row>
    <row r="111">
      <c r="A111" t="n">
        <v>6120</v>
      </c>
      <c r="B111" t="inlineStr">
        <is>
          <t>chicken  pumpkin and sweetcorn stew</t>
        </is>
      </c>
      <c r="C111" t="n">
        <v>268100</v>
      </c>
      <c r="D111" s="4" t="n">
        <v>45</v>
      </c>
      <c r="E111" s="1" t="n">
        <v>39413</v>
      </c>
      <c r="F111" t="inlineStr">
        <is>
          <t>pumpkins are in season now, here is a different recipe for you lovers of this super squash. the coconut milk and apple juice make a nice change  to the flavour. this recipe is originally from the west indies. serve with crusty bread for a satisfying comfort dish.</t>
        </is>
      </c>
      <c r="G111" t="n">
        <v>23</v>
      </c>
      <c r="H111" t="n">
        <v>2700</v>
      </c>
      <c r="I111">
        <f>D111*60</f>
        <v/>
      </c>
      <c r="J111">
        <f>COUNTIF(Отзывы!$D:$D, 268100)</f>
        <v/>
      </c>
    </row>
    <row r="112">
      <c r="A112" t="n">
        <v>17097</v>
      </c>
      <c r="B112" t="inlineStr">
        <is>
          <t>marshmallow salad</t>
        </is>
      </c>
      <c r="C112" t="n">
        <v>20651</v>
      </c>
      <c r="D112" s="6" t="n">
        <v>10</v>
      </c>
      <c r="E112" s="1" t="n">
        <v>37312</v>
      </c>
      <c r="F112" t="inlineStr">
        <is>
          <t>its called a salad, but it can also be used as a dessert. goes well with potluck or bbq.</t>
        </is>
      </c>
      <c r="H112" t="n">
        <v>600</v>
      </c>
      <c r="I112">
        <f>D112*60</f>
        <v/>
      </c>
      <c r="J112">
        <f>COUNTIF(Отзывы!$D:$D, 20651)</f>
        <v/>
      </c>
    </row>
    <row r="113">
      <c r="A113" t="n">
        <v>2459</v>
      </c>
      <c r="B113" t="inlineStr">
        <is>
          <t>bavarian apple cheese cake tart</t>
        </is>
      </c>
      <c r="C113" t="n">
        <v>72367</v>
      </c>
      <c r="D113" s="4" t="n">
        <v>65</v>
      </c>
      <c r="E113" s="1" t="n">
        <v>37896</v>
      </c>
      <c r="F113" t="inlineStr">
        <is>
          <t>such a beautiful tart - just like from a european bakery, and delicious to boot! from worldwiderecipes i believe.</t>
        </is>
      </c>
      <c r="G113" t="n">
        <v>9</v>
      </c>
      <c r="H113" t="n">
        <v>3900</v>
      </c>
      <c r="I113">
        <f>D113*60</f>
        <v/>
      </c>
      <c r="J113">
        <f>COUNTIF(Отзывы!$D:$D, 72367)</f>
        <v/>
      </c>
    </row>
    <row r="114">
      <c r="A114" t="n">
        <v>27019</v>
      </c>
      <c r="B114" t="inlineStr">
        <is>
          <t>tarragon syrup</t>
        </is>
      </c>
      <c r="C114" t="n">
        <v>176615</v>
      </c>
      <c r="D114" s="4" t="n">
        <v>30</v>
      </c>
      <c r="E114" s="1" t="n">
        <v>38905</v>
      </c>
      <c r="F114" t="inlineStr">
        <is>
          <t>pour the syrup over ice cream or waffles, or into tea and sparkling water! adapted from bh&amp;g magazine.</t>
        </is>
      </c>
      <c r="G114" t="n">
        <v>3</v>
      </c>
      <c r="H114" t="n">
        <v>1800</v>
      </c>
      <c r="I114">
        <f>D114*60</f>
        <v/>
      </c>
      <c r="J114">
        <f>COUNTIF(Отзывы!$D:$D, 176615)</f>
        <v/>
      </c>
    </row>
    <row r="115">
      <c r="A115" t="n">
        <v>20767</v>
      </c>
      <c r="B115" t="inlineStr">
        <is>
          <t>pine nut and sesame pilaf  armenia</t>
        </is>
      </c>
      <c r="C115" t="n">
        <v>501348</v>
      </c>
      <c r="D115" s="4" t="n">
        <v>60</v>
      </c>
      <c r="E115" s="1" t="n">
        <v>41428</v>
      </c>
      <c r="F115" t="inlineStr">
        <is>
          <t>a delicious plain pilaf with a touch of nutty flavor that really complements the roasted meat dishes. from volume 1 of the silk road gourmet cookbook. it probably came to armenia from arabia during one of the periods of islamic conquest of the region and is still eaten in arabia and in several muslim countries around asia.</t>
        </is>
      </c>
      <c r="H115" t="n">
        <v>3600</v>
      </c>
      <c r="I115">
        <f>D115*60</f>
        <v/>
      </c>
      <c r="J115">
        <f>COUNTIF(Отзывы!$D:$D, 501348)</f>
        <v/>
      </c>
    </row>
    <row r="116">
      <c r="A116" t="n">
        <v>9186</v>
      </c>
      <c r="B116" t="inlineStr">
        <is>
          <t>de lightful pasta salad</t>
        </is>
      </c>
      <c r="C116" t="n">
        <v>91347</v>
      </c>
      <c r="D116" s="4" t="n">
        <v>40</v>
      </c>
      <c r="E116" s="1" t="n">
        <v>38125</v>
      </c>
      <c r="F116" t="inlineStr">
        <is>
          <t>this is a great pot luck or picnic recipe. one that is tried and true! it has a sweet-sour dressing that does not overpower the vegetables and pasta.  it is one of my favorites! give it a try and take it to your next picnic. you won’t be sorry!</t>
        </is>
      </c>
      <c r="G116" t="n">
        <v>10</v>
      </c>
      <c r="H116" t="n">
        <v>2400</v>
      </c>
      <c r="I116">
        <f>D116*60</f>
        <v/>
      </c>
      <c r="J116">
        <f>COUNTIF(Отзывы!$D:$D, 91347)</f>
        <v/>
      </c>
    </row>
    <row r="117">
      <c r="A117" t="n">
        <v>28986</v>
      </c>
      <c r="B117" t="inlineStr">
        <is>
          <t>walnut veggie tacos</t>
        </is>
      </c>
      <c r="C117" t="n">
        <v>424626</v>
      </c>
      <c r="D117" s="4" t="n">
        <v>15</v>
      </c>
      <c r="E117" s="1" t="n">
        <v>40309</v>
      </c>
      <c r="F117" t="inlineStr">
        <is>
          <t>i found this at www.walnuts.org whilst searching for new and interesting uses for walnuts. i can't wait to give it a try!! they also suggest that this mixture makes a great taco salad.</t>
        </is>
      </c>
      <c r="H117" t="n">
        <v>900</v>
      </c>
      <c r="I117">
        <f>D117*60</f>
        <v/>
      </c>
      <c r="J117">
        <f>COUNTIF(Отзывы!$D:$D, 424626)</f>
        <v/>
      </c>
    </row>
    <row r="118">
      <c r="A118" t="n">
        <v>14137</v>
      </c>
      <c r="B118" t="inlineStr">
        <is>
          <t>hot and sour tofu soup</t>
        </is>
      </c>
      <c r="C118" t="n">
        <v>7022</v>
      </c>
      <c r="D118" s="4" t="n">
        <v>30</v>
      </c>
      <c r="E118" s="1" t="n">
        <v>36591</v>
      </c>
      <c r="G118" t="n">
        <v>15</v>
      </c>
      <c r="H118" t="n">
        <v>1800</v>
      </c>
      <c r="I118">
        <f>D118*60</f>
        <v/>
      </c>
      <c r="J118">
        <f>COUNTIF(Отзывы!$D:$D, 7022)</f>
        <v/>
      </c>
    </row>
    <row r="119">
      <c r="A119" t="n">
        <v>15387</v>
      </c>
      <c r="B119" t="inlineStr">
        <is>
          <t>kinky russian</t>
        </is>
      </c>
      <c r="C119" t="n">
        <v>389811</v>
      </c>
      <c r="D119" s="5" t="n">
        <v>2</v>
      </c>
      <c r="E119" s="1" t="n">
        <v>40067</v>
      </c>
      <c r="F119" t="inlineStr">
        <is>
          <t>yummy drink, not to potent.  from drinksmixer.</t>
        </is>
      </c>
      <c r="H119" t="n">
        <v>120</v>
      </c>
      <c r="I119">
        <f>D119*60</f>
        <v/>
      </c>
      <c r="J119">
        <f>COUNTIF(Отзывы!$D:$D, 389811)</f>
        <v/>
      </c>
    </row>
    <row r="120">
      <c r="A120" t="n">
        <v>16864</v>
      </c>
      <c r="B120" t="inlineStr">
        <is>
          <t>mango ginger upside down cake</t>
        </is>
      </c>
      <c r="C120" t="n">
        <v>227720</v>
      </c>
      <c r="D120" s="4" t="n">
        <v>50</v>
      </c>
      <c r="E120" s="1" t="n">
        <v>39215</v>
      </c>
      <c r="F120" t="inlineStr">
        <is>
          <t>a great twist on the usual upside-down cake.  from cooking light, june 1999</t>
        </is>
      </c>
      <c r="H120" t="n">
        <v>3000</v>
      </c>
      <c r="I120">
        <f>D120*60</f>
        <v/>
      </c>
      <c r="J120">
        <f>COUNTIF(Отзывы!$D:$D, 227720)</f>
        <v/>
      </c>
    </row>
    <row r="121">
      <c r="A121" t="n">
        <v>12527</v>
      </c>
      <c r="B121" t="inlineStr">
        <is>
          <t>greek burger</t>
        </is>
      </c>
      <c r="C121" t="n">
        <v>78848</v>
      </c>
      <c r="D121" s="4" t="n">
        <v>15</v>
      </c>
      <c r="E121" s="1" t="n">
        <v>37969</v>
      </c>
      <c r="F121" t="inlineStr">
        <is>
          <t>very flavorful and fun. i clipped this recipe from the food and drink section of the arizona republic, wednesday, july 16, 2003. i like to try new dishes and keep my dinners varied. this is 7 points for weight watchers. serving size is one pita half.</t>
        </is>
      </c>
      <c r="H121" t="n">
        <v>900</v>
      </c>
      <c r="I121">
        <f>D121*60</f>
        <v/>
      </c>
      <c r="J121">
        <f>COUNTIF(Отзывы!$D:$D, 78848)</f>
        <v/>
      </c>
    </row>
    <row r="122">
      <c r="A122" t="n">
        <v>20599</v>
      </c>
      <c r="B122" t="inlineStr">
        <is>
          <t>persimmon black walnut cake</t>
        </is>
      </c>
      <c r="C122" t="n">
        <v>42352</v>
      </c>
      <c r="D122" s="4" t="n">
        <v>55</v>
      </c>
      <c r="E122" s="1" t="n">
        <v>37535</v>
      </c>
      <c r="F122" t="inlineStr">
        <is>
          <t>found in an old cookbook, makes a small cake.</t>
        </is>
      </c>
      <c r="G122" t="n">
        <v>12</v>
      </c>
      <c r="H122" t="n">
        <v>3300</v>
      </c>
      <c r="I122">
        <f>D122*60</f>
        <v/>
      </c>
      <c r="J122">
        <f>COUNTIF(Отзывы!$D:$D, 42352)</f>
        <v/>
      </c>
    </row>
    <row r="123">
      <c r="A123" t="n">
        <v>25780</v>
      </c>
      <c r="B123" t="inlineStr">
        <is>
          <t>st patrick s day fruit and spice bread</t>
        </is>
      </c>
      <c r="C123" t="n">
        <v>477440</v>
      </c>
      <c r="D123" s="4" t="n">
        <v>65</v>
      </c>
      <c r="E123" s="1" t="n">
        <v>41005</v>
      </c>
      <c r="F123" t="inlineStr">
        <is>
          <t>adapted from a recipe by sarah cook in goodfood magazine. best eaten warm, freshly baked. it's best by far not to substitute any ingredient.</t>
        </is>
      </c>
      <c r="G123" t="n">
        <v>13</v>
      </c>
      <c r="H123" t="n">
        <v>3900</v>
      </c>
      <c r="I123">
        <f>D123*60</f>
        <v/>
      </c>
      <c r="J123">
        <f>COUNTIF(Отзывы!$D:$D, 477440)</f>
        <v/>
      </c>
    </row>
    <row r="124">
      <c r="A124" t="n">
        <v>13368</v>
      </c>
      <c r="B124" t="inlineStr">
        <is>
          <t>hasty cobbler</t>
        </is>
      </c>
      <c r="C124" t="n">
        <v>222914</v>
      </c>
      <c r="D124" s="4" t="n">
        <v>45</v>
      </c>
      <c r="E124" s="1" t="n">
        <v>39188</v>
      </c>
      <c r="F124" t="inlineStr">
        <is>
          <t>crust starts on the bottom and rises to the top, how cool is that? long time recipe of mine, great with your favorite fruit. growing up we used peaches since my dad had a huge peach orchard.</t>
        </is>
      </c>
      <c r="G124" t="n">
        <v>6</v>
      </c>
      <c r="H124" t="n">
        <v>2700</v>
      </c>
      <c r="I124">
        <f>D124*60</f>
        <v/>
      </c>
      <c r="J124">
        <f>COUNTIF(Отзывы!$D:$D, 222914)</f>
        <v/>
      </c>
    </row>
    <row r="125">
      <c r="A125" t="n">
        <v>10596</v>
      </c>
      <c r="B125" t="inlineStr">
        <is>
          <t>entrana  argentinean skirt steak</t>
        </is>
      </c>
      <c r="C125" t="n">
        <v>431115</v>
      </c>
      <c r="D125" s="4" t="n">
        <v>40</v>
      </c>
      <c r="E125" s="1" t="n">
        <v>40356</v>
      </c>
      <c r="F125" t="inlineStr">
        <is>
          <t>this is part of a traditional argentinean asado (bbq).  it couldn't be easier to make this skirt steak.  this is an extremely tasty and juicy cut of beef.  often, the fatty membrane is removed to make the meat more tender, but go ahead and leave it on - your steak will be more juicy as it acts like a shield to keep the juices in while cooking.  serve with a simple salad of lettuce, tomato, and onions dressed with a light vinaigrette and with chimichurri (my favorite is recipe #381098).</t>
        </is>
      </c>
      <c r="H125" t="n">
        <v>2400</v>
      </c>
      <c r="I125">
        <f>D125*60</f>
        <v/>
      </c>
      <c r="J125">
        <f>COUNTIF(Отзывы!$D:$D, 431115)</f>
        <v/>
      </c>
    </row>
    <row r="126">
      <c r="A126" t="n">
        <v>7167</v>
      </c>
      <c r="B126" t="inlineStr">
        <is>
          <t>classic black beans and rice</t>
        </is>
      </c>
      <c r="C126" t="n">
        <v>477871</v>
      </c>
      <c r="D126" s="4" t="n">
        <v>35</v>
      </c>
      <c r="E126" s="1" t="n">
        <v>41012</v>
      </c>
      <c r="F126" t="inlineStr">
        <is>
          <t>perfect vegetarian meal, and easy to make.</t>
        </is>
      </c>
      <c r="G126" t="n">
        <v>8</v>
      </c>
      <c r="H126" t="n">
        <v>2100</v>
      </c>
      <c r="I126">
        <f>D126*60</f>
        <v/>
      </c>
      <c r="J126">
        <f>COUNTIF(Отзывы!$D:$D, 477871)</f>
        <v/>
      </c>
    </row>
    <row r="127">
      <c r="A127" t="n">
        <v>15373</v>
      </c>
      <c r="B127" t="inlineStr">
        <is>
          <t>kim s tuna salad</t>
        </is>
      </c>
      <c r="C127" t="n">
        <v>62182</v>
      </c>
      <c r="D127" s="6" t="n">
        <v>10</v>
      </c>
      <c r="E127" s="1" t="n">
        <v>37756</v>
      </c>
      <c r="F127" t="inlineStr">
        <is>
          <t>i always make my tuna salad like this. enjoy as a sandwich, on a salad, or my favorite, with triscuits (i'm a triscuitholic).</t>
        </is>
      </c>
      <c r="G127" t="n">
        <v>6</v>
      </c>
      <c r="H127" t="n">
        <v>600</v>
      </c>
      <c r="I127">
        <f>D127*60</f>
        <v/>
      </c>
      <c r="J127">
        <f>COUNTIF(Отзывы!$D:$D, 62182)</f>
        <v/>
      </c>
    </row>
    <row r="128">
      <c r="A128" t="n">
        <v>21848</v>
      </c>
      <c r="B128" t="inlineStr">
        <is>
          <t>quick   plain baked potatoes</t>
        </is>
      </c>
      <c r="C128" t="n">
        <v>503731</v>
      </c>
      <c r="D128" s="4" t="n">
        <v>32</v>
      </c>
      <c r="E128" s="1" t="n">
        <v>41465</v>
      </c>
      <c r="F128" t="inlineStr">
        <is>
          <t>want a baked potato recipe with one ingredient?  try this one!</t>
        </is>
      </c>
      <c r="H128" t="n">
        <v>1920</v>
      </c>
      <c r="I128">
        <f>D128*60</f>
        <v/>
      </c>
      <c r="J128">
        <f>COUNTIF(Отзывы!$D:$D, 503731)</f>
        <v/>
      </c>
    </row>
    <row r="129">
      <c r="A129" t="n">
        <v>136</v>
      </c>
      <c r="B129" t="inlineStr">
        <is>
          <t>1930 s apple and nut pie</t>
        </is>
      </c>
      <c r="C129" t="n">
        <v>250900</v>
      </c>
      <c r="D129" s="4" t="n">
        <v>80</v>
      </c>
      <c r="E129" s="1" t="n">
        <v>39329</v>
      </c>
      <c r="F129" t="inlineStr">
        <is>
          <t>i tore this recipe out of family circle.  i have not tried it yet but it sounded very easy to do. would be great topped with vanilla ice cream</t>
        </is>
      </c>
      <c r="H129" t="n">
        <v>4800</v>
      </c>
      <c r="I129">
        <f>D129*60</f>
        <v/>
      </c>
      <c r="J129">
        <f>COUNTIF(Отзывы!$D:$D, 250900)</f>
        <v/>
      </c>
    </row>
    <row r="130">
      <c r="A130" t="n">
        <v>15661</v>
      </c>
      <c r="B130" t="inlineStr">
        <is>
          <t>lavender angel food cake with fresh strawberries</t>
        </is>
      </c>
      <c r="C130" t="n">
        <v>166604</v>
      </c>
      <c r="D130" s="4" t="n">
        <v>45</v>
      </c>
      <c r="E130" s="1" t="n">
        <v>38838</v>
      </c>
      <c r="F130" t="inlineStr">
        <is>
          <t>from our local grocery store flyer. or serve with your favorite fresh berries: blackberries, blueberries, raspberries, etc. i added the lavender.</t>
        </is>
      </c>
      <c r="H130" t="n">
        <v>2700</v>
      </c>
      <c r="I130">
        <f>D130*60</f>
        <v/>
      </c>
      <c r="J130">
        <f>COUNTIF(Отзывы!$D:$D, 166604)</f>
        <v/>
      </c>
    </row>
    <row r="131">
      <c r="A131" t="n">
        <v>10166</v>
      </c>
      <c r="B131" t="inlineStr">
        <is>
          <t>easy pnut butter cookies</t>
        </is>
      </c>
      <c r="C131" t="n">
        <v>26997</v>
      </c>
      <c r="D131" s="4" t="n">
        <v>15</v>
      </c>
      <c r="E131" s="1" t="n">
        <v>37376</v>
      </c>
      <c r="F131" t="inlineStr">
        <is>
          <t>good for making with children</t>
        </is>
      </c>
      <c r="G131" t="n">
        <v>3</v>
      </c>
      <c r="H131" t="n">
        <v>900</v>
      </c>
      <c r="I131">
        <f>D131*60</f>
        <v/>
      </c>
      <c r="J131">
        <f>COUNTIF(Отзывы!$D:$D, 26997)</f>
        <v/>
      </c>
    </row>
    <row r="132">
      <c r="A132" t="n">
        <v>11443</v>
      </c>
      <c r="B132" t="inlineStr">
        <is>
          <t>friands</t>
        </is>
      </c>
      <c r="C132" t="n">
        <v>73856</v>
      </c>
      <c r="D132" s="4" t="n">
        <v>40</v>
      </c>
      <c r="E132" s="1" t="n">
        <v>37916</v>
      </c>
      <c r="F132" t="inlineStr">
        <is>
          <t>by chef: alison alexander, i found this recipe on the internet. these are superb!</t>
        </is>
      </c>
      <c r="H132" t="n">
        <v>2400</v>
      </c>
      <c r="I132">
        <f>D132*60</f>
        <v/>
      </c>
      <c r="J132">
        <f>COUNTIF(Отзывы!$D:$D, 73856)</f>
        <v/>
      </c>
    </row>
    <row r="133" ht="409.5" customHeight="1">
      <c r="A133" t="n">
        <v>16072</v>
      </c>
      <c r="B133" t="inlineStr">
        <is>
          <t>lentil stew with butternut squash</t>
        </is>
      </c>
      <c r="C133" t="n">
        <v>416336</v>
      </c>
      <c r="D133" s="4" t="n">
        <v>500</v>
      </c>
      <c r="E133" s="1" t="n">
        <v>40249</v>
      </c>
      <c r="F133" s="2" t="inlineStr">
        <is>
          <t>good housekeeping january 2009_x000D_
this flavorful vegetarian stew is perfect for a heary evening meal. i recommend making savory dumplings to put in the stew. you will not be disappointed! it requires a slow cooker, but is so worth the wait.</t>
        </is>
      </c>
      <c r="H133" t="n">
        <v>30000</v>
      </c>
      <c r="I133">
        <f>D133*60</f>
        <v/>
      </c>
      <c r="J133">
        <f>COUNTIF(Отзывы!$D:$D, 416336)</f>
        <v/>
      </c>
    </row>
    <row r="134">
      <c r="A134" t="n">
        <v>2816</v>
      </c>
      <c r="B134" t="inlineStr">
        <is>
          <t>bernie s white baked beans</t>
        </is>
      </c>
      <c r="C134" t="n">
        <v>207123</v>
      </c>
      <c r="D134" s="4" t="n">
        <v>90</v>
      </c>
      <c r="E134" s="1" t="n">
        <v>39104</v>
      </c>
      <c r="F134" t="inlineStr">
        <is>
          <t>i got this recipe from my cousin, but it has been in our family forever! goes great with those summer barbeques.</t>
        </is>
      </c>
      <c r="G134" t="n">
        <v>8</v>
      </c>
      <c r="H134" t="n">
        <v>5400</v>
      </c>
      <c r="I134">
        <f>D134*60</f>
        <v/>
      </c>
      <c r="J134">
        <f>COUNTIF(Отзывы!$D:$D, 207123)</f>
        <v/>
      </c>
    </row>
    <row r="135">
      <c r="A135" t="n">
        <v>18487</v>
      </c>
      <c r="B135" t="inlineStr">
        <is>
          <t>my version of olive garden alfredo sauce</t>
        </is>
      </c>
      <c r="C135" t="n">
        <v>19298</v>
      </c>
      <c r="D135" s="4" t="n">
        <v>15</v>
      </c>
      <c r="E135" s="1" t="n">
        <v>37297</v>
      </c>
      <c r="F135" t="inlineStr">
        <is>
          <t>i absolutely love olive garden's alfredo sauce, so i love this recipe because it keeps me from spending my money at a restaurant. it tastes exactly like it--it's amazing.</t>
        </is>
      </c>
      <c r="H135" t="n">
        <v>900</v>
      </c>
      <c r="I135">
        <f>D135*60</f>
        <v/>
      </c>
      <c r="J135">
        <f>COUNTIF(Отзывы!$D:$D, 19298)</f>
        <v/>
      </c>
    </row>
    <row r="136">
      <c r="A136" t="n">
        <v>21647</v>
      </c>
      <c r="B136" t="inlineStr">
        <is>
          <t>pumpkin and pineapple cookies</t>
        </is>
      </c>
      <c r="C136" t="n">
        <v>12467</v>
      </c>
      <c r="D136" s="4" t="n">
        <v>19</v>
      </c>
      <c r="E136" s="1" t="n">
        <v>37170</v>
      </c>
      <c r="F136" t="inlineStr">
        <is>
          <t>cookies with a twist</t>
        </is>
      </c>
      <c r="G136" t="n">
        <v>14</v>
      </c>
      <c r="H136" t="n">
        <v>1140</v>
      </c>
      <c r="I136">
        <f>D136*60</f>
        <v/>
      </c>
      <c r="J136">
        <f>COUNTIF(Отзывы!$D:$D, 12467)</f>
        <v/>
      </c>
    </row>
    <row r="137" ht="409.5" customHeight="1">
      <c r="A137" t="n">
        <v>22461</v>
      </c>
      <c r="B137" t="inlineStr">
        <is>
          <t>rhode island hot wiener sauce  1</t>
        </is>
      </c>
      <c r="C137" t="n">
        <v>223783</v>
      </c>
      <c r="D137" s="4" t="n">
        <v>45</v>
      </c>
      <c r="E137" s="1" t="n">
        <v>39192</v>
      </c>
      <c r="F137" s="2" t="inlineStr">
        <is>
          <t>every state has it's own food specialties. hawaii has pineapple, r.i. has "hot weiners!" what are they? it's a small hot dog, placed on a steammed bun, topped with mustard, chopped onion, celery salt and meat sauce! i crave these!_x000D_
recipes for this sauce are varied.  this is another recipe for it.  you decide which one you like better.</t>
        </is>
      </c>
      <c r="H137" t="n">
        <v>2700</v>
      </c>
      <c r="I137">
        <f>D137*60</f>
        <v/>
      </c>
      <c r="J137">
        <f>COUNTIF(Отзывы!$D:$D, 223783)</f>
        <v/>
      </c>
    </row>
    <row r="138">
      <c r="A138" t="n">
        <v>20976</v>
      </c>
      <c r="B138" t="inlineStr">
        <is>
          <t>plain but perfect every time brown rice</t>
        </is>
      </c>
      <c r="C138" t="n">
        <v>88564</v>
      </c>
      <c r="D138" s="4" t="n">
        <v>65</v>
      </c>
      <c r="E138" s="1" t="n">
        <v>38085</v>
      </c>
      <c r="F138" t="inlineStr">
        <is>
          <t>there is no soaking, no mess, no added fat, and even my mom can't ruin this one!</t>
        </is>
      </c>
      <c r="G138" t="n">
        <v>2</v>
      </c>
      <c r="H138" t="n">
        <v>3900</v>
      </c>
      <c r="I138">
        <f>D138*60</f>
        <v/>
      </c>
      <c r="J138">
        <f>COUNTIF(Отзывы!$D:$D, 88564)</f>
        <v/>
      </c>
    </row>
    <row r="139">
      <c r="A139" t="n">
        <v>26409</v>
      </c>
      <c r="B139" t="inlineStr">
        <is>
          <t>super duper deviled eggs</t>
        </is>
      </c>
      <c r="C139" t="n">
        <v>335716</v>
      </c>
      <c r="D139" s="4" t="n">
        <v>20</v>
      </c>
      <c r="E139" s="1" t="n">
        <v>39759</v>
      </c>
      <c r="F139" t="inlineStr">
        <is>
          <t>this is a must-have for every thanksgiving and christmas.</t>
        </is>
      </c>
      <c r="G139" t="n">
        <v>9</v>
      </c>
      <c r="H139" t="n">
        <v>1200</v>
      </c>
      <c r="I139">
        <f>D139*60</f>
        <v/>
      </c>
      <c r="J139">
        <f>COUNTIF(Отзывы!$D:$D, 335716)</f>
        <v/>
      </c>
    </row>
    <row r="140">
      <c r="A140" t="n">
        <v>18041</v>
      </c>
      <c r="B140" t="inlineStr">
        <is>
          <t>momma s fair funnel cake</t>
        </is>
      </c>
      <c r="C140" t="n">
        <v>916</v>
      </c>
      <c r="D140" s="4" t="n">
        <v>20</v>
      </c>
      <c r="E140" s="1" t="n">
        <v>36416</v>
      </c>
      <c r="G140" t="n">
        <v>7</v>
      </c>
      <c r="H140" t="n">
        <v>1200</v>
      </c>
      <c r="I140">
        <f>D140*60</f>
        <v/>
      </c>
      <c r="J140">
        <f>COUNTIF(Отзывы!$D:$D, 916)</f>
        <v/>
      </c>
    </row>
    <row r="141">
      <c r="A141" t="n">
        <v>12198</v>
      </c>
      <c r="B141" t="inlineStr">
        <is>
          <t>goat cheese  tomato  and basil  pizza</t>
        </is>
      </c>
      <c r="C141" t="n">
        <v>189202</v>
      </c>
      <c r="D141" s="4" t="n">
        <v>28</v>
      </c>
      <c r="E141" s="1" t="n">
        <v>38995</v>
      </c>
      <c r="F141" t="inlineStr">
        <is>
          <t>quick and easy to put together, this makes a great weeknight meal! adapted from bh&amp;g magazine.</t>
        </is>
      </c>
      <c r="G141" t="n">
        <v>11</v>
      </c>
      <c r="H141" t="n">
        <v>1680</v>
      </c>
      <c r="I141">
        <f>D141*60</f>
        <v/>
      </c>
      <c r="J141">
        <f>COUNTIF(Отзывы!$D:$D, 189202)</f>
        <v/>
      </c>
    </row>
    <row r="142">
      <c r="A142" t="n">
        <v>19819</v>
      </c>
      <c r="B142" t="inlineStr">
        <is>
          <t>papaya ketchup</t>
        </is>
      </c>
      <c r="C142" t="n">
        <v>456742</v>
      </c>
      <c r="D142" s="6" t="n">
        <v>7</v>
      </c>
      <c r="E142" s="1" t="n">
        <v>40683</v>
      </c>
      <c r="F142" t="inlineStr">
        <is>
          <t>another recipe from one of my favourite cookbooks - marcus samuelsson!  this is one i haven't tried yet as i haven't seen any nice ripe papayas yet, but i think it sounds awesome!  he says it goes good with grilled shrimp or chicken and with roti.</t>
        </is>
      </c>
      <c r="G142" t="n">
        <v>12</v>
      </c>
      <c r="H142" t="n">
        <v>420</v>
      </c>
      <c r="I142">
        <f>D142*60</f>
        <v/>
      </c>
      <c r="J142">
        <f>COUNTIF(Отзывы!$D:$D, 456742)</f>
        <v/>
      </c>
    </row>
    <row r="143">
      <c r="A143" t="n">
        <v>15431</v>
      </c>
      <c r="B143" t="inlineStr">
        <is>
          <t>kittencal s hearty chicken soup</t>
        </is>
      </c>
      <c r="C143" t="n">
        <v>206939</v>
      </c>
      <c r="D143" s="4" t="n">
        <v>90</v>
      </c>
      <c r="E143" s="1" t="n">
        <v>39104</v>
      </c>
      <c r="F143" t="inlineStr">
        <is>
          <t>this is a thick hearty delicious soup i make using my recipe#118258 but can be made using using canned broth. add in some cooked rice or egg noodles also if desired! the spinach is only *optional* if you are not a spinach-lover then you can omit, i like to add it in! the success of this soup will depend on the quality of your chicken broth, so make certain to use the best broth available! you can adjust all amounts to suit taste and increase the chicken broth if desired, the exact amounts do not really matter for all ingredients.</t>
        </is>
      </c>
      <c r="G143" t="n">
        <v>14</v>
      </c>
      <c r="H143" t="n">
        <v>5400</v>
      </c>
      <c r="I143">
        <f>D143*60</f>
        <v/>
      </c>
      <c r="J143">
        <f>COUNTIF(Отзывы!$D:$D, 206939)</f>
        <v/>
      </c>
    </row>
    <row r="144">
      <c r="A144" t="n">
        <v>9181</v>
      </c>
      <c r="B144" t="inlineStr">
        <is>
          <t>day after thanksgiving  dinner</t>
        </is>
      </c>
      <c r="C144" t="n">
        <v>195122</v>
      </c>
      <c r="D144" s="4" t="n">
        <v>45</v>
      </c>
      <c r="E144" s="1" t="n">
        <v>39032</v>
      </c>
      <c r="F144" t="inlineStr">
        <is>
          <t>several years ago, on the friday after thanksgiving, i wanted to use my leftovers for something other than a turkey sandwich or turkey soup.  i opened up all the containers in the fridge and came up with this.  it's a family favorite and easy to create.  it's also easy to put together from scratch, without using leftovers.  i've provided amounts as a guideline but the recipe is very forgiving and can be adjusted or modified for more or less, depending on how many ingredients you have on hand.  also - if your stuffing isn't very savory, you can add more herbs to either your turkey mixture or your stuffing mixture - or both!!</t>
        </is>
      </c>
      <c r="G144" t="n">
        <v>11</v>
      </c>
      <c r="H144" t="n">
        <v>2700</v>
      </c>
      <c r="I144">
        <f>D144*60</f>
        <v/>
      </c>
      <c r="J144">
        <f>COUNTIF(Отзывы!$D:$D, 195122)</f>
        <v/>
      </c>
    </row>
    <row r="145">
      <c r="A145" t="n">
        <v>12371</v>
      </c>
      <c r="B145" t="inlineStr">
        <is>
          <t>grandma chiesa s ravioli</t>
        </is>
      </c>
      <c r="C145" t="n">
        <v>110784</v>
      </c>
      <c r="D145" s="4" t="n">
        <v>126</v>
      </c>
      <c r="E145" s="1" t="n">
        <v>38392</v>
      </c>
      <c r="F145" t="inlineStr">
        <is>
          <t>this recipe came from my grandma chiesa, and is absolutely the best. i'm 63, so you can figure how old the recipe is. it's authentic except for the wonton wrappers -- she made her own ravioli dough, which you can do, too. however, my sisters and i find the wrappers to be as good as her dough was, and some ravioli dough recipes to be not half as good.</t>
        </is>
      </c>
      <c r="G145" t="n">
        <v>10</v>
      </c>
      <c r="H145" t="n">
        <v>7560</v>
      </c>
      <c r="I145">
        <f>D145*60</f>
        <v/>
      </c>
      <c r="J145">
        <f>COUNTIF(Отзывы!$D:$D, 110784)</f>
        <v/>
      </c>
    </row>
    <row r="146">
      <c r="A146" t="n">
        <v>14643</v>
      </c>
      <c r="B146" t="inlineStr">
        <is>
          <t>italian dressing mix</t>
        </is>
      </c>
      <c r="C146" t="n">
        <v>32269</v>
      </c>
      <c r="D146" s="6" t="n">
        <v>10</v>
      </c>
      <c r="E146" s="1" t="n">
        <v>37432</v>
      </c>
      <c r="F146" t="inlineStr">
        <is>
          <t>this is a copycat recipe that really is a budget stretcher. i tried it on a green salad and in my buffalo wing recipe and it was great!</t>
        </is>
      </c>
      <c r="G146" t="n">
        <v>13</v>
      </c>
      <c r="H146" t="n">
        <v>600</v>
      </c>
      <c r="I146">
        <f>D146*60</f>
        <v/>
      </c>
      <c r="J146">
        <f>COUNTIF(Отзывы!$D:$D, 32269)</f>
        <v/>
      </c>
    </row>
    <row r="147" ht="409.5" customHeight="1">
      <c r="A147" t="n">
        <v>15243</v>
      </c>
      <c r="B147" t="inlineStr">
        <is>
          <t>kaw man kai</t>
        </is>
      </c>
      <c r="C147" t="n">
        <v>171769</v>
      </c>
      <c r="D147" s="4" t="n">
        <v>80</v>
      </c>
      <c r="E147" s="1" t="n">
        <v>38875</v>
      </c>
      <c r="F147" s="2" t="inlineStr">
        <is>
          <t>this is a dish of chicken, stewed in seasoned water and served with jasmine rice_x000D_
and a delicious dipping sauce.  it is traditionally a breakfast dish.  i learned it from a chef who spent a lot of time in thailand and offered cooking classes at a local culinary school.</t>
        </is>
      </c>
      <c r="G147" t="n">
        <v>13</v>
      </c>
      <c r="H147" t="n">
        <v>4800</v>
      </c>
      <c r="I147">
        <f>D147*60</f>
        <v/>
      </c>
      <c r="J147">
        <f>COUNTIF(Отзывы!$D:$D, 171769)</f>
        <v/>
      </c>
    </row>
    <row r="148">
      <c r="A148" t="n">
        <v>22176</v>
      </c>
      <c r="B148" t="inlineStr">
        <is>
          <t>raspberry cream cheese brownies</t>
        </is>
      </c>
      <c r="C148" t="n">
        <v>15513</v>
      </c>
      <c r="D148" s="4" t="n">
        <v>50</v>
      </c>
      <c r="E148" s="1" t="n">
        <v>37234</v>
      </c>
      <c r="F148" t="inlineStr">
        <is>
          <t>this is adapted from a recipe from cooking light magazine. my version is a little (okay, a lot) more caloric, but truly superb!</t>
        </is>
      </c>
      <c r="H148" t="n">
        <v>3000</v>
      </c>
      <c r="I148">
        <f>D148*60</f>
        <v/>
      </c>
      <c r="J148">
        <f>COUNTIF(Отзывы!$D:$D, 15513)</f>
        <v/>
      </c>
    </row>
    <row r="149">
      <c r="A149" t="n">
        <v>14541</v>
      </c>
      <c r="B149" t="inlineStr">
        <is>
          <t>irish baked eggs</t>
        </is>
      </c>
      <c r="C149" t="n">
        <v>153096</v>
      </c>
      <c r="D149" s="4" t="n">
        <v>40</v>
      </c>
      <c r="E149" s="1" t="n">
        <v>38740</v>
      </c>
      <c r="F149" t="inlineStr">
        <is>
          <t>this recipe comes from “the ballykissangel cookbook”.  ballykissangel being the fictional irish village of the popular bbc tv drama series of the same name, that was aired a few years ago.  this is a simple vegetarian supper dish that can be varied endlessly and easily adapted to suit your personal tastes.  ingredients are per person so this can be made for just one person or sized up to feed  the family (if you’re making for more than one and are not cooking this in individual portions you’ll probably find that you don’t need as much milk per person; you’ll also find you need to adjust cooking times upwards).  we found this to be a meal in itself so i simply serve it with some crusty bread.</t>
        </is>
      </c>
      <c r="H149" t="n">
        <v>2400</v>
      </c>
      <c r="I149">
        <f>D149*60</f>
        <v/>
      </c>
      <c r="J149">
        <f>COUNTIF(Отзывы!$D:$D, 153096)</f>
        <v/>
      </c>
    </row>
    <row r="150">
      <c r="A150" t="n">
        <v>6494</v>
      </c>
      <c r="B150" t="inlineStr">
        <is>
          <t>chocolate chews</t>
        </is>
      </c>
      <c r="C150" t="n">
        <v>41866</v>
      </c>
      <c r="D150" s="4" t="n">
        <v>40</v>
      </c>
      <c r="E150" s="1" t="n">
        <v>37531</v>
      </c>
      <c r="F150" t="inlineStr">
        <is>
          <t>very old recipe from cloverbloom butter box (out of my grandmom's recipe box). pretty much a brownie, but full of old fashioned flavor.</t>
        </is>
      </c>
      <c r="G150" t="n">
        <v>7</v>
      </c>
      <c r="H150" t="n">
        <v>2400</v>
      </c>
      <c r="I150">
        <f>D150*60</f>
        <v/>
      </c>
      <c r="J150">
        <f>COUNTIF(Отзывы!$D:$D, 41866)</f>
        <v/>
      </c>
    </row>
    <row r="151">
      <c r="A151" t="n">
        <v>1554</v>
      </c>
      <c r="B151" t="inlineStr">
        <is>
          <t>awesome homemade crusty bread  bread machine</t>
        </is>
      </c>
      <c r="C151" t="n">
        <v>75061</v>
      </c>
      <c r="D151" s="6" t="n">
        <v>10</v>
      </c>
      <c r="E151" s="1" t="n">
        <v>37927</v>
      </c>
      <c r="F151" t="inlineStr">
        <is>
          <t>found this recipe on the internet and made it last night for dinner. it is the best bread i have made since i got my bread machine. crusty, light inside and absolutely delicious!</t>
        </is>
      </c>
      <c r="G151" t="n">
        <v>6</v>
      </c>
      <c r="H151" t="n">
        <v>600</v>
      </c>
      <c r="I151">
        <f>D151*60</f>
        <v/>
      </c>
      <c r="J151">
        <f>COUNTIF(Отзывы!$D:$D, 75061)</f>
        <v/>
      </c>
    </row>
    <row r="152" ht="409.5" customHeight="1">
      <c r="A152" t="n">
        <v>14654</v>
      </c>
      <c r="B152" t="inlineStr">
        <is>
          <t>italian fried sandwiches</t>
        </is>
      </c>
      <c r="C152" t="n">
        <v>374478</v>
      </c>
      <c r="D152" s="4" t="n">
        <v>15</v>
      </c>
      <c r="E152" s="1" t="n">
        <v>39959</v>
      </c>
      <c r="F152" s="2" t="inlineStr">
        <is>
          <t>not for the diet-conscious!  a nice addition might be thinly sliced onion rings, raw or cooked (layered with the ham and cheese) , according to your personal preference._x000D_
_x000D_
from "the country kitchen: cheese and biscuits", jean hatfield</t>
        </is>
      </c>
      <c r="G152" t="n">
        <v>8</v>
      </c>
      <c r="H152" t="n">
        <v>900</v>
      </c>
      <c r="I152">
        <f>D152*60</f>
        <v/>
      </c>
      <c r="J152">
        <f>COUNTIF(Отзывы!$D:$D, 374478)</f>
        <v/>
      </c>
    </row>
    <row r="153">
      <c r="A153" t="n">
        <v>27647</v>
      </c>
      <c r="B153" t="inlineStr">
        <is>
          <t>tiramisu  no raw eggs here</t>
        </is>
      </c>
      <c r="C153" t="n">
        <v>326259</v>
      </c>
      <c r="D153" s="4" t="n">
        <v>20</v>
      </c>
      <c r="E153" s="1" t="n">
        <v>39711</v>
      </c>
      <c r="F153" t="inlineStr">
        <is>
          <t>i was looking for a tiramisu recipe with no raw eggs! this one is simple and can be made in no time!  this recipe is kid friendly too, no cooking involved! enjoy :)</t>
        </is>
      </c>
      <c r="H153" t="n">
        <v>1200</v>
      </c>
      <c r="I153">
        <f>D153*60</f>
        <v/>
      </c>
      <c r="J153">
        <f>COUNTIF(Отзывы!$D:$D, 326259)</f>
        <v/>
      </c>
    </row>
    <row r="154">
      <c r="A154" t="n">
        <v>4280</v>
      </c>
      <c r="B154" t="inlineStr">
        <is>
          <t>butterscotch pots de creme</t>
        </is>
      </c>
      <c r="C154" t="n">
        <v>73701</v>
      </c>
      <c r="D154" s="4" t="n">
        <v>65</v>
      </c>
      <c r="E154" s="1" t="n">
        <v>37915</v>
      </c>
      <c r="F154" t="inlineStr">
        <is>
          <t>these custards can be accompanied by whipped cream; chocolate shavings or fresh berries. muscavado sugar is a very dark brown sugar.</t>
        </is>
      </c>
      <c r="G154" t="n">
        <v>7</v>
      </c>
      <c r="H154" t="n">
        <v>3900</v>
      </c>
      <c r="I154">
        <f>D154*60</f>
        <v/>
      </c>
      <c r="J154">
        <f>COUNTIF(Отзывы!$D:$D, 73701)</f>
        <v/>
      </c>
    </row>
    <row r="155">
      <c r="A155" t="n">
        <v>24083</v>
      </c>
      <c r="B155" t="inlineStr">
        <is>
          <t>shrimp marinara</t>
        </is>
      </c>
      <c r="C155" t="n">
        <v>43361</v>
      </c>
      <c r="D155" s="4" t="n">
        <v>23</v>
      </c>
      <c r="E155" s="1" t="n">
        <v>37545</v>
      </c>
      <c r="F155" t="inlineStr">
        <is>
          <t>we love this over a garlicky pasta.</t>
        </is>
      </c>
      <c r="G155" t="n">
        <v>11</v>
      </c>
      <c r="H155" t="n">
        <v>1380</v>
      </c>
      <c r="I155">
        <f>D155*60</f>
        <v/>
      </c>
      <c r="J155">
        <f>COUNTIF(Отзывы!$D:$D, 43361)</f>
        <v/>
      </c>
    </row>
    <row r="156">
      <c r="A156" t="n">
        <v>1469</v>
      </c>
      <c r="B156" t="inlineStr">
        <is>
          <t>avo ranch twice baked spuds</t>
        </is>
      </c>
      <c r="C156" t="n">
        <v>263038</v>
      </c>
      <c r="D156" s="4" t="n">
        <v>45</v>
      </c>
      <c r="E156" s="1" t="n">
        <v>39388</v>
      </c>
      <c r="F156" t="inlineStr">
        <is>
          <t>this recipe came about last night after putting potatoes into the oven and realising i had no sour cream or cream for my twice baked potatoes.  i was inspired by recipe #149509  by dieniab.  the results were very tasty &amp; worthy of st patrick's day.</t>
        </is>
      </c>
      <c r="H156" t="n">
        <v>2700</v>
      </c>
      <c r="I156">
        <f>D156*60</f>
        <v/>
      </c>
      <c r="J156">
        <f>COUNTIF(Отзывы!$D:$D, 263038)</f>
        <v/>
      </c>
    </row>
    <row r="157">
      <c r="A157" t="n">
        <v>14460</v>
      </c>
      <c r="B157" t="inlineStr">
        <is>
          <t>indian sweet saffron rice with raisins and pistachios</t>
        </is>
      </c>
      <c r="C157" t="n">
        <v>125149</v>
      </c>
      <c r="D157" s="4" t="n">
        <v>30</v>
      </c>
      <c r="E157" s="1" t="n">
        <v>38511</v>
      </c>
      <c r="F157" t="inlineStr">
        <is>
          <t>a vedic recipe (meetha kesari bhat) adapted from the cookbook the best of lord krishna's cuisine by yamuna devi. although not considered vedic, i add onion to the rice. very sweet dish meant to be served to soothe the palate when eating more fiery indian dishes. the sweetener jaggery or gur can be found in many asian markets.</t>
        </is>
      </c>
      <c r="G157" t="n">
        <v>13</v>
      </c>
      <c r="H157" t="n">
        <v>1800</v>
      </c>
      <c r="I157">
        <f>D157*60</f>
        <v/>
      </c>
      <c r="J157">
        <f>COUNTIF(Отзывы!$D:$D, 125149)</f>
        <v/>
      </c>
    </row>
    <row r="158">
      <c r="A158" t="n">
        <v>6416</v>
      </c>
      <c r="B158" t="inlineStr">
        <is>
          <t>chocoberry splash</t>
        </is>
      </c>
      <c r="C158" t="n">
        <v>360839</v>
      </c>
      <c r="D158" s="4" t="n">
        <v>15</v>
      </c>
      <c r="E158" s="1" t="n">
        <v>39886</v>
      </c>
      <c r="F158" t="inlineStr">
        <is>
          <t>this is a fun and easy beverage. i found it in some magazine, oh, 30 years or so ago. (it's written into the flyleaf of even an older cookbook). but it's stood the test of time. i've also used very ripe apricots and other types of berries- the key is soft fruit. note on servings: this is meant to be a treat for someone really watching calories - i can drink a double batch all by myself - but the original intent was to provide a reasonable treat when dieting.</t>
        </is>
      </c>
      <c r="G158" t="n">
        <v>5</v>
      </c>
      <c r="H158" t="n">
        <v>900</v>
      </c>
      <c r="I158">
        <f>D158*60</f>
        <v/>
      </c>
      <c r="J158">
        <f>COUNTIF(Отзывы!$D:$D, 360839)</f>
        <v/>
      </c>
    </row>
    <row r="159">
      <c r="A159" t="n">
        <v>8961</v>
      </c>
      <c r="B159" t="inlineStr">
        <is>
          <t>curried cauliflower bake</t>
        </is>
      </c>
      <c r="C159" t="n">
        <v>25905</v>
      </c>
      <c r="D159" s="4" t="n">
        <v>50</v>
      </c>
      <c r="E159" s="1" t="n">
        <v>37368</v>
      </c>
      <c r="F159" t="inlineStr">
        <is>
          <t>southern living; this is a wonderful way to use garden fresh cauliflower. also very quick and easy.</t>
        </is>
      </c>
      <c r="G159" t="n">
        <v>7</v>
      </c>
      <c r="H159" t="n">
        <v>3000</v>
      </c>
      <c r="I159">
        <f>D159*60</f>
        <v/>
      </c>
      <c r="J159">
        <f>COUNTIF(Отзывы!$D:$D, 25905)</f>
        <v/>
      </c>
    </row>
    <row r="160">
      <c r="A160" t="n">
        <v>5211</v>
      </c>
      <c r="B160" t="inlineStr">
        <is>
          <t>cheesy bacon dip</t>
        </is>
      </c>
      <c r="C160" t="n">
        <v>326125</v>
      </c>
      <c r="D160" s="4" t="n">
        <v>70</v>
      </c>
      <c r="E160" s="1" t="n">
        <v>39710</v>
      </c>
      <c r="F160" t="inlineStr">
        <is>
          <t>this will go great with small-size rye bread, or toasted pumpernickel bread.</t>
        </is>
      </c>
      <c r="G160" t="n">
        <v>7</v>
      </c>
      <c r="H160" t="n">
        <v>4200</v>
      </c>
      <c r="I160">
        <f>D160*60</f>
        <v/>
      </c>
      <c r="J160">
        <f>COUNTIF(Отзывы!$D:$D, 326125)</f>
        <v/>
      </c>
    </row>
    <row r="161">
      <c r="A161" t="n">
        <v>9362</v>
      </c>
      <c r="B161" t="inlineStr">
        <is>
          <t>dessert quesadillas</t>
        </is>
      </c>
      <c r="C161" t="n">
        <v>97711</v>
      </c>
      <c r="D161" s="4" t="n">
        <v>42</v>
      </c>
      <c r="E161" s="1" t="n">
        <v>38212</v>
      </c>
      <c r="F161" t="inlineStr">
        <is>
          <t>a fun dessert idea that my kids enjoy helping me make and eat.</t>
        </is>
      </c>
      <c r="H161" t="n">
        <v>2520</v>
      </c>
      <c r="I161">
        <f>D161*60</f>
        <v/>
      </c>
      <c r="J161">
        <f>COUNTIF(Отзывы!$D:$D, 97711)</f>
        <v/>
      </c>
    </row>
    <row r="162">
      <c r="A162" t="n">
        <v>25654</v>
      </c>
      <c r="B162" t="inlineStr">
        <is>
          <t>spinach quiche  crustless  sophisticated   grown up</t>
        </is>
      </c>
      <c r="C162" t="n">
        <v>283039</v>
      </c>
      <c r="D162" s="4" t="n">
        <v>75</v>
      </c>
      <c r="E162" s="1" t="n">
        <v>39477</v>
      </c>
      <c r="F162" t="inlineStr">
        <is>
          <t>made for rsc contest numer 11, january 2008. this spinach quiche has an extra dimension to it... wine ! it's a grown up sophisticated version that has oodles of flavour with simple ingredients and, allows the hostess to appear to have worked for hours, when in reality, it throws itself together so easily, that it could almost be embarrasing if anyone cottened on. with this recipe and it's french influences you can take your fork, close your eyes and imagine yourself in sunny provence what ever the weather where you are today.</t>
        </is>
      </c>
      <c r="H162" t="n">
        <v>4500</v>
      </c>
      <c r="I162">
        <f>D162*60</f>
        <v/>
      </c>
      <c r="J162">
        <f>COUNTIF(Отзывы!$D:$D, 283039)</f>
        <v/>
      </c>
    </row>
    <row r="163">
      <c r="A163" t="n">
        <v>1289</v>
      </c>
      <c r="B163" t="inlineStr">
        <is>
          <t>asparagus flan</t>
        </is>
      </c>
      <c r="C163" t="n">
        <v>91488</v>
      </c>
      <c r="D163" s="4" t="n">
        <v>50</v>
      </c>
      <c r="E163" s="1" t="n">
        <v>38127</v>
      </c>
      <c r="F163" t="inlineStr">
        <is>
          <t>this made a lovely side dish to scallops tonight. courtesy of intermezzo.</t>
        </is>
      </c>
      <c r="G163" t="n">
        <v>9</v>
      </c>
      <c r="H163" t="n">
        <v>3000</v>
      </c>
      <c r="I163">
        <f>D163*60</f>
        <v/>
      </c>
      <c r="J163">
        <f>COUNTIF(Отзывы!$D:$D, 91488)</f>
        <v/>
      </c>
    </row>
    <row r="164">
      <c r="A164" t="n">
        <v>25889</v>
      </c>
      <c r="B164" t="inlineStr">
        <is>
          <t>sticky buns</t>
        </is>
      </c>
      <c r="C164" t="n">
        <v>63698</v>
      </c>
      <c r="D164" s="4" t="n">
        <v>390</v>
      </c>
      <c r="E164" s="1" t="n">
        <v>37777</v>
      </c>
      <c r="F164" t="inlineStr">
        <is>
          <t xml:space="preserve">i finally found a copy of the </t>
        </is>
      </c>
      <c r="H164" t="n">
        <v>23400</v>
      </c>
      <c r="I164">
        <f>D164*60</f>
        <v/>
      </c>
      <c r="J164">
        <f>COUNTIF(Отзывы!$D:$D, 63698)</f>
        <v/>
      </c>
    </row>
    <row r="165">
      <c r="A165" t="n">
        <v>22960</v>
      </c>
      <c r="B165" t="inlineStr">
        <is>
          <t>rosemary   roasted garlic  cheese  mashed potatoes</t>
        </is>
      </c>
      <c r="C165" t="n">
        <v>75297</v>
      </c>
      <c r="D165" s="4" t="n">
        <v>30</v>
      </c>
      <c r="E165" s="1" t="n">
        <v>37928</v>
      </c>
      <c r="F165" t="inlineStr">
        <is>
          <t>comfort food! instead of roasting the garlic you can boil along with the potatoes.</t>
        </is>
      </c>
      <c r="G165" t="n">
        <v>9</v>
      </c>
      <c r="H165" t="n">
        <v>1800</v>
      </c>
      <c r="I165">
        <f>D165*60</f>
        <v/>
      </c>
      <c r="J165">
        <f>COUNTIF(Отзывы!$D:$D, 75297)</f>
        <v/>
      </c>
    </row>
    <row r="166" ht="409.5" customHeight="1">
      <c r="A166" t="n">
        <v>19578</v>
      </c>
      <c r="B166" t="inlineStr">
        <is>
          <t>oven dried onion   garlic flakes</t>
        </is>
      </c>
      <c r="C166" t="n">
        <v>204180</v>
      </c>
      <c r="D166" s="4" t="n">
        <v>495</v>
      </c>
      <c r="E166" s="1" t="n">
        <v>39090</v>
      </c>
      <c r="F166" s="2" t="inlineStr">
        <is>
          <t>this is a good way to use up extra onions/garlic  and store them for future uses. be sure to store in cool, dry places at room temperature in airtight containers out of sunlight.  with no moisture to be allowed to enter the container...ever ever. _x000D_
fyi-temperatures too high will result in the onions being cooked instead of dried and   when overdried will lose its flavor and nutritive value.  onions/garlic that are underdried will spoil so be sure they are crisp when removed._x000D_
1 small clove = 1/8 teaspoon garlic powder 1/2 teaspoon dried garlic slices._x000D_
1 small or 1/4 cup chopped,fresh onion_x000D_
= 1 tablespoon dried onion.</t>
        </is>
      </c>
      <c r="G166" t="n">
        <v>3</v>
      </c>
      <c r="H166" t="n">
        <v>29700</v>
      </c>
      <c r="I166">
        <f>D166*60</f>
        <v/>
      </c>
      <c r="J166">
        <f>COUNTIF(Отзывы!$D:$D, 204180)</f>
        <v/>
      </c>
    </row>
    <row r="167">
      <c r="A167" t="n">
        <v>17260</v>
      </c>
      <c r="B167" t="inlineStr">
        <is>
          <t>meatball melties</t>
        </is>
      </c>
      <c r="C167" t="n">
        <v>416029</v>
      </c>
      <c r="D167" s="4" t="n">
        <v>30</v>
      </c>
      <c r="E167" s="1" t="n">
        <v>40246</v>
      </c>
      <c r="F167" t="inlineStr">
        <is>
          <t>these sandwiches are delicious! my family raved about them. i will be making these often. i got the recipe from rachael ray magazine.</t>
        </is>
      </c>
      <c r="G167" t="n">
        <v>18</v>
      </c>
      <c r="H167" t="n">
        <v>1800</v>
      </c>
      <c r="I167">
        <f>D167*60</f>
        <v/>
      </c>
      <c r="J167">
        <f>COUNTIF(Отзывы!$D:$D, 416029)</f>
        <v/>
      </c>
    </row>
    <row r="168">
      <c r="A168" t="n">
        <v>6356</v>
      </c>
      <c r="B168" t="inlineStr">
        <is>
          <t>chinese style barbecued chicken</t>
        </is>
      </c>
      <c r="C168" t="n">
        <v>451053</v>
      </c>
      <c r="D168" s="4" t="n">
        <v>50</v>
      </c>
      <c r="E168" s="1" t="n">
        <v>40620</v>
      </c>
      <c r="F168" t="inlineStr">
        <is>
          <t>365 easy low calorie recipes</t>
        </is>
      </c>
      <c r="G168" t="n">
        <v>8</v>
      </c>
      <c r="H168" t="n">
        <v>3000</v>
      </c>
      <c r="I168">
        <f>D168*60</f>
        <v/>
      </c>
      <c r="J168">
        <f>COUNTIF(Отзывы!$D:$D, 451053)</f>
        <v/>
      </c>
    </row>
    <row r="169">
      <c r="A169" t="n">
        <v>29082</v>
      </c>
      <c r="B169" t="inlineStr">
        <is>
          <t>watermelon salad with lime dressing</t>
        </is>
      </c>
      <c r="C169" t="n">
        <v>165988</v>
      </c>
      <c r="D169" s="4" t="n">
        <v>15</v>
      </c>
      <c r="E169" s="1" t="n">
        <v>38834</v>
      </c>
      <c r="F169" t="inlineStr">
        <is>
          <t>an unusual salad featuring watermelon, co-starring honeydew and cantaloupe.  for zwt, classified as southwest for the lime dressing's texmex flair.</t>
        </is>
      </c>
      <c r="G169" t="n">
        <v>10</v>
      </c>
      <c r="H169" t="n">
        <v>900</v>
      </c>
      <c r="I169">
        <f>D169*60</f>
        <v/>
      </c>
      <c r="J169">
        <f>COUNTIF(Отзывы!$D:$D, 165988)</f>
        <v/>
      </c>
    </row>
    <row r="170">
      <c r="A170" t="n">
        <v>9845</v>
      </c>
      <c r="B170" t="inlineStr">
        <is>
          <t>easy bisquick  zucchini squares</t>
        </is>
      </c>
      <c r="C170" t="n">
        <v>128177</v>
      </c>
      <c r="D170" s="4" t="n">
        <v>40</v>
      </c>
      <c r="E170" s="1" t="n">
        <v>38532</v>
      </c>
      <c r="F170" t="inlineStr">
        <is>
          <t>this is an easy simple recipe just mix and bake and these freeze excellent!</t>
        </is>
      </c>
      <c r="G170" t="n">
        <v>13</v>
      </c>
      <c r="H170" t="n">
        <v>2400</v>
      </c>
      <c r="I170">
        <f>D170*60</f>
        <v/>
      </c>
      <c r="J170">
        <f>COUNTIF(Отзывы!$D:$D, 128177)</f>
        <v/>
      </c>
    </row>
    <row r="171">
      <c r="A171" t="n">
        <v>27938</v>
      </c>
      <c r="B171" t="inlineStr">
        <is>
          <t>trade winds coffee</t>
        </is>
      </c>
      <c r="C171" t="n">
        <v>202388</v>
      </c>
      <c r="D171" s="6" t="n">
        <v>5</v>
      </c>
      <c r="E171" s="1" t="n">
        <v>39081</v>
      </c>
      <c r="F171" t="inlineStr">
        <is>
          <t>just a little something to warm you up or calm you down</t>
        </is>
      </c>
      <c r="G171" t="n">
        <v>6</v>
      </c>
      <c r="H171" t="n">
        <v>300</v>
      </c>
      <c r="I171">
        <f>D171*60</f>
        <v/>
      </c>
      <c r="J171">
        <f>COUNTIF(Отзывы!$D:$D, 202388)</f>
        <v/>
      </c>
    </row>
    <row r="172">
      <c r="A172" t="n">
        <v>19266</v>
      </c>
      <c r="B172" t="inlineStr">
        <is>
          <t>opera creams candies</t>
        </is>
      </c>
      <c r="C172" t="n">
        <v>48415</v>
      </c>
      <c r="D172" s="4" t="n">
        <v>45</v>
      </c>
      <c r="E172" s="1" t="n">
        <v>37601</v>
      </c>
      <c r="F172" t="inlineStr">
        <is>
          <t>adapted from an issue of "family circle holiday cakes &amp; cookies."</t>
        </is>
      </c>
      <c r="G172" t="n">
        <v>8</v>
      </c>
      <c r="H172" t="n">
        <v>2700</v>
      </c>
      <c r="I172">
        <f>D172*60</f>
        <v/>
      </c>
      <c r="J172">
        <f>COUNTIF(Отзывы!$D:$D, 48415)</f>
        <v/>
      </c>
    </row>
    <row r="173">
      <c r="A173" t="n">
        <v>8908</v>
      </c>
      <c r="B173" t="inlineStr">
        <is>
          <t>cucumber salad  turkish cacick</t>
        </is>
      </c>
      <c r="C173" t="n">
        <v>79074</v>
      </c>
      <c r="D173" s="6" t="n">
        <v>10</v>
      </c>
      <c r="E173" s="1" t="n">
        <v>37971</v>
      </c>
      <c r="F173" t="inlineStr">
        <is>
          <t>this is a far better use for a cucumber than a lettuce salad. i have visited turkey, the country of origin for this recipie, and find that this recipie is in keeping with the great tastes that turkey has to offer in food preparation.</t>
        </is>
      </c>
      <c r="G173" t="n">
        <v>8</v>
      </c>
      <c r="H173" t="n">
        <v>600</v>
      </c>
      <c r="I173">
        <f>D173*60</f>
        <v/>
      </c>
      <c r="J173">
        <f>COUNTIF(Отзывы!$D:$D, 79074)</f>
        <v/>
      </c>
    </row>
    <row r="174" ht="409.5" customHeight="1">
      <c r="A174" t="n">
        <v>24352</v>
      </c>
      <c r="B174" t="inlineStr">
        <is>
          <t>sissy s chipless  chocolate chip  cookies</t>
        </is>
      </c>
      <c r="C174" t="n">
        <v>247987</v>
      </c>
      <c r="D174" s="4" t="n">
        <v>23</v>
      </c>
      <c r="E174" s="1" t="n">
        <v>39315</v>
      </c>
      <c r="F174" s="2" t="inlineStr">
        <is>
          <t>my younger sister loves the cookie part of chocolate chip cookies...but hates chocolate chips!  sugar cookies are too pale and plain for her.  she used to just pick around the chips...until i started making these for her._x000D_
_x000D_
(she's lucky to have me, eh?)</t>
        </is>
      </c>
      <c r="H174" t="n">
        <v>1380</v>
      </c>
      <c r="I174">
        <f>D174*60</f>
        <v/>
      </c>
      <c r="J174">
        <f>COUNTIF(Отзывы!$D:$D, 247987)</f>
        <v/>
      </c>
    </row>
    <row r="175">
      <c r="A175" t="n">
        <v>9229</v>
      </c>
      <c r="B175" t="inlineStr">
        <is>
          <t>dee s pea and radish salad</t>
        </is>
      </c>
      <c r="C175" t="n">
        <v>489262</v>
      </c>
      <c r="D175" s="6" t="n">
        <v>10</v>
      </c>
      <c r="E175" s="1" t="n">
        <v>41207</v>
      </c>
      <c r="F175" t="inlineStr">
        <is>
          <t>i made this up when i wanted a simple pea salad; it's pretty.</t>
        </is>
      </c>
      <c r="G175" t="n">
        <v>9</v>
      </c>
      <c r="H175" t="n">
        <v>600</v>
      </c>
      <c r="I175">
        <f>D175*60</f>
        <v/>
      </c>
      <c r="J175">
        <f>COUNTIF(Отзывы!$D:$D, 489262)</f>
        <v/>
      </c>
    </row>
    <row r="176">
      <c r="A176" t="n">
        <v>21059</v>
      </c>
      <c r="B176" t="inlineStr">
        <is>
          <t>polish cabbage casserole</t>
        </is>
      </c>
      <c r="C176" t="n">
        <v>50951</v>
      </c>
      <c r="D176" s="4" t="n">
        <v>70</v>
      </c>
      <c r="E176" s="1" t="n">
        <v>37634</v>
      </c>
      <c r="F176" t="inlineStr">
        <is>
          <t>this is a quick &amp; easy way of using up the leftover cabbage from recipe #50949 my easy cabbage rolls. for a more economical meal, use bone-in chicken pieces but cook a little longer. serve with steamed rice and/or crusty bread to mop up the sauce.</t>
        </is>
      </c>
      <c r="G176" t="n">
        <v>6</v>
      </c>
      <c r="H176" t="n">
        <v>4200</v>
      </c>
      <c r="I176">
        <f>D176*60</f>
        <v/>
      </c>
      <c r="J176">
        <f>COUNTIF(Отзывы!$D:$D, 50951)</f>
        <v/>
      </c>
    </row>
    <row r="177">
      <c r="A177" t="n">
        <v>21272</v>
      </c>
      <c r="B177" t="inlineStr">
        <is>
          <t>pork stroganoff</t>
        </is>
      </c>
      <c r="C177" t="n">
        <v>240331</v>
      </c>
      <c r="D177" s="4" t="n">
        <v>35</v>
      </c>
      <c r="E177" s="1" t="n">
        <v>39276</v>
      </c>
      <c r="F177" t="inlineStr">
        <is>
          <t>vegemite on pork?  sure!  being a relative newbie to the big "v", i hadn't tried it on anything but crackers, but we made this tonight and it's really good!  the 2 teaspoons are incorporated into the sauce and results in a mild but delicious flavor. i can't wait to try other recipes from my new vegemite cook book!  for the photo here, i opted for simple browned butter on bowtie pasta topped with the stroganoff.  yum!</t>
        </is>
      </c>
      <c r="G177" t="n">
        <v>12</v>
      </c>
      <c r="H177" t="n">
        <v>2100</v>
      </c>
      <c r="I177">
        <f>D177*60</f>
        <v/>
      </c>
      <c r="J177">
        <f>COUNTIF(Отзывы!$D:$D, 240331)</f>
        <v/>
      </c>
    </row>
    <row r="178">
      <c r="A178" t="n">
        <v>10295</v>
      </c>
      <c r="B178" t="inlineStr">
        <is>
          <t>easy  spicy  veggie grilled cheese</t>
        </is>
      </c>
      <c r="C178" t="n">
        <v>352468</v>
      </c>
      <c r="D178" s="6" t="n">
        <v>9</v>
      </c>
      <c r="E178" s="1" t="n">
        <v>39840</v>
      </c>
      <c r="F178" t="inlineStr">
        <is>
          <t>this healthy grilled cheese sandwich is very quick and tasty. with the combination of mozzerella cheese, onions, carrots, crushed red pepper, and basil you are sure to spazzz up your taste buds!</t>
        </is>
      </c>
      <c r="H178" t="n">
        <v>540</v>
      </c>
      <c r="I178">
        <f>D178*60</f>
        <v/>
      </c>
      <c r="J178">
        <f>COUNTIF(Отзывы!$D:$D, 352468)</f>
        <v/>
      </c>
    </row>
    <row r="179">
      <c r="A179" t="n">
        <v>8397</v>
      </c>
      <c r="B179" t="inlineStr">
        <is>
          <t>creamy vanilla raspberry pavlova</t>
        </is>
      </c>
      <c r="C179" t="n">
        <v>111356</v>
      </c>
      <c r="D179" s="4" t="n">
        <v>110</v>
      </c>
      <c r="E179" s="1" t="n">
        <v>38400</v>
      </c>
      <c r="F179" t="inlineStr">
        <is>
          <t>from the kraft kitchens. posting here for safe keeping. if you prepare this before i do, please let me know how it turns out.</t>
        </is>
      </c>
      <c r="G179" t="n">
        <v>8</v>
      </c>
      <c r="H179" t="n">
        <v>6600</v>
      </c>
      <c r="I179">
        <f>D179*60</f>
        <v/>
      </c>
      <c r="J179">
        <f>COUNTIF(Отзывы!$D:$D, 111356)</f>
        <v/>
      </c>
    </row>
    <row r="180">
      <c r="A180" t="n">
        <v>17107</v>
      </c>
      <c r="B180" t="inlineStr">
        <is>
          <t>martha stewart s lemon currant cookies</t>
        </is>
      </c>
      <c r="C180" t="n">
        <v>308573</v>
      </c>
      <c r="D180" s="4" t="n">
        <v>40</v>
      </c>
      <c r="E180" s="1" t="n">
        <v>39609</v>
      </c>
      <c r="F180" t="inlineStr">
        <is>
          <t>when a black corinth grape is dried, it becomes a 'currant'!  these cookies are from martha stewart's everyday food website.  they have such great flavor.  her recipe says to bake for 20 minutes but i found that mine browned around the edges in 10 minutes.  i posted her recipe as written but just wanted to let you know to start checking at 10 minutes.</t>
        </is>
      </c>
      <c r="G180" t="n">
        <v>9</v>
      </c>
      <c r="H180" t="n">
        <v>2400</v>
      </c>
      <c r="I180">
        <f>D180*60</f>
        <v/>
      </c>
      <c r="J180">
        <f>COUNTIF(Отзывы!$D:$D, 308573)</f>
        <v/>
      </c>
    </row>
    <row r="181">
      <c r="A181" t="n">
        <v>9709</v>
      </c>
      <c r="B181" t="inlineStr">
        <is>
          <t>dutch speculaas cookies  contains ground almonds</t>
        </is>
      </c>
      <c r="C181" t="n">
        <v>195583</v>
      </c>
      <c r="D181" s="4" t="n">
        <v>60</v>
      </c>
      <c r="E181" s="1" t="n">
        <v>39035</v>
      </c>
      <c r="F181" t="inlineStr">
        <is>
          <t>taken from a little community cookbook "cooking on clogs" that has some great family recipes compiled by dutch ladies especially for when they pined for typical dutch recipes and treats that were not available to them shop-bought when they emigrated to other countries. i like the fact that these cookies don't just specify the vague ingredient "speculaas kruiden" (spices) but actually tell you how to make the spice mix from scratch. these cookies available year round in nl but the large, often highly decorative cookies, often made to a regional or local spekulaas spice recipes that are the cooks closely guarded secret, and often topped with slivered almonds, make their appearance in late november in the run up to saint nicolas on december 5th. cooking time includes refrigeration time and yield is a total guess because it depends entirely how large you choose to make your cookies :) zwt region: the netherlands.</t>
        </is>
      </c>
      <c r="G181" t="n">
        <v>11</v>
      </c>
      <c r="H181" t="n">
        <v>3600</v>
      </c>
      <c r="I181">
        <f>D181*60</f>
        <v/>
      </c>
      <c r="J181">
        <f>COUNTIF(Отзывы!$D:$D, 195583)</f>
        <v/>
      </c>
    </row>
    <row r="182">
      <c r="A182" t="n">
        <v>15832</v>
      </c>
      <c r="B182" t="inlineStr">
        <is>
          <t>lemon cake custard</t>
        </is>
      </c>
      <c r="C182" t="n">
        <v>329390</v>
      </c>
      <c r="D182" s="4" t="n">
        <v>40</v>
      </c>
      <c r="E182" s="1" t="n">
        <v>39728</v>
      </c>
      <c r="F182" t="inlineStr">
        <is>
          <t>i love lemon desserts at the end of the meal.  this is a nice creamy finish to any meal.</t>
        </is>
      </c>
      <c r="G182" t="n">
        <v>8</v>
      </c>
      <c r="H182" t="n">
        <v>2400</v>
      </c>
      <c r="I182">
        <f>D182*60</f>
        <v/>
      </c>
      <c r="J182">
        <f>COUNTIF(Отзывы!$D:$D, 329390)</f>
        <v/>
      </c>
    </row>
    <row r="183">
      <c r="A183" t="n">
        <v>20953</v>
      </c>
      <c r="B183" t="inlineStr">
        <is>
          <t>pizza hut cavatini copycat</t>
        </is>
      </c>
      <c r="C183" t="n">
        <v>220539</v>
      </c>
      <c r="D183" s="4" t="n">
        <v>65</v>
      </c>
      <c r="E183" s="1" t="n">
        <v>39175</v>
      </c>
      <c r="F183" t="inlineStr">
        <is>
          <t>i got this from copykat.com. pizza hut cavatini copykat</t>
        </is>
      </c>
      <c r="G183" t="n">
        <v>12</v>
      </c>
      <c r="H183" t="n">
        <v>3900</v>
      </c>
      <c r="I183">
        <f>D183*60</f>
        <v/>
      </c>
      <c r="J183">
        <f>COUNTIF(Отзывы!$D:$D, 220539)</f>
        <v/>
      </c>
    </row>
    <row r="184">
      <c r="A184" t="n">
        <v>11596</v>
      </c>
      <c r="B184" t="inlineStr">
        <is>
          <t>fruit bars   5 ingredients</t>
        </is>
      </c>
      <c r="C184" t="n">
        <v>247353</v>
      </c>
      <c r="D184" s="4" t="n">
        <v>40</v>
      </c>
      <c r="E184" s="1" t="n">
        <v>39313</v>
      </c>
      <c r="F184" t="inlineStr">
        <is>
          <t>from the bisquick people.  a simple dessert with a moist, chewy crust and your favorite spreadable fruit in the center.  this tastes better the longer it sits.</t>
        </is>
      </c>
      <c r="H184" t="n">
        <v>2400</v>
      </c>
      <c r="I184">
        <f>D184*60</f>
        <v/>
      </c>
      <c r="J184">
        <f>COUNTIF(Отзывы!$D:$D, 247353)</f>
        <v/>
      </c>
    </row>
    <row r="185" ht="330" customHeight="1">
      <c r="A185" t="n">
        <v>10474</v>
      </c>
      <c r="B185" t="inlineStr">
        <is>
          <t>egyptian rice for fish</t>
        </is>
      </c>
      <c r="C185" t="n">
        <v>145824</v>
      </c>
      <c r="D185" s="4" t="n">
        <v>30</v>
      </c>
      <c r="E185" s="1" t="n">
        <v>38677</v>
      </c>
      <c r="F185" s="2" t="inlineStr">
        <is>
          <t>this is a must have dish cooked in egypt with any kind of fish very easy and tasty _x000D_
and you have a choice of adding tiny pieces of shrimp to it or cumin or even raisins</t>
        </is>
      </c>
      <c r="H185" t="n">
        <v>1800</v>
      </c>
      <c r="I185">
        <f>D185*60</f>
        <v/>
      </c>
      <c r="J185">
        <f>COUNTIF(Отзывы!$D:$D, 145824)</f>
        <v/>
      </c>
    </row>
    <row r="186">
      <c r="A186" t="n">
        <v>19227</v>
      </c>
      <c r="B186" t="inlineStr">
        <is>
          <t>onion soup with portabella swiss cheese topping</t>
        </is>
      </c>
      <c r="C186" t="n">
        <v>454910</v>
      </c>
      <c r="D186" s="4" t="n">
        <v>160</v>
      </c>
      <c r="E186" s="1" t="n">
        <v>40665</v>
      </c>
      <c r="F186" t="inlineStr">
        <is>
          <t>i love onion soup, however i do not like how the traditional rendition allows the bread to get soggy. this version uses the portabellas as the platform for the cheese and is sure to please.</t>
        </is>
      </c>
      <c r="H186" t="n">
        <v>9600</v>
      </c>
      <c r="I186">
        <f>D186*60</f>
        <v/>
      </c>
      <c r="J186">
        <f>COUNTIF(Отзывы!$D:$D, 454910)</f>
        <v/>
      </c>
    </row>
    <row r="187">
      <c r="A187" t="n">
        <v>21860</v>
      </c>
      <c r="B187" t="inlineStr">
        <is>
          <t>quick and easy banana cream pie</t>
        </is>
      </c>
      <c r="C187" t="n">
        <v>137055</v>
      </c>
      <c r="D187" s="6" t="n">
        <v>8</v>
      </c>
      <c r="E187" s="1" t="n">
        <v>38607</v>
      </c>
      <c r="F187" t="inlineStr">
        <is>
          <t>this one is quick and still has great flavor.  try it with either a graham cracker crust or a traditional pastry crust.  feel free to use regular pudding and milk in the recipe.</t>
        </is>
      </c>
      <c r="G187" t="n">
        <v>7</v>
      </c>
      <c r="H187" t="n">
        <v>480</v>
      </c>
      <c r="I187">
        <f>D187*60</f>
        <v/>
      </c>
      <c r="J187">
        <f>COUNTIF(Отзывы!$D:$D, 137055)</f>
        <v/>
      </c>
    </row>
    <row r="188">
      <c r="A188" t="n">
        <v>5578</v>
      </c>
      <c r="B188" t="inlineStr">
        <is>
          <t>chicken and dressing in one dish</t>
        </is>
      </c>
      <c r="C188" t="n">
        <v>92664</v>
      </c>
      <c r="D188" s="4" t="n">
        <v>40</v>
      </c>
      <c r="E188" s="1" t="n">
        <v>38142</v>
      </c>
      <c r="F188" t="inlineStr">
        <is>
          <t>so quick and easy for those rushed nights when you get home late and everyone wants something hot.</t>
        </is>
      </c>
      <c r="G188" t="n">
        <v>6</v>
      </c>
      <c r="H188" t="n">
        <v>2400</v>
      </c>
      <c r="I188">
        <f>D188*60</f>
        <v/>
      </c>
      <c r="J188">
        <f>COUNTIF(Отзывы!$D:$D, 92664)</f>
        <v/>
      </c>
    </row>
    <row r="189">
      <c r="A189" t="n">
        <v>13468</v>
      </c>
      <c r="B189" t="inlineStr">
        <is>
          <t>healthy italian breadsticks or pizza crust</t>
        </is>
      </c>
      <c r="C189" t="n">
        <v>252423</v>
      </c>
      <c r="D189" s="4" t="n">
        <v>75</v>
      </c>
      <c r="E189" s="1" t="n">
        <v>39336</v>
      </c>
      <c r="F189" t="inlineStr">
        <is>
          <t>healthy vegan italian bread sticks or pizza crust!  i've given directions below in how to make this as italian bread sticks, but to turn it into pizza crust is quite simple.  simply omit the italian seasoning, garlic and onion powder from this recipe and roll to fit 2 medium sized pizza pans and tada you have pizza crust.  freezes well also.  from "the best of silver hills delicious vegetarian cuisine" cookbook.  update:  lately i've been making this as a pizza crust without omiting the italian seasoning, garlic, and onion powder and i think it makes the pizza taste even better.</t>
        </is>
      </c>
      <c r="H189" t="n">
        <v>4500</v>
      </c>
      <c r="I189">
        <f>D189*60</f>
        <v/>
      </c>
      <c r="J189">
        <f>COUNTIF(Отзывы!$D:$D, 252423)</f>
        <v/>
      </c>
    </row>
    <row r="190">
      <c r="A190" t="n">
        <v>13317</v>
      </c>
      <c r="B190" t="inlineStr">
        <is>
          <t>happy fruit muffins</t>
        </is>
      </c>
      <c r="C190" t="n">
        <v>32059</v>
      </c>
      <c r="D190" s="4" t="n">
        <v>35</v>
      </c>
      <c r="E190" s="1" t="n">
        <v>37431</v>
      </c>
      <c r="G190" t="n">
        <v>14</v>
      </c>
      <c r="H190" t="n">
        <v>2100</v>
      </c>
      <c r="I190">
        <f>D190*60</f>
        <v/>
      </c>
      <c r="J190">
        <f>COUNTIF(Отзывы!$D:$D, 32059)</f>
        <v/>
      </c>
    </row>
    <row r="191">
      <c r="A191" t="n">
        <v>28831</v>
      </c>
      <c r="B191" t="inlineStr">
        <is>
          <t>very berry coffee cake</t>
        </is>
      </c>
      <c r="C191" t="n">
        <v>33598</v>
      </c>
      <c r="D191" s="4" t="n">
        <v>55</v>
      </c>
      <c r="E191" s="1" t="n">
        <v>37445</v>
      </c>
      <c r="F191" t="inlineStr">
        <is>
          <t>simple to make and a good way to use up leftover sour cream as it only calls for 3 tablespoons of it. you can mix and match berries or use all one kind too. recipe courtesey killahevlin bed and breakfast front royal, virginia</t>
        </is>
      </c>
      <c r="G191" t="n">
        <v>12</v>
      </c>
      <c r="H191" t="n">
        <v>3300</v>
      </c>
      <c r="I191">
        <f>D191*60</f>
        <v/>
      </c>
      <c r="J191">
        <f>COUNTIF(Отзывы!$D:$D, 33598)</f>
        <v/>
      </c>
    </row>
    <row r="192">
      <c r="A192" t="n">
        <v>17505</v>
      </c>
      <c r="B192" t="inlineStr">
        <is>
          <t>mexican macaroni and beef</t>
        </is>
      </c>
      <c r="C192" t="n">
        <v>232057</v>
      </c>
      <c r="D192" s="4" t="n">
        <v>50</v>
      </c>
      <c r="E192" s="1" t="n">
        <v>39236</v>
      </c>
      <c r="F192" t="inlineStr">
        <is>
          <t>gebhard's chili recipe from newspaper.</t>
        </is>
      </c>
      <c r="G192" t="n">
        <v>9</v>
      </c>
      <c r="H192" t="n">
        <v>3000</v>
      </c>
      <c r="I192">
        <f>D192*60</f>
        <v/>
      </c>
      <c r="J192">
        <f>COUNTIF(Отзывы!$D:$D, 232057)</f>
        <v/>
      </c>
    </row>
    <row r="193">
      <c r="A193" t="n">
        <v>20026</v>
      </c>
      <c r="B193" t="inlineStr">
        <is>
          <t>pastitsio  better than spaghetti</t>
        </is>
      </c>
      <c r="C193" t="n">
        <v>274598</v>
      </c>
      <c r="D193" s="4" t="n">
        <v>65</v>
      </c>
      <c r="E193" s="1" t="n">
        <v>39444</v>
      </c>
      <c r="F193" t="inlineStr">
        <is>
          <t>this is a great change from your everyday spaghetti &amp; meatballs. this will make 8-10 servings, so be prepared for leftovers!</t>
        </is>
      </c>
      <c r="G193" t="n">
        <v>13</v>
      </c>
      <c r="H193" t="n">
        <v>3900</v>
      </c>
      <c r="I193">
        <f>D193*60</f>
        <v/>
      </c>
      <c r="J193">
        <f>COUNTIF(Отзывы!$D:$D, 274598)</f>
        <v/>
      </c>
    </row>
    <row r="194">
      <c r="A194" t="n">
        <v>19627</v>
      </c>
      <c r="B194" t="inlineStr">
        <is>
          <t>oven roasted chicken  with roasted garlic and french bread</t>
        </is>
      </c>
      <c r="C194" t="n">
        <v>179638</v>
      </c>
      <c r="D194" s="4" t="n">
        <v>97</v>
      </c>
      <c r="E194" s="1" t="n">
        <v>38927</v>
      </c>
      <c r="F194" t="inlineStr">
        <is>
          <t>this recipe is fabulous - perfectly roasted whole chicken, with roasted garlic to squeeze right onto the chicken (if you prefer), and crusty french bread, with squeezed garlic.  too-die-for! if you so choose, you can actually skip eating the roasted garlic (unless you are a true garlic-lover, and can't resist :-).  simply cooking the chicken with the garlic in the pan adds incredible flavor to the chicken!.  i also sometimes throw in some quartered red potatoes to the pan, which creates amazing roasted garlic potatoes. if i do this, i always sprinkle the potatoes with salt, pepper, and rosemary, too, and sprinkle with olive oil, both at the start of the cooking time, and just before serving (toss well).  makes for a fabulous complete meal!</t>
        </is>
      </c>
      <c r="G194" t="n">
        <v>9</v>
      </c>
      <c r="H194" t="n">
        <v>5820</v>
      </c>
      <c r="I194">
        <f>D194*60</f>
        <v/>
      </c>
      <c r="J194">
        <f>COUNTIF(Отзывы!$D:$D, 179638)</f>
        <v/>
      </c>
    </row>
    <row r="195">
      <c r="A195" t="n">
        <v>23487</v>
      </c>
      <c r="B195" t="inlineStr">
        <is>
          <t>sausage  apple and cranberry stuffing</t>
        </is>
      </c>
      <c r="C195" t="n">
        <v>194580</v>
      </c>
      <c r="D195" s="4" t="n">
        <v>40</v>
      </c>
      <c r="E195" s="1" t="n">
        <v>39029</v>
      </c>
      <c r="F195" t="inlineStr">
        <is>
          <t>just in time for the holidays!</t>
        </is>
      </c>
      <c r="G195" t="n">
        <v>14</v>
      </c>
      <c r="H195" t="n">
        <v>2400</v>
      </c>
      <c r="I195">
        <f>D195*60</f>
        <v/>
      </c>
      <c r="J195">
        <f>COUNTIF(Отзывы!$D:$D, 194580)</f>
        <v/>
      </c>
    </row>
    <row r="196">
      <c r="A196" t="n">
        <v>20798</v>
      </c>
      <c r="B196" t="inlineStr">
        <is>
          <t>pineapple cranberry pork roast</t>
        </is>
      </c>
      <c r="C196" t="n">
        <v>219249</v>
      </c>
      <c r="D196" s="4" t="n">
        <v>75</v>
      </c>
      <c r="E196" s="1" t="n">
        <v>39168</v>
      </c>
      <c r="F196" t="inlineStr">
        <is>
          <t>this is a great recipe for guests.  pineapple and cranberry really add to the flavor of pork.  this probably could be done in the crock pot as well.</t>
        </is>
      </c>
      <c r="G196" t="n">
        <v>8</v>
      </c>
      <c r="H196" t="n">
        <v>4500</v>
      </c>
      <c r="I196">
        <f>D196*60</f>
        <v/>
      </c>
      <c r="J196">
        <f>COUNTIF(Отзывы!$D:$D, 219249)</f>
        <v/>
      </c>
    </row>
    <row r="197">
      <c r="A197" t="n">
        <v>29084</v>
      </c>
      <c r="B197" t="inlineStr">
        <is>
          <t>watermelon sensation libation</t>
        </is>
      </c>
      <c r="C197" t="n">
        <v>237082</v>
      </c>
      <c r="D197" s="4" t="n">
        <v>35</v>
      </c>
      <c r="E197" s="1" t="n">
        <v>39259</v>
      </c>
      <c r="F197" t="inlineStr">
        <is>
          <t>what a delicious way to use up some of that summer supply of watermelon!  this recipe uses a simple syrup ( recipe follows).  cook time reflects time to chill watermelon in freezer.  i found this on the food network. the name has been changed to protect the innocent ;)  as well as some of the ingredients to suit my personal preferences.  this drink is also very good with light rum or coconut rum to replace the vodka!  i haven't tested it with lemon flavored vodka, yet, but i imagine that would also be good.</t>
        </is>
      </c>
      <c r="H197" t="n">
        <v>2100</v>
      </c>
      <c r="I197">
        <f>D197*60</f>
        <v/>
      </c>
      <c r="J197">
        <f>COUNTIF(Отзывы!$D:$D, 237082)</f>
        <v/>
      </c>
    </row>
    <row r="198">
      <c r="A198" t="n">
        <v>19223</v>
      </c>
      <c r="B198" t="inlineStr">
        <is>
          <t>onion rice</t>
        </is>
      </c>
      <c r="C198" t="n">
        <v>237250</v>
      </c>
      <c r="D198" s="4" t="n">
        <v>30</v>
      </c>
      <c r="E198" s="1" t="n">
        <v>39259</v>
      </c>
      <c r="F198" t="inlineStr">
        <is>
          <t>something a little different to go with beef.</t>
        </is>
      </c>
      <c r="G198" t="n">
        <v>6</v>
      </c>
      <c r="H198" t="n">
        <v>1800</v>
      </c>
      <c r="I198">
        <f>D198*60</f>
        <v/>
      </c>
      <c r="J198">
        <f>COUNTIF(Отзывы!$D:$D, 237250)</f>
        <v/>
      </c>
    </row>
    <row r="199">
      <c r="A199" t="n">
        <v>4612</v>
      </c>
      <c r="B199" t="inlineStr">
        <is>
          <t>cappuccino fudge cheesecake</t>
        </is>
      </c>
      <c r="C199" t="n">
        <v>111596</v>
      </c>
      <c r="D199" s="4" t="n">
        <v>186</v>
      </c>
      <c r="E199" s="1" t="n">
        <v>38404</v>
      </c>
      <c r="F199" t="inlineStr">
        <is>
          <t>from feb. 2002 bon appetit. i've made this recipe several times and it is so decadent! definately worth the time it takes. each time i make it, though it seems to go much quicker. don't skimp on the ingredients. i once had to toss the whole thing because i used low fat and generic brand ingredients. they have a higher water content that this recipe cannot handle. make this one day ahead for best flavor.</t>
        </is>
      </c>
      <c r="H199" t="n">
        <v>11160</v>
      </c>
      <c r="I199">
        <f>D199*60</f>
        <v/>
      </c>
      <c r="J199">
        <f>COUNTIF(Отзывы!$D:$D, 111596)</f>
        <v/>
      </c>
    </row>
    <row r="200">
      <c r="A200" t="n">
        <v>16341</v>
      </c>
      <c r="B200" t="inlineStr">
        <is>
          <t>lolly s almond torte</t>
        </is>
      </c>
      <c r="C200" t="n">
        <v>114115</v>
      </c>
      <c r="D200" s="4" t="n">
        <v>75</v>
      </c>
      <c r="E200" s="1" t="n">
        <v>38434</v>
      </c>
      <c r="F200" t="inlineStr">
        <is>
          <t>almonds are the most versatile of all the nuts. both as an ingredient and as a garnish, almonds have a sweet fragrance, sublte flavor and satisfying texture that enhances desserts as well as salads, vegetables,poultry, fish, rice, pasta. this recipe has been with me for years and always a hit!!!</t>
        </is>
      </c>
      <c r="G200" t="n">
        <v>10</v>
      </c>
      <c r="H200" t="n">
        <v>4500</v>
      </c>
      <c r="I200">
        <f>D200*60</f>
        <v/>
      </c>
      <c r="J200">
        <f>COUNTIF(Отзывы!$D:$D, 114115)</f>
        <v/>
      </c>
    </row>
    <row r="201">
      <c r="A201" t="n">
        <v>18153</v>
      </c>
      <c r="B201" t="inlineStr">
        <is>
          <t>moroccan spiced vegetarian chili</t>
        </is>
      </c>
      <c r="C201" t="n">
        <v>240416</v>
      </c>
      <c r="D201" s="4" t="n">
        <v>60</v>
      </c>
      <c r="E201" s="1" t="n">
        <v>39277</v>
      </c>
      <c r="F201" t="inlineStr">
        <is>
          <t>a wonderfully fragrant vegetarian chili - serve with couscous, rice, or toasted pita.</t>
        </is>
      </c>
      <c r="G201" t="n">
        <v>14</v>
      </c>
      <c r="H201" t="n">
        <v>3600</v>
      </c>
      <c r="I201">
        <f>D201*60</f>
        <v/>
      </c>
      <c r="J201">
        <f>COUNTIF(Отзывы!$D:$D, 240416)</f>
        <v/>
      </c>
    </row>
    <row r="202">
      <c r="A202" t="n">
        <v>9479</v>
      </c>
      <c r="B202" t="inlineStr">
        <is>
          <t>dinner scramble</t>
        </is>
      </c>
      <c r="C202" t="n">
        <v>157901</v>
      </c>
      <c r="D202" s="4" t="n">
        <v>35</v>
      </c>
      <c r="E202" s="1" t="n">
        <v>38775</v>
      </c>
      <c r="F202" t="inlineStr">
        <is>
          <t>we like doing breakfast for dinner and this is really good. i like to add cooked sage sausage to this sometimes for add flavor.</t>
        </is>
      </c>
      <c r="H202" t="n">
        <v>2100</v>
      </c>
      <c r="I202">
        <f>D202*60</f>
        <v/>
      </c>
      <c r="J202">
        <f>COUNTIF(Отзывы!$D:$D, 157901)</f>
        <v/>
      </c>
    </row>
    <row r="203" ht="409.5" customHeight="1">
      <c r="A203" t="n">
        <v>8985</v>
      </c>
      <c r="B203" t="inlineStr">
        <is>
          <t>curried couscous salad with dried sweet cranberries</t>
        </is>
      </c>
      <c r="C203" t="n">
        <v>346610</v>
      </c>
      <c r="D203" s="4" t="n">
        <v>20</v>
      </c>
      <c r="E203" s="1" t="n">
        <v>39815</v>
      </c>
      <c r="F203" s="2" t="inlineStr">
        <is>
          <t>recipe by dave lieberman._x000D_
you can use any barley or quinoa for this as well. i found this on the foodnetwork website, decided to try it because of all the rave reviews.  i used pearl barley and also added some honey. i mixed everything but the barley, cranberries and walnuts separately and then tossed with the warm barley. if you want a little kick, i suggest adding some cayenne. this is delicious. don't be thrown off by the curry, i don't even like curry and love this salad.</t>
        </is>
      </c>
      <c r="G203" t="n">
        <v>12</v>
      </c>
      <c r="H203" t="n">
        <v>1200</v>
      </c>
      <c r="I203">
        <f>D203*60</f>
        <v/>
      </c>
      <c r="J203">
        <f>COUNTIF(Отзывы!$D:$D, 346610)</f>
        <v/>
      </c>
    </row>
    <row r="204">
      <c r="A204" t="n">
        <v>2386</v>
      </c>
      <c r="B204" t="inlineStr">
        <is>
          <t>basic herb butter</t>
        </is>
      </c>
      <c r="C204" t="n">
        <v>262577</v>
      </c>
      <c r="D204" s="4" t="n">
        <v>255</v>
      </c>
      <c r="E204" s="1" t="n">
        <v>39386</v>
      </c>
      <c r="F204" t="inlineStr">
        <is>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is>
      </c>
      <c r="G204" t="n">
        <v>6</v>
      </c>
      <c r="H204" t="n">
        <v>15300</v>
      </c>
      <c r="I204">
        <f>D204*60</f>
        <v/>
      </c>
      <c r="J204">
        <f>COUNTIF(Отзывы!$D:$D, 262577)</f>
        <v/>
      </c>
    </row>
    <row r="205">
      <c r="A205" t="n">
        <v>25418</v>
      </c>
      <c r="B205" t="inlineStr">
        <is>
          <t>spicy lime prawns served with tomato avocado salsa</t>
        </is>
      </c>
      <c r="C205" t="n">
        <v>233022</v>
      </c>
      <c r="D205" s="4" t="n">
        <v>56</v>
      </c>
      <c r="E205" s="1" t="n">
        <v>39240</v>
      </c>
      <c r="F205" t="inlineStr">
        <is>
          <t>the spicy tangy prawns are lovely served by themselves with some grilled lime wedges but i love the flavours of the salsa along with it.. so either way, it's delicious! cooking time indicated includes marinating time.</t>
        </is>
      </c>
      <c r="G205" t="n">
        <v>14</v>
      </c>
      <c r="H205" t="n">
        <v>3360</v>
      </c>
      <c r="I205">
        <f>D205*60</f>
        <v/>
      </c>
      <c r="J205">
        <f>COUNTIF(Отзывы!$D:$D, 233022)</f>
        <v/>
      </c>
    </row>
    <row r="206">
      <c r="A206" t="n">
        <v>29050</v>
      </c>
      <c r="B206" t="inlineStr">
        <is>
          <t>wasabi chicken salad</t>
        </is>
      </c>
      <c r="C206" t="n">
        <v>70260</v>
      </c>
      <c r="D206" s="6" t="n">
        <v>5</v>
      </c>
      <c r="E206" s="1" t="n">
        <v>37867</v>
      </c>
      <c r="F206" t="inlineStr">
        <is>
          <t>this recipe is easy to make and tastes great. i made it up last night while in a hurry, and had a taste for some wasabi. my family loved it.</t>
        </is>
      </c>
      <c r="G206" t="n">
        <v>6</v>
      </c>
      <c r="H206" t="n">
        <v>300</v>
      </c>
      <c r="I206">
        <f>D206*60</f>
        <v/>
      </c>
      <c r="J206">
        <f>COUNTIF(Отзывы!$D:$D, 70260)</f>
        <v/>
      </c>
    </row>
    <row r="207">
      <c r="A207" t="n">
        <v>16777</v>
      </c>
      <c r="B207" t="inlineStr">
        <is>
          <t>make a meal of it meatloaf</t>
        </is>
      </c>
      <c r="C207" t="n">
        <v>216882</v>
      </c>
      <c r="D207" s="4" t="n">
        <v>78</v>
      </c>
      <c r="E207" s="1" t="n">
        <v>39155</v>
      </c>
      <c r="F207" t="inlineStr">
        <is>
          <t>from a cookbook for beginners that i was going to throw out, ha! i pulled out a few recipes that sounded worth saving now that i'm past toast and boiling water!  this was different sounding with veggies around the mound of meatloaf. the book states that you might want to try layering 2 strips of uncooked bacon across the top of the meat loaf before you cook it as a variation. goes well with tossed salad or cole slaw.</t>
        </is>
      </c>
      <c r="H207" t="n">
        <v>4680</v>
      </c>
      <c r="I207">
        <f>D207*60</f>
        <v/>
      </c>
      <c r="J207">
        <f>COUNTIF(Отзывы!$D:$D, 216882)</f>
        <v/>
      </c>
    </row>
    <row r="208">
      <c r="A208" t="n">
        <v>21491</v>
      </c>
      <c r="B208" t="inlineStr">
        <is>
          <t>potsticker dipping sauce</t>
        </is>
      </c>
      <c r="C208" t="n">
        <v>473089</v>
      </c>
      <c r="D208" s="6" t="n">
        <v>10</v>
      </c>
      <c r="E208" s="1" t="n">
        <v>40935</v>
      </c>
      <c r="F208" t="inlineStr">
        <is>
          <t>got this from the back of a bag of schwan's potsticker.</t>
        </is>
      </c>
      <c r="G208" t="n">
        <v>6</v>
      </c>
      <c r="H208" t="n">
        <v>600</v>
      </c>
      <c r="I208">
        <f>D208*60</f>
        <v/>
      </c>
      <c r="J208">
        <f>COUNTIF(Отзывы!$D:$D, 473089)</f>
        <v/>
      </c>
    </row>
    <row r="209">
      <c r="A209" t="n">
        <v>7382</v>
      </c>
      <c r="B209" t="inlineStr">
        <is>
          <t>colcannon soup</t>
        </is>
      </c>
      <c r="C209" t="n">
        <v>138785</v>
      </c>
      <c r="D209" s="4" t="n">
        <v>60</v>
      </c>
      <c r="E209" s="1" t="n">
        <v>38619</v>
      </c>
      <c r="F209" t="inlineStr">
        <is>
          <t>this is posted for the world tour 2005 event.  i haven't tried it yet, but it looks wonderful.  the source is the irish heritage cookbook by margaret m. johnson.  the author credits chef gerry galvin, of drimcong house in moycullen (county galway).</t>
        </is>
      </c>
      <c r="G209" t="n">
        <v>10</v>
      </c>
      <c r="H209" t="n">
        <v>3600</v>
      </c>
      <c r="I209">
        <f>D209*60</f>
        <v/>
      </c>
      <c r="J209">
        <f>COUNTIF(Отзывы!$D:$D, 138785)</f>
        <v/>
      </c>
    </row>
    <row r="210" ht="375" customHeight="1">
      <c r="A210" t="n">
        <v>21809</v>
      </c>
      <c r="B210" t="inlineStr">
        <is>
          <t>putana cake</t>
        </is>
      </c>
      <c r="C210" t="n">
        <v>241671</v>
      </c>
      <c r="D210" s="4" t="n">
        <v>75</v>
      </c>
      <c r="E210" s="1" t="n">
        <v>39284</v>
      </c>
      <c r="F210" s="2" t="inlineStr">
        <is>
          <t>i saw this being made on "the thirsty traveler" and think i will make this during christmas._x000D_
the name is a little dirty italian term, i don't know why they call it this.</t>
        </is>
      </c>
      <c r="H210" t="n">
        <v>4500</v>
      </c>
      <c r="I210">
        <f>D210*60</f>
        <v/>
      </c>
      <c r="J210">
        <f>COUNTIF(Отзывы!$D:$D, 241671)</f>
        <v/>
      </c>
    </row>
    <row r="211">
      <c r="A211" t="n">
        <v>28770</v>
      </c>
      <c r="B211" t="inlineStr">
        <is>
          <t>veggie filled portobello mushrooms</t>
        </is>
      </c>
      <c r="C211" t="n">
        <v>383567</v>
      </c>
      <c r="D211" s="4" t="n">
        <v>45</v>
      </c>
      <c r="E211" s="1" t="n">
        <v>40025</v>
      </c>
      <c r="F211" t="inlineStr">
        <is>
          <t>a $400 winner in crave-worthy vegetable suppers catagory, published in the august 2009 issue of bh&amp;g magazine! submitted by ilene s. whitehead, pueblo, co.</t>
        </is>
      </c>
      <c r="G211" t="n">
        <v>14</v>
      </c>
      <c r="H211" t="n">
        <v>2700</v>
      </c>
      <c r="I211">
        <f>D211*60</f>
        <v/>
      </c>
      <c r="J211">
        <f>COUNTIF(Отзывы!$D:$D, 383567)</f>
        <v/>
      </c>
    </row>
    <row r="212">
      <c r="A212" t="n">
        <v>11581</v>
      </c>
      <c r="B212" t="inlineStr">
        <is>
          <t>frozen yogonanas</t>
        </is>
      </c>
      <c r="C212" t="n">
        <v>173464</v>
      </c>
      <c r="D212" s="4" t="n">
        <v>140</v>
      </c>
      <c r="E212" s="1" t="n">
        <v>38885</v>
      </c>
      <c r="F212" t="inlineStr">
        <is>
          <t>watch the look on young ones faces when you give them this healthy treat, its great for all ages, the name suits it perfectly</t>
        </is>
      </c>
      <c r="H212" t="n">
        <v>8400</v>
      </c>
      <c r="I212">
        <f>D212*60</f>
        <v/>
      </c>
      <c r="J212">
        <f>COUNTIF(Отзывы!$D:$D, 173464)</f>
        <v/>
      </c>
    </row>
    <row r="213">
      <c r="A213" t="n">
        <v>25563</v>
      </c>
      <c r="B213" t="inlineStr">
        <is>
          <t>spinach   basil pesto</t>
        </is>
      </c>
      <c r="C213" t="n">
        <v>362945</v>
      </c>
      <c r="D213" s="6" t="n">
        <v>10</v>
      </c>
      <c r="E213" s="1" t="n">
        <v>39898</v>
      </c>
      <c r="F213" t="inlineStr">
        <is>
          <t>this is a tasty basil-spinach pesto, good on bruschetta, chicken, pasta, and more.  it is from relish magazine.</t>
        </is>
      </c>
      <c r="G213" t="n">
        <v>8</v>
      </c>
      <c r="H213" t="n">
        <v>600</v>
      </c>
      <c r="I213">
        <f>D213*60</f>
        <v/>
      </c>
      <c r="J213">
        <f>COUNTIF(Отзывы!$D:$D, 362945)</f>
        <v/>
      </c>
    </row>
    <row r="214">
      <c r="A214" t="n">
        <v>3082</v>
      </c>
      <c r="B214" t="inlineStr">
        <is>
          <t>bisquick cranberry streusel muffins</t>
        </is>
      </c>
      <c r="C214" t="n">
        <v>346569</v>
      </c>
      <c r="D214" s="4" t="n">
        <v>28</v>
      </c>
      <c r="E214" s="1" t="n">
        <v>39815</v>
      </c>
      <c r="F214" t="inlineStr">
        <is>
          <t>this recipe came from the bisquick cookbook.  these are great straight from the oven - with a cup of coffee.</t>
        </is>
      </c>
      <c r="G214" t="n">
        <v>6</v>
      </c>
      <c r="H214" t="n">
        <v>1680</v>
      </c>
      <c r="I214">
        <f>D214*60</f>
        <v/>
      </c>
      <c r="J214">
        <f>COUNTIF(Отзывы!$D:$D, 346569)</f>
        <v/>
      </c>
    </row>
    <row r="215">
      <c r="A215" t="n">
        <v>13019</v>
      </c>
      <c r="B215" t="inlineStr">
        <is>
          <t>grilled shrimp with korean sesame marinade</t>
        </is>
      </c>
      <c r="C215" t="n">
        <v>45490</v>
      </c>
      <c r="D215" s="4" t="n">
        <v>20</v>
      </c>
      <c r="E215" s="1" t="n">
        <v>37565</v>
      </c>
      <c r="F215" t="inlineStr">
        <is>
          <t>my old time favorite. quick and easy</t>
        </is>
      </c>
      <c r="G215" t="n">
        <v>11</v>
      </c>
      <c r="H215" t="n">
        <v>1200</v>
      </c>
      <c r="I215">
        <f>D215*60</f>
        <v/>
      </c>
      <c r="J215">
        <f>COUNTIF(Отзывы!$D:$D, 45490)</f>
        <v/>
      </c>
    </row>
    <row r="216">
      <c r="A216" t="n">
        <v>15950</v>
      </c>
      <c r="B216" t="inlineStr">
        <is>
          <t>lemon roast potatoes  patates psites</t>
        </is>
      </c>
      <c r="C216" t="n">
        <v>423271</v>
      </c>
      <c r="D216" s="4" t="n">
        <v>55</v>
      </c>
      <c r="E216" s="1" t="n">
        <v>40302</v>
      </c>
      <c r="F216" t="inlineStr">
        <is>
          <t>posting for zwt6 (greece)</t>
        </is>
      </c>
      <c r="G216" t="n">
        <v>6</v>
      </c>
      <c r="H216" t="n">
        <v>3300</v>
      </c>
      <c r="I216">
        <f>D216*60</f>
        <v/>
      </c>
      <c r="J216">
        <f>COUNTIF(Отзывы!$D:$D, 423271)</f>
        <v/>
      </c>
    </row>
    <row r="217">
      <c r="A217" t="n">
        <v>3465</v>
      </c>
      <c r="B217" t="inlineStr">
        <is>
          <t>bob evans peanut butter pie</t>
        </is>
      </c>
      <c r="C217" t="n">
        <v>196070</v>
      </c>
      <c r="D217" s="4" t="n">
        <v>15</v>
      </c>
      <c r="E217" s="1" t="n">
        <v>39039</v>
      </c>
      <c r="F217" t="inlineStr">
        <is>
          <t>peanut butter pie</t>
        </is>
      </c>
      <c r="G217" t="n">
        <v>6</v>
      </c>
      <c r="H217" t="n">
        <v>900</v>
      </c>
      <c r="I217">
        <f>D217*60</f>
        <v/>
      </c>
      <c r="J217">
        <f>COUNTIF(Отзывы!$D:$D, 196070)</f>
        <v/>
      </c>
    </row>
    <row r="218">
      <c r="A218" t="n">
        <v>11068</v>
      </c>
      <c r="B218" t="inlineStr">
        <is>
          <t>five grain hot cereal</t>
        </is>
      </c>
      <c r="C218" t="n">
        <v>58242</v>
      </c>
      <c r="D218" s="4" t="n">
        <v>20</v>
      </c>
      <c r="E218" s="1" t="n">
        <v>37715</v>
      </c>
      <c r="F218" t="inlineStr">
        <is>
          <t>i love whole grain cereals! this is a hearty and healthy way to start the morning. i got this off the internet and changed it a bit.</t>
        </is>
      </c>
      <c r="G218" t="n">
        <v>6</v>
      </c>
      <c r="H218" t="n">
        <v>1200</v>
      </c>
      <c r="I218">
        <f>D218*60</f>
        <v/>
      </c>
      <c r="J218">
        <f>COUNTIF(Отзывы!$D:$D, 58242)</f>
        <v/>
      </c>
    </row>
    <row r="219">
      <c r="A219" t="n">
        <v>25371</v>
      </c>
      <c r="B219" t="inlineStr">
        <is>
          <t>spicy creamy pasta with shrimp</t>
        </is>
      </c>
      <c r="C219" t="n">
        <v>201278</v>
      </c>
      <c r="D219" s="4" t="n">
        <v>55</v>
      </c>
      <c r="E219" s="1" t="n">
        <v>39071</v>
      </c>
      <c r="F219" t="inlineStr">
        <is>
          <t>this recipe is an accidental yet delicious result of many nights of experiments and mistakes. you can adjust the level of spice and the creaminess to your taste. i like it highy spiced and lightly creamy.</t>
        </is>
      </c>
      <c r="G219" t="n">
        <v>15</v>
      </c>
      <c r="H219" t="n">
        <v>3300</v>
      </c>
      <c r="I219">
        <f>D219*60</f>
        <v/>
      </c>
      <c r="J219">
        <f>COUNTIF(Отзывы!$D:$D, 201278)</f>
        <v/>
      </c>
    </row>
    <row r="220">
      <c r="A220" t="n">
        <v>4269</v>
      </c>
      <c r="B220" t="inlineStr">
        <is>
          <t>butterscotch meringues</t>
        </is>
      </c>
      <c r="C220" t="n">
        <v>114754</v>
      </c>
      <c r="D220" s="4" t="n">
        <v>70</v>
      </c>
      <c r="E220" s="1" t="n">
        <v>38441</v>
      </c>
      <c r="F220" t="inlineStr">
        <is>
          <t>this is from traditional scottish cookery.  one of my favourite meringue recipes. to be truthful, i can't remember how many it makes - depends on the size!</t>
        </is>
      </c>
      <c r="G220" t="n">
        <v>5</v>
      </c>
      <c r="H220" t="n">
        <v>4200</v>
      </c>
      <c r="I220">
        <f>D220*60</f>
        <v/>
      </c>
      <c r="J220">
        <f>COUNTIF(Отзывы!$D:$D, 114754)</f>
        <v/>
      </c>
    </row>
    <row r="221">
      <c r="A221" t="n">
        <v>18816</v>
      </c>
      <c r="B221" t="inlineStr">
        <is>
          <t>north of the border pasta</t>
        </is>
      </c>
      <c r="C221" t="n">
        <v>51879</v>
      </c>
      <c r="D221" s="4" t="n">
        <v>30</v>
      </c>
      <c r="E221" s="1" t="n">
        <v>37642</v>
      </c>
      <c r="F221" t="inlineStr">
        <is>
          <t>quick tasty main meal, lunch or side.</t>
        </is>
      </c>
      <c r="G221" t="n">
        <v>9</v>
      </c>
      <c r="H221" t="n">
        <v>1800</v>
      </c>
      <c r="I221">
        <f>D221*60</f>
        <v/>
      </c>
      <c r="J221">
        <f>COUNTIF(Отзывы!$D:$D, 51879)</f>
        <v/>
      </c>
    </row>
    <row r="222">
      <c r="A222" t="n">
        <v>26550</v>
      </c>
      <c r="B222" t="inlineStr">
        <is>
          <t>swedish polar bear cocktail</t>
        </is>
      </c>
      <c r="C222" t="n">
        <v>424013</v>
      </c>
      <c r="D222" s="5" t="n">
        <v>2</v>
      </c>
      <c r="E222" s="1" t="n">
        <v>40306</v>
      </c>
      <c r="F222" t="inlineStr">
        <is>
          <t>absolut vodka is from sweden and this refreshing drink will hit the spot after a plate of swedish meatballs! :) enjoy!</t>
        </is>
      </c>
      <c r="G222" t="n">
        <v>4</v>
      </c>
      <c r="H222" t="n">
        <v>120</v>
      </c>
      <c r="I222">
        <f>D222*60</f>
        <v/>
      </c>
      <c r="J222">
        <f>COUNTIF(Отзывы!$D:$D, 424013)</f>
        <v/>
      </c>
    </row>
    <row r="223">
      <c r="A223" t="n">
        <v>2596</v>
      </c>
      <c r="B223" t="inlineStr">
        <is>
          <t>beef and cheese wraps</t>
        </is>
      </c>
      <c r="C223" t="n">
        <v>47384</v>
      </c>
      <c r="D223" s="4" t="n">
        <v>20</v>
      </c>
      <c r="E223" s="1" t="n">
        <v>37581</v>
      </c>
      <c r="H223" t="n">
        <v>1200</v>
      </c>
      <c r="I223">
        <f>D223*60</f>
        <v/>
      </c>
      <c r="J223">
        <f>COUNTIF(Отзывы!$D:$D, 47384)</f>
        <v/>
      </c>
    </row>
    <row r="224">
      <c r="A224" t="n">
        <v>24798</v>
      </c>
      <c r="B224" t="inlineStr">
        <is>
          <t>sopapilla cheesecake</t>
        </is>
      </c>
      <c r="C224" t="n">
        <v>364294</v>
      </c>
      <c r="D224" s="4" t="n">
        <v>45</v>
      </c>
      <c r="E224" s="1" t="n">
        <v>39906</v>
      </c>
      <c r="F224" t="inlineStr">
        <is>
          <t>i found this on another site and it is to die for!</t>
        </is>
      </c>
      <c r="H224" t="n">
        <v>2700</v>
      </c>
      <c r="I224">
        <f>D224*60</f>
        <v/>
      </c>
      <c r="J224">
        <f>COUNTIF(Отзывы!$D:$D, 364294)</f>
        <v/>
      </c>
    </row>
    <row r="225">
      <c r="A225" t="n">
        <v>4967</v>
      </c>
      <c r="B225" t="inlineStr">
        <is>
          <t>celebration brownie mix in a jar</t>
        </is>
      </c>
      <c r="C225" t="n">
        <v>125357</v>
      </c>
      <c r="D225" s="4" t="n">
        <v>40</v>
      </c>
      <c r="E225" s="1" t="n">
        <v>38512</v>
      </c>
      <c r="F225" t="inlineStr">
        <is>
          <t>this brownie mix is enhanced with the addition of a small bottle of liquer added to it. tie a package of long thin sparkler candles to the mix to really celebrate !</t>
        </is>
      </c>
      <c r="G225" t="n">
        <v>9</v>
      </c>
      <c r="H225" t="n">
        <v>2400</v>
      </c>
      <c r="I225">
        <f>D225*60</f>
        <v/>
      </c>
      <c r="J225">
        <f>COUNTIF(Отзывы!$D:$D, 125357)</f>
        <v/>
      </c>
    </row>
    <row r="226">
      <c r="A226" t="n">
        <v>21657</v>
      </c>
      <c r="B226" t="inlineStr">
        <is>
          <t>pumpkin bread   foster s market  or muffins or bundt cake</t>
        </is>
      </c>
      <c r="C226" t="n">
        <v>385177</v>
      </c>
      <c r="D226" s="4" t="n">
        <v>75</v>
      </c>
      <c r="E226" s="1" t="n">
        <v>40037</v>
      </c>
      <c r="F226" t="inlineStr">
        <is>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is>
      </c>
      <c r="G226" t="n">
        <v>12</v>
      </c>
      <c r="H226" t="n">
        <v>4500</v>
      </c>
      <c r="I226">
        <f>D226*60</f>
        <v/>
      </c>
      <c r="J226">
        <f>COUNTIF(Отзывы!$D:$D, 385177)</f>
        <v/>
      </c>
    </row>
    <row r="227">
      <c r="A227" t="n">
        <v>29646</v>
      </c>
      <c r="B227" t="inlineStr">
        <is>
          <t>yankeedog s bbq sauce</t>
        </is>
      </c>
      <c r="C227" t="n">
        <v>85756</v>
      </c>
      <c r="D227" s="4" t="n">
        <v>35</v>
      </c>
      <c r="E227" s="1" t="n">
        <v>38050</v>
      </c>
      <c r="F227" t="inlineStr">
        <is>
          <t>this sauce has some spice and heat without being like napalm in your mouth,and goes well with all meats.</t>
        </is>
      </c>
      <c r="H227" t="n">
        <v>2100</v>
      </c>
      <c r="I227">
        <f>D227*60</f>
        <v/>
      </c>
      <c r="J227">
        <f>COUNTIF(Отзывы!$D:$D, 85756)</f>
        <v/>
      </c>
    </row>
    <row r="228">
      <c r="A228" t="n">
        <v>27755</v>
      </c>
      <c r="B228" t="inlineStr">
        <is>
          <t>tomato and avocado goat cheese crostini</t>
        </is>
      </c>
      <c r="C228" t="n">
        <v>196873</v>
      </c>
      <c r="D228" s="4" t="n">
        <v>30</v>
      </c>
      <c r="E228" s="1" t="n">
        <v>39041</v>
      </c>
      <c r="F228" t="inlineStr">
        <is>
          <t>a easy, quick appetizer or serve with a salad!  adapted from tomato.org.</t>
        </is>
      </c>
      <c r="G228" t="n">
        <v>11</v>
      </c>
      <c r="H228" t="n">
        <v>1800</v>
      </c>
      <c r="I228">
        <f>D228*60</f>
        <v/>
      </c>
      <c r="J228">
        <f>COUNTIF(Отзывы!$D:$D, 196873)</f>
        <v/>
      </c>
    </row>
    <row r="229">
      <c r="A229" t="n">
        <v>9335</v>
      </c>
      <c r="B229" t="inlineStr">
        <is>
          <t>delish  strawberry fruit salad like no other</t>
        </is>
      </c>
      <c r="C229" t="n">
        <v>278429</v>
      </c>
      <c r="D229" s="6" t="n">
        <v>10</v>
      </c>
      <c r="E229" s="1" t="n">
        <v>39460</v>
      </c>
      <c r="F229" t="inlineStr">
        <is>
          <t>a must try recipe. this is a sweet, strawberry fruit salad that my mom made for new year's eve and we all loved!</t>
        </is>
      </c>
      <c r="G229" t="n">
        <v>6</v>
      </c>
      <c r="H229" t="n">
        <v>600</v>
      </c>
      <c r="I229">
        <f>D229*60</f>
        <v/>
      </c>
      <c r="J229">
        <f>COUNTIF(Отзывы!$D:$D, 278429)</f>
        <v/>
      </c>
    </row>
    <row r="230">
      <c r="A230" t="n">
        <v>13414</v>
      </c>
      <c r="B230" t="inlineStr">
        <is>
          <t>healthful date bread</t>
        </is>
      </c>
      <c r="C230" t="n">
        <v>95500</v>
      </c>
      <c r="D230" s="4" t="n">
        <v>75</v>
      </c>
      <c r="E230" s="1" t="n">
        <v>38181</v>
      </c>
      <c r="F230" t="inlineStr">
        <is>
          <t>i love this bread, if you like dates, this will put a smile on your face. ww points 2.</t>
        </is>
      </c>
      <c r="H230" t="n">
        <v>4500</v>
      </c>
      <c r="I230">
        <f>D230*60</f>
        <v/>
      </c>
      <c r="J230">
        <f>COUNTIF(Отзывы!$D:$D, 95500)</f>
        <v/>
      </c>
    </row>
    <row r="231" ht="409.5" customHeight="1">
      <c r="A231" t="n">
        <v>1564</v>
      </c>
      <c r="B231" t="inlineStr">
        <is>
          <t>awesome ribs for pork or beef</t>
        </is>
      </c>
      <c r="C231" t="n">
        <v>202104</v>
      </c>
      <c r="D231" s="4" t="n">
        <v>150</v>
      </c>
      <c r="E231" s="1" t="n">
        <v>39079</v>
      </c>
      <c r="F231" s="2" t="inlineStr">
        <is>
          <t>this is an awesome and easy-to-make rib recipe. i always thought it was my mother's creation, but a few years ago i found a very similar version in a 1950s better homes and gardens cookbook. we'll never know who made it first. my mother was a home economist, and a goddess of recipes -- i should post more of her gems._x000D_
anyway, i usually make this with pork ribs (almost any cut), but also discovered that it was great for beef ribs. that was when i lived in syria and pork was hard to get. the first time i ordered ribs from the syrian butcher, he proudly and kindly cut out the ribs. bummer._x000D_
by the way, don't be put off by the number of steps. this is really easy to make.</t>
        </is>
      </c>
      <c r="H231" t="n">
        <v>9000</v>
      </c>
      <c r="I231">
        <f>D231*60</f>
        <v/>
      </c>
      <c r="J231">
        <f>COUNTIF(Отзывы!$D:$D, 202104)</f>
        <v/>
      </c>
    </row>
    <row r="232">
      <c r="A232" t="n">
        <v>2683</v>
      </c>
      <c r="B232" t="inlineStr">
        <is>
          <t>beef tamales</t>
        </is>
      </c>
      <c r="C232" t="n">
        <v>273539</v>
      </c>
      <c r="D232" s="4" t="n">
        <v>35</v>
      </c>
      <c r="E232" s="1" t="n">
        <v>39440</v>
      </c>
      <c r="F232" t="inlineStr">
        <is>
          <t>the one-and-only mexican classic tamale.</t>
        </is>
      </c>
      <c r="H232" t="n">
        <v>2100</v>
      </c>
      <c r="I232">
        <f>D232*60</f>
        <v/>
      </c>
      <c r="J232">
        <f>COUNTIF(Отзывы!$D:$D, 273539)</f>
        <v/>
      </c>
    </row>
    <row r="233">
      <c r="A233" t="n">
        <v>18624</v>
      </c>
      <c r="B233" t="inlineStr">
        <is>
          <t>new potato and green bean stew</t>
        </is>
      </c>
      <c r="C233" t="n">
        <v>142043</v>
      </c>
      <c r="D233" s="4" t="n">
        <v>80</v>
      </c>
      <c r="E233" s="1" t="n">
        <v>38645</v>
      </c>
      <c r="F233" t="inlineStr">
        <is>
          <t>this is serious comfort food, and a way to get them to eat more veggies.</t>
        </is>
      </c>
      <c r="G233" t="n">
        <v>8</v>
      </c>
      <c r="H233" t="n">
        <v>4800</v>
      </c>
      <c r="I233">
        <f>D233*60</f>
        <v/>
      </c>
      <c r="J233">
        <f>COUNTIF(Отзывы!$D:$D, 142043)</f>
        <v/>
      </c>
    </row>
    <row r="234">
      <c r="A234" t="n">
        <v>16531</v>
      </c>
      <c r="B234" t="inlineStr">
        <is>
          <t>low carb  low cal egg  foo  yung</t>
        </is>
      </c>
      <c r="C234" t="n">
        <v>108652</v>
      </c>
      <c r="D234" s="4" t="n">
        <v>15</v>
      </c>
      <c r="E234" s="1" t="n">
        <v>38370</v>
      </c>
      <c r="F234" t="inlineStr">
        <is>
          <t>how nice to have a fast easy dish for those times when you're tired.  t his is a no carb dinner(except for cornstarch) and low cal--excellent choice!</t>
        </is>
      </c>
      <c r="G234" t="n">
        <v>7</v>
      </c>
      <c r="H234" t="n">
        <v>900</v>
      </c>
      <c r="I234">
        <f>D234*60</f>
        <v/>
      </c>
      <c r="J234">
        <f>COUNTIF(Отзывы!$D:$D, 108652)</f>
        <v/>
      </c>
    </row>
    <row r="235">
      <c r="A235" t="n">
        <v>28217</v>
      </c>
      <c r="B235" t="inlineStr">
        <is>
          <t>turkey spaghetti</t>
        </is>
      </c>
      <c r="C235" t="n">
        <v>455729</v>
      </c>
      <c r="D235" s="4" t="n">
        <v>70</v>
      </c>
      <c r="E235" s="1" t="n">
        <v>40673</v>
      </c>
      <c r="F235" t="inlineStr">
        <is>
          <t>this was made up on the fly! i thought it turned out pretty well.</t>
        </is>
      </c>
      <c r="G235" t="n">
        <v>18</v>
      </c>
      <c r="H235" t="n">
        <v>4200</v>
      </c>
      <c r="I235">
        <f>D235*60</f>
        <v/>
      </c>
      <c r="J235">
        <f>COUNTIF(Отзывы!$D:$D, 455729)</f>
        <v/>
      </c>
    </row>
    <row r="236">
      <c r="A236" t="n">
        <v>22352</v>
      </c>
      <c r="B236" t="inlineStr">
        <is>
          <t>red potato soup with roquefort</t>
        </is>
      </c>
      <c r="C236" t="n">
        <v>140109</v>
      </c>
      <c r="D236" s="4" t="n">
        <v>35</v>
      </c>
      <c r="E236" s="1" t="n">
        <v>38629</v>
      </c>
      <c r="F236" t="inlineStr">
        <is>
          <t>copied from a better homes and garden quick soup mini-cookbook-the kind you impulsively buy while waiting in a checkout line at the grocers. it's been so long since i've tried this soup that i don't remember if i like it or not. you try it and let me know, okay?</t>
        </is>
      </c>
      <c r="G236" t="n">
        <v>12</v>
      </c>
      <c r="H236" t="n">
        <v>2100</v>
      </c>
      <c r="I236">
        <f>D236*60</f>
        <v/>
      </c>
      <c r="J236">
        <f>COUNTIF(Отзывы!$D:$D, 140109)</f>
        <v/>
      </c>
    </row>
    <row r="237">
      <c r="A237" t="n">
        <v>12926</v>
      </c>
      <c r="B237" t="inlineStr">
        <is>
          <t>grilled lime marinated flank steak with chipotle honey sauce</t>
        </is>
      </c>
      <c r="C237" t="n">
        <v>56096</v>
      </c>
      <c r="D237" s="4" t="n">
        <v>310</v>
      </c>
      <c r="E237" s="1" t="n">
        <v>37690</v>
      </c>
      <c r="F237" t="inlineStr">
        <is>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is>
      </c>
      <c r="G237" t="n">
        <v>16</v>
      </c>
      <c r="H237" t="n">
        <v>18600</v>
      </c>
      <c r="I237">
        <f>D237*60</f>
        <v/>
      </c>
      <c r="J237">
        <f>COUNTIF(Отзывы!$D:$D, 56096)</f>
        <v/>
      </c>
    </row>
    <row r="238">
      <c r="A238" t="n">
        <v>24506</v>
      </c>
      <c r="B238" t="inlineStr">
        <is>
          <t>slow cooker pork cushion roast</t>
        </is>
      </c>
      <c r="C238" t="n">
        <v>317582</v>
      </c>
      <c r="D238" s="4" t="n">
        <v>490</v>
      </c>
      <c r="E238" s="1" t="n">
        <v>39665</v>
      </c>
      <c r="F238" t="inlineStr">
        <is>
          <t>don't let the long list of ingredients fool you...this is a super simple recipe, as i believe all slow cooker recipes should be!</t>
        </is>
      </c>
      <c r="G238" t="n">
        <v>17</v>
      </c>
      <c r="H238" t="n">
        <v>29400</v>
      </c>
      <c r="I238">
        <f>D238*60</f>
        <v/>
      </c>
      <c r="J238">
        <f>COUNTIF(Отзывы!$D:$D, 317582)</f>
        <v/>
      </c>
    </row>
    <row r="239">
      <c r="A239" t="n">
        <v>25427</v>
      </c>
      <c r="B239" t="inlineStr">
        <is>
          <t>spicy mexican beef bake</t>
        </is>
      </c>
      <c r="C239" t="n">
        <v>259748</v>
      </c>
      <c r="D239" s="4" t="n">
        <v>80</v>
      </c>
      <c r="E239" s="1" t="n">
        <v>39372</v>
      </c>
      <c r="F239" t="inlineStr">
        <is>
          <t>this is something i am throwing together for dinner tonight with things i happen to have on hand. i like to make "bakes" when the weather is cold and it's a bit chilly here in mi today.</t>
        </is>
      </c>
      <c r="G239" t="n">
        <v>7</v>
      </c>
      <c r="H239" t="n">
        <v>4800</v>
      </c>
      <c r="I239">
        <f>D239*60</f>
        <v/>
      </c>
      <c r="J239">
        <f>COUNTIF(Отзывы!$D:$D, 259748)</f>
        <v/>
      </c>
    </row>
    <row r="240">
      <c r="A240" t="n">
        <v>2912</v>
      </c>
      <c r="B240" t="inlineStr">
        <is>
          <t>best ever stir fried chinese cabbage</t>
        </is>
      </c>
      <c r="C240" t="n">
        <v>104759</v>
      </c>
      <c r="D240" s="4" t="n">
        <v>25</v>
      </c>
      <c r="E240" s="1" t="n">
        <v>38315</v>
      </c>
      <c r="F240" t="inlineStr">
        <is>
          <t>my girlfriend absolutely loves this dish and she practically demands that i make it for her every time she comes over for dinner. it's a little heavy on the garlic, but i absolutely love it!</t>
        </is>
      </c>
      <c r="H240" t="n">
        <v>1500</v>
      </c>
      <c r="I240">
        <f>D240*60</f>
        <v/>
      </c>
      <c r="J240">
        <f>COUNTIF(Отзывы!$D:$D, 104759)</f>
        <v/>
      </c>
    </row>
    <row r="241">
      <c r="A241" t="n">
        <v>274</v>
      </c>
      <c r="B241" t="inlineStr">
        <is>
          <t>a taste of fall crock pot pork stew</t>
        </is>
      </c>
      <c r="C241" t="n">
        <v>437455</v>
      </c>
      <c r="D241" s="4" t="n">
        <v>250</v>
      </c>
      <c r="E241" s="1" t="n">
        <v>40436</v>
      </c>
      <c r="F241" t="inlineStr">
        <is>
          <t>i love using my crock pot for those nights when i know i won't have time to make dinner, but i want to have dinner ready when someone walks through the door! when i made of this recipe, it just reminded me of fall, thus the name!</t>
        </is>
      </c>
      <c r="G241" t="n">
        <v>12</v>
      </c>
      <c r="H241" t="n">
        <v>15000</v>
      </c>
      <c r="I241">
        <f>D241*60</f>
        <v/>
      </c>
      <c r="J241">
        <f>COUNTIF(Отзывы!$D:$D, 437455)</f>
        <v/>
      </c>
    </row>
    <row r="242">
      <c r="A242" t="n">
        <v>7058</v>
      </c>
      <c r="B242" t="inlineStr">
        <is>
          <t>cinnamon raisin stuffed apple rings</t>
        </is>
      </c>
      <c r="C242" t="n">
        <v>107955</v>
      </c>
      <c r="D242" s="4" t="n">
        <v>15</v>
      </c>
      <c r="E242" s="1" t="n">
        <v>38362</v>
      </c>
      <c r="F242" t="inlineStr">
        <is>
          <t>this recipe is a great little side dish for breakfast or dinner. super easy. good even for a little snack with a side of vanilla ice cream.</t>
        </is>
      </c>
      <c r="H242" t="n">
        <v>900</v>
      </c>
      <c r="I242">
        <f>D242*60</f>
        <v/>
      </c>
      <c r="J242">
        <f>COUNTIF(Отзывы!$D:$D, 107955)</f>
        <v/>
      </c>
    </row>
    <row r="243">
      <c r="A243" t="n">
        <v>17225</v>
      </c>
      <c r="B243" t="inlineStr">
        <is>
          <t>meal on a muffin</t>
        </is>
      </c>
      <c r="C243" t="n">
        <v>47311</v>
      </c>
      <c r="D243" s="4" t="n">
        <v>40</v>
      </c>
      <c r="E243" s="1" t="n">
        <v>37581</v>
      </c>
      <c r="F243" t="inlineStr">
        <is>
          <t>meat, vegetable, and dairy all on a grain "plate." i love asparagus and i eat it all kinds of ways, it tastes especially good with the canadian bacon and creamy sauce in this recipe.</t>
        </is>
      </c>
      <c r="G243" t="n">
        <v>10</v>
      </c>
      <c r="H243" t="n">
        <v>2400</v>
      </c>
      <c r="I243">
        <f>D243*60</f>
        <v/>
      </c>
      <c r="J243">
        <f>COUNTIF(Отзывы!$D:$D, 47311)</f>
        <v/>
      </c>
    </row>
    <row r="244">
      <c r="A244" t="n">
        <v>21337</v>
      </c>
      <c r="B244" t="inlineStr">
        <is>
          <t>portuguese green soup  caldo verde</t>
        </is>
      </c>
      <c r="C244" t="n">
        <v>327748</v>
      </c>
      <c r="D244" s="4" t="n">
        <v>55</v>
      </c>
      <c r="E244" s="1" t="n">
        <v>39720</v>
      </c>
      <c r="F244" t="inlineStr">
        <is>
          <t>after having this potato based kale soup at a local portuguese restaurant, i was able to recreate it with great results.  my husband swears it's better than theirs and it remains a favorite in my recipe collection.</t>
        </is>
      </c>
      <c r="G244" t="n">
        <v>8</v>
      </c>
      <c r="H244" t="n">
        <v>3300</v>
      </c>
      <c r="I244">
        <f>D244*60</f>
        <v/>
      </c>
      <c r="J244">
        <f>COUNTIF(Отзывы!$D:$D, 327748)</f>
        <v/>
      </c>
    </row>
    <row r="245">
      <c r="A245" t="n">
        <v>12469</v>
      </c>
      <c r="B245" t="inlineStr">
        <is>
          <t>granny s tater soup</t>
        </is>
      </c>
      <c r="C245" t="n">
        <v>16559</v>
      </c>
      <c r="D245" s="4" t="n">
        <v>310</v>
      </c>
      <c r="E245" s="1" t="n">
        <v>37257</v>
      </c>
      <c r="F245" t="inlineStr">
        <is>
          <t>not my granny, she was too busy shopping at bloomingdale's! if we ever do find the granny that invented this soup we want to adopt her, this is super comfort food, very popular during the winter in our house.</t>
        </is>
      </c>
      <c r="G245" t="n">
        <v>11</v>
      </c>
      <c r="H245" t="n">
        <v>18600</v>
      </c>
      <c r="I245">
        <f>D245*60</f>
        <v/>
      </c>
      <c r="J245">
        <f>COUNTIF(Отзывы!$D:$D, 16559)</f>
        <v/>
      </c>
    </row>
    <row r="246">
      <c r="A246" t="n">
        <v>19996</v>
      </c>
      <c r="B246" t="inlineStr">
        <is>
          <t>pasta with marinated artichoke hearts</t>
        </is>
      </c>
      <c r="C246" t="n">
        <v>140565</v>
      </c>
      <c r="D246" s="4" t="n">
        <v>20</v>
      </c>
      <c r="E246" s="1" t="n">
        <v>38635</v>
      </c>
      <c r="F246" t="inlineStr">
        <is>
          <t>from an old newspaper clipping.</t>
        </is>
      </c>
      <c r="G246" t="n">
        <v>12</v>
      </c>
      <c r="H246" t="n">
        <v>1200</v>
      </c>
      <c r="I246">
        <f>D246*60</f>
        <v/>
      </c>
      <c r="J246">
        <f>COUNTIF(Отзывы!$D:$D, 140565)</f>
        <v/>
      </c>
    </row>
    <row r="247">
      <c r="A247" t="n">
        <v>5690</v>
      </c>
      <c r="B247" t="inlineStr">
        <is>
          <t>chicken breasts with tomatillo chile cream</t>
        </is>
      </c>
      <c r="C247" t="n">
        <v>507133</v>
      </c>
      <c r="D247" s="4" t="n">
        <v>35</v>
      </c>
      <c r="E247" s="1" t="n">
        <v>41538</v>
      </c>
      <c r="F247" t="inlineStr">
        <is>
          <t>when you are in a hurry, this recipe really hits the spot by using commercial tomatillo green salsa. i enjoy this chicken in corn tortillas. feel free to add extra ingredients. recipe is from my "james mcnair's favorites" cookbook.</t>
        </is>
      </c>
      <c r="G247" t="n">
        <v>8</v>
      </c>
      <c r="H247" t="n">
        <v>2100</v>
      </c>
      <c r="I247">
        <f>D247*60</f>
        <v/>
      </c>
      <c r="J247">
        <f>COUNTIF(Отзывы!$D:$D, 507133)</f>
        <v/>
      </c>
    </row>
    <row r="248">
      <c r="A248" t="n">
        <v>9647</v>
      </c>
      <c r="B248" t="inlineStr">
        <is>
          <t>drop biscuits   teboller</t>
        </is>
      </c>
      <c r="C248" t="n">
        <v>15075</v>
      </c>
      <c r="D248" s="4" t="n">
        <v>20</v>
      </c>
      <c r="E248" s="1" t="n">
        <v>37225</v>
      </c>
      <c r="G248" t="n">
        <v>5</v>
      </c>
      <c r="H248" t="n">
        <v>1200</v>
      </c>
      <c r="I248">
        <f>D248*60</f>
        <v/>
      </c>
      <c r="J248">
        <f>COUNTIF(Отзывы!$D:$D, 15075)</f>
        <v/>
      </c>
    </row>
    <row r="249">
      <c r="A249" t="n">
        <v>15336</v>
      </c>
      <c r="B249" t="inlineStr">
        <is>
          <t>kickin  flourless chocolate cake</t>
        </is>
      </c>
      <c r="C249" t="n">
        <v>389087</v>
      </c>
      <c r="D249" s="4" t="n">
        <v>60</v>
      </c>
      <c r="E249" s="1" t="n">
        <v>40064</v>
      </c>
      <c r="F249" t="inlineStr">
        <is>
          <t>flourless chocolate cake with pepper and cinnamon spice for an added kick.  a nice finish to any spicy meal.</t>
        </is>
      </c>
      <c r="H249" t="n">
        <v>3600</v>
      </c>
      <c r="I249">
        <f>D249*60</f>
        <v/>
      </c>
      <c r="J249">
        <f>COUNTIF(Отзывы!$D:$D, 389087)</f>
        <v/>
      </c>
    </row>
    <row r="250">
      <c r="A250" t="n">
        <v>10200</v>
      </c>
      <c r="B250" t="inlineStr">
        <is>
          <t>easy salmon dip</t>
        </is>
      </c>
      <c r="C250" t="n">
        <v>284028</v>
      </c>
      <c r="D250" s="6" t="n">
        <v>5</v>
      </c>
      <c r="E250" s="1" t="n">
        <v>39481</v>
      </c>
      <c r="F250" t="inlineStr">
        <is>
          <t>this is a recipe that i tried at sam's wholesale when they were giving out samples of crackers.  it's super-easy and really tasty.  servings are a guess.</t>
        </is>
      </c>
      <c r="G250" t="n">
        <v>4</v>
      </c>
      <c r="H250" t="n">
        <v>300</v>
      </c>
      <c r="I250">
        <f>D250*60</f>
        <v/>
      </c>
      <c r="J250">
        <f>COUNTIF(Отзывы!$D:$D, 284028)</f>
        <v/>
      </c>
    </row>
    <row r="251">
      <c r="A251" t="n">
        <v>20037</v>
      </c>
      <c r="B251" t="inlineStr">
        <is>
          <t>pat s gourmet salmon cakes</t>
        </is>
      </c>
      <c r="C251" t="n">
        <v>185076</v>
      </c>
      <c r="D251" s="4" t="n">
        <v>45</v>
      </c>
      <c r="E251" s="1" t="n">
        <v>38967</v>
      </c>
      <c r="F251" t="inlineStr">
        <is>
          <t>if you wanted something as elegant and tasty as fresh crab cakes but you don’t have the money just now, this dish is a great alternative! these are not your run-of-the-mill salmon patties, nope. these are moist, thick, flavorful (yet mild) salmon cakes with a lot of eye appeal. they are certainly worth spending a few extra minutes on the details of this recipe. i love these for brunch with an old friend over a glass of pinot grigio or, as a light main entrée with green beans and some creamy pasta for side dishes. i usually try to submit versatile recipes in which changes make little difference but since this recipe involves only a small amount of canned salmon (you get about 1 ½ cans of salmon from the two cans once it’s been totally cleaned), any substitutions may significantly alter the flavor. i have listed a couple of viable substitutions that have worked out well for me in a pinch. make this dish for someone special and, bon appétit, my good friends!</t>
        </is>
      </c>
      <c r="G251" t="n">
        <v>14</v>
      </c>
      <c r="H251" t="n">
        <v>2700</v>
      </c>
      <c r="I251">
        <f>D251*60</f>
        <v/>
      </c>
      <c r="J251">
        <f>COUNTIF(Отзывы!$D:$D, 185076)</f>
        <v/>
      </c>
    </row>
    <row r="252">
      <c r="A252" t="n">
        <v>2755</v>
      </c>
      <c r="B252" t="inlineStr">
        <is>
          <t>beet and horseradish relish</t>
        </is>
      </c>
      <c r="C252" t="n">
        <v>86541</v>
      </c>
      <c r="D252" s="6" t="n">
        <v>5</v>
      </c>
      <c r="E252" s="1" t="n">
        <v>38059</v>
      </c>
      <c r="F252" t="inlineStr">
        <is>
          <t>a polish condiment served at easter with ham/kielbasa. make this 2 days before serving to allow flavors to blend.</t>
        </is>
      </c>
      <c r="G252" t="n">
        <v>3</v>
      </c>
      <c r="H252" t="n">
        <v>300</v>
      </c>
      <c r="I252">
        <f>D252*60</f>
        <v/>
      </c>
      <c r="J252">
        <f>COUNTIF(Отзывы!$D:$D, 86541)</f>
        <v/>
      </c>
    </row>
    <row r="253">
      <c r="A253" t="n">
        <v>14036</v>
      </c>
      <c r="B253" t="inlineStr">
        <is>
          <t>honey roasted almonds</t>
        </is>
      </c>
      <c r="C253" t="n">
        <v>332688</v>
      </c>
      <c r="D253" s="4" t="n">
        <v>55</v>
      </c>
      <c r="E253" s="1" t="n">
        <v>39744</v>
      </c>
      <c r="F253" t="inlineStr">
        <is>
          <t>a wonderful snack and good to give as gifts too. great for on the run! adapted from the california almond board.</t>
        </is>
      </c>
      <c r="G253" t="n">
        <v>7</v>
      </c>
      <c r="H253" t="n">
        <v>3300</v>
      </c>
      <c r="I253">
        <f>D253*60</f>
        <v/>
      </c>
      <c r="J253">
        <f>COUNTIF(Отзывы!$D:$D, 332688)</f>
        <v/>
      </c>
    </row>
    <row r="254">
      <c r="A254" t="n">
        <v>29198</v>
      </c>
      <c r="B254" t="inlineStr">
        <is>
          <t>whipped chocolate frosting</t>
        </is>
      </c>
      <c r="C254" t="n">
        <v>183618</v>
      </c>
      <c r="D254" s="4" t="n">
        <v>15</v>
      </c>
      <c r="E254" s="1" t="n">
        <v>38957</v>
      </c>
      <c r="F254" t="inlineStr">
        <is>
          <t>i got this from a bakers chocolate box and it is really yummy!!</t>
        </is>
      </c>
      <c r="G254" t="n">
        <v>5</v>
      </c>
      <c r="H254" t="n">
        <v>900</v>
      </c>
      <c r="I254">
        <f>D254*60</f>
        <v/>
      </c>
      <c r="J254">
        <f>COUNTIF(Отзывы!$D:$D, 183618)</f>
        <v/>
      </c>
    </row>
    <row r="255">
      <c r="A255" t="n">
        <v>9733</v>
      </c>
      <c r="B255" t="inlineStr">
        <is>
          <t>easiest chicken pot pie</t>
        </is>
      </c>
      <c r="C255" t="n">
        <v>252791</v>
      </c>
      <c r="D255" s="4" t="n">
        <v>40</v>
      </c>
      <c r="E255" s="1" t="n">
        <v>39338</v>
      </c>
      <c r="F255" t="inlineStr">
        <is>
          <t>great on a cold night when you want comfort food!</t>
        </is>
      </c>
      <c r="G255" t="n">
        <v>6</v>
      </c>
      <c r="H255" t="n">
        <v>2400</v>
      </c>
      <c r="I255">
        <f>D255*60</f>
        <v/>
      </c>
      <c r="J255">
        <f>COUNTIF(Отзывы!$D:$D, 252791)</f>
        <v/>
      </c>
    </row>
    <row r="256">
      <c r="A256" t="n">
        <v>14061</v>
      </c>
      <c r="B256" t="inlineStr">
        <is>
          <t>honey apple pancakes</t>
        </is>
      </c>
      <c r="C256" t="n">
        <v>20206</v>
      </c>
      <c r="D256" s="4" t="n">
        <v>16</v>
      </c>
      <c r="E256" s="1" t="n">
        <v>37307</v>
      </c>
      <c r="G256" t="n">
        <v>9</v>
      </c>
      <c r="H256" t="n">
        <v>960</v>
      </c>
      <c r="I256">
        <f>D256*60</f>
        <v/>
      </c>
      <c r="J256">
        <f>COUNTIF(Отзывы!$D:$D, 20206)</f>
        <v/>
      </c>
    </row>
    <row r="257">
      <c r="A257" t="n">
        <v>10163</v>
      </c>
      <c r="B257" t="inlineStr">
        <is>
          <t>easy pita bread pizza</t>
        </is>
      </c>
      <c r="C257" t="n">
        <v>110067</v>
      </c>
      <c r="D257" s="6" t="n">
        <v>10</v>
      </c>
      <c r="E257" s="1" t="n">
        <v>38385</v>
      </c>
      <c r="F257" t="inlineStr">
        <is>
          <t>i once had a craving for a pizza, but i didn't have the things to make pizza dough, so i got this idea! a good recipe for kids, too. i use pocket-less pitas we buy from indian grocery, but i'm sure regular will work. note: i edited this recipe by making more exact ingredient amounts, sorry about the previous vagueness, i posted this recipe back when i was just 10 or 11. :)</t>
        </is>
      </c>
      <c r="G257" t="n">
        <v>5</v>
      </c>
      <c r="H257" t="n">
        <v>600</v>
      </c>
      <c r="I257">
        <f>D257*60</f>
        <v/>
      </c>
      <c r="J257">
        <f>COUNTIF(Отзывы!$D:$D, 110067)</f>
        <v/>
      </c>
    </row>
    <row r="258">
      <c r="A258" t="n">
        <v>12720</v>
      </c>
      <c r="B258" t="inlineStr">
        <is>
          <t>green goddess pizza</t>
        </is>
      </c>
      <c r="C258" t="n">
        <v>530479</v>
      </c>
      <c r="D258" s="4" t="n">
        <v>30</v>
      </c>
      <c r="E258" s="1" t="n">
        <v>42790</v>
      </c>
      <c r="F258" t="inlineStr">
        <is>
          <t>your favorite salad gives your favorite slice a mean, green makeover.</t>
        </is>
      </c>
      <c r="G258" t="n">
        <v>14</v>
      </c>
      <c r="H258" t="n">
        <v>1800</v>
      </c>
      <c r="I258">
        <f>D258*60</f>
        <v/>
      </c>
      <c r="J258">
        <f>COUNTIF(Отзывы!$D:$D, 530479)</f>
        <v/>
      </c>
    </row>
    <row r="259">
      <c r="A259" t="n">
        <v>2965</v>
      </c>
      <c r="B259" t="inlineStr">
        <is>
          <t>beth s taco dip</t>
        </is>
      </c>
      <c r="C259" t="n">
        <v>176478</v>
      </c>
      <c r="D259" s="4" t="n">
        <v>20</v>
      </c>
      <c r="E259" s="1" t="n">
        <v>38904</v>
      </c>
      <c r="F259" t="inlineStr">
        <is>
          <t>i found this recipe on epicurious.com about 3 years ago and have made it many times for get togethers.  it's always the first thing to go, and i'm asked for the recipe almost every single time.  it's yet another layered taco dip, but for some reason, everyone loves this one more than most.  i cheat and use a purchased guacamole dip and it's a great make ahead for a crowd.</t>
        </is>
      </c>
      <c r="G259" t="n">
        <v>13</v>
      </c>
      <c r="H259" t="n">
        <v>1200</v>
      </c>
      <c r="I259">
        <f>D259*60</f>
        <v/>
      </c>
      <c r="J259">
        <f>COUNTIF(Отзывы!$D:$D, 176478)</f>
        <v/>
      </c>
    </row>
    <row r="260">
      <c r="A260" t="n">
        <v>17147</v>
      </c>
      <c r="B260" t="inlineStr">
        <is>
          <t>masa tot</t>
        </is>
      </c>
      <c r="C260" t="n">
        <v>225466</v>
      </c>
      <c r="D260" s="4" t="n">
        <v>45</v>
      </c>
      <c r="E260" s="1" t="n">
        <v>39202</v>
      </c>
      <c r="F260" t="inlineStr">
        <is>
          <t>another one of alton browns, interesting but quite good, recipes.</t>
        </is>
      </c>
      <c r="G260" t="n">
        <v>8</v>
      </c>
      <c r="H260" t="n">
        <v>2700</v>
      </c>
      <c r="I260">
        <f>D260*60</f>
        <v/>
      </c>
      <c r="J260">
        <f>COUNTIF(Отзывы!$D:$D, 225466)</f>
        <v/>
      </c>
    </row>
    <row r="261">
      <c r="A261" t="n">
        <v>9901</v>
      </c>
      <c r="B261" t="inlineStr">
        <is>
          <t>easy chicken   cheese enchiladas</t>
        </is>
      </c>
      <c r="C261" t="n">
        <v>335140</v>
      </c>
      <c r="D261" s="4" t="n">
        <v>50</v>
      </c>
      <c r="E261" s="1" t="n">
        <v>39756</v>
      </c>
      <c r="F261" t="inlineStr">
        <is>
          <t>i made this the other night and it was so good.</t>
        </is>
      </c>
      <c r="G261" t="n">
        <v>9</v>
      </c>
      <c r="H261" t="n">
        <v>3000</v>
      </c>
      <c r="I261">
        <f>D261*60</f>
        <v/>
      </c>
      <c r="J261">
        <f>COUNTIF(Отзывы!$D:$D, 335140)</f>
        <v/>
      </c>
    </row>
    <row r="262">
      <c r="A262" t="n">
        <v>8271</v>
      </c>
      <c r="B262" t="inlineStr">
        <is>
          <t>creamy herb tortellini</t>
        </is>
      </c>
      <c r="C262" t="n">
        <v>384237</v>
      </c>
      <c r="D262" s="4" t="n">
        <v>15</v>
      </c>
      <c r="E262" s="1" t="n">
        <v>40030</v>
      </c>
      <c r="F262" t="inlineStr">
        <is>
          <t>easy, fast, creamy cheese tortellini! with butter and creme fraiche, it's gotta be good! throw in some fresh herbs and garlic and it's done. serve this as a side dish to any meat entree, or if you don't want to share, make it your meal and eat it all yourself! you can use frozen tortellini, but the fresh pasta is so good</t>
        </is>
      </c>
      <c r="G262" t="n">
        <v>8</v>
      </c>
      <c r="H262" t="n">
        <v>900</v>
      </c>
      <c r="I262">
        <f>D262*60</f>
        <v/>
      </c>
      <c r="J262">
        <f>COUNTIF(Отзывы!$D:$D, 384237)</f>
        <v/>
      </c>
    </row>
    <row r="263">
      <c r="A263" t="n">
        <v>392</v>
      </c>
      <c r="B263" t="inlineStr">
        <is>
          <t>aguado de gallina or chicken rice soup</t>
        </is>
      </c>
      <c r="C263" t="n">
        <v>307870</v>
      </c>
      <c r="D263" s="4" t="n">
        <v>75</v>
      </c>
      <c r="E263" s="1" t="n">
        <v>39605</v>
      </c>
      <c r="F263" t="inlineStr">
        <is>
          <t>this soup looks delicious. i found the recipe at www.laylita.com/recipes. posted for zwt 2008.</t>
        </is>
      </c>
      <c r="H263" t="n">
        <v>4500</v>
      </c>
      <c r="I263">
        <f>D263*60</f>
        <v/>
      </c>
      <c r="J263">
        <f>COUNTIF(Отзывы!$D:$D, 307870)</f>
        <v/>
      </c>
    </row>
    <row r="264">
      <c r="A264" t="n">
        <v>13262</v>
      </c>
      <c r="B264" t="inlineStr">
        <is>
          <t>ham stuffed eggs  ww version</t>
        </is>
      </c>
      <c r="C264" t="n">
        <v>404028</v>
      </c>
      <c r="D264" s="6" t="n">
        <v>10</v>
      </c>
      <c r="E264" s="1" t="n">
        <v>40164</v>
      </c>
      <c r="F264" t="inlineStr">
        <is>
          <t>only one point/serving. a serving is 1/2 stuffed egg, but these are do-able for appetizers and still stay on the ww flex plan! recipe source: great cooking every day</t>
        </is>
      </c>
      <c r="G264" t="n">
        <v>6</v>
      </c>
      <c r="H264" t="n">
        <v>600</v>
      </c>
      <c r="I264">
        <f>D264*60</f>
        <v/>
      </c>
      <c r="J264">
        <f>COUNTIF(Отзывы!$D:$D, 404028)</f>
        <v/>
      </c>
    </row>
    <row r="265">
      <c r="A265" t="n">
        <v>10521</v>
      </c>
      <c r="B265" t="inlineStr">
        <is>
          <t>elsie s pineapple oatmeal bars</t>
        </is>
      </c>
      <c r="C265" t="n">
        <v>250635</v>
      </c>
      <c r="D265" s="4" t="n">
        <v>35</v>
      </c>
      <c r="E265" s="1" t="n">
        <v>39328</v>
      </c>
      <c r="F265" t="inlineStr">
        <is>
          <t>a sweet lady at the church i attended growing up used to make these for potlucks and church dinners.  she once gave me the recipe on a card, which i've long since misplaced, but i had copied the recipe into another cookbook and have made it many times.  every time i take these bars somewhere, people ask for the recipe.  they're also great made with zucchini pineapple (the recipe is also posted here on the zaar, by another chef).  i like to cut the sugar down by at least 1/4 cup, because the pineapple is sweet enough, and i've always made these with real butter.  quick oats or old-fashioned will work, but the old-fashioned does make it a little more challenging to press the crust into the pan.  i intend to try a mixture of the two at some point, but haven't ever done it.  these would be great for a bake sale, potluck, or gifts.  the crust does tend to be a little soft, so i'd be sure to package with something firm underneath, rather than just wrapping in plastic.  i've seen other recipes that add nuts, coconut, etc.  i'm sure that would be great as well, but this is just the basic, buttery, oatmeal and brown sugar crust and topping.  yum!</t>
        </is>
      </c>
      <c r="G265" t="n">
        <v>9</v>
      </c>
      <c r="H265" t="n">
        <v>2100</v>
      </c>
      <c r="I265">
        <f>D265*60</f>
        <v/>
      </c>
      <c r="J265">
        <f>COUNTIF(Отзывы!$D:$D, 250635)</f>
        <v/>
      </c>
    </row>
    <row r="266" ht="225" customHeight="1">
      <c r="A266" t="n">
        <v>771</v>
      </c>
      <c r="B266" t="inlineStr">
        <is>
          <t>anti dracula garlic cheese dip</t>
        </is>
      </c>
      <c r="C266" t="n">
        <v>395585</v>
      </c>
      <c r="D266" s="6" t="n">
        <v>10</v>
      </c>
      <c r="E266" s="1" t="n">
        <v>40105</v>
      </c>
      <c r="F266" s="2" t="inlineStr">
        <is>
          <t>from grouprecipes.com_x000D_
at first the recipe showed 0 garlic cloves. i corrected the mistake. the more the better!</t>
        </is>
      </c>
      <c r="H266" t="n">
        <v>600</v>
      </c>
      <c r="I266">
        <f>D266*60</f>
        <v/>
      </c>
      <c r="J266">
        <f>COUNTIF(Отзывы!$D:$D, 395585)</f>
        <v/>
      </c>
    </row>
    <row r="267">
      <c r="A267" t="n">
        <v>3213</v>
      </c>
      <c r="B267" t="inlineStr">
        <is>
          <t>black eyed pea soup with hamburger</t>
        </is>
      </c>
      <c r="C267" t="n">
        <v>96574</v>
      </c>
      <c r="D267" s="4" t="n">
        <v>70</v>
      </c>
      <c r="E267" s="1" t="n">
        <v>38197</v>
      </c>
      <c r="F267" t="inlineStr">
        <is>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is>
      </c>
      <c r="G267" t="n">
        <v>15</v>
      </c>
      <c r="H267" t="n">
        <v>4200</v>
      </c>
      <c r="I267">
        <f>D267*60</f>
        <v/>
      </c>
      <c r="J267">
        <f>COUNTIF(Отзывы!$D:$D, 96574)</f>
        <v/>
      </c>
    </row>
    <row r="268">
      <c r="A268" t="n">
        <v>20930</v>
      </c>
      <c r="B268" t="inlineStr">
        <is>
          <t>pita sandwich with turkey</t>
        </is>
      </c>
      <c r="C268" t="n">
        <v>327986</v>
      </c>
      <c r="D268" s="6" t="n">
        <v>10</v>
      </c>
      <c r="E268" s="1" t="n">
        <v>39721</v>
      </c>
      <c r="F268" t="inlineStr">
        <is>
          <t>i was in the mood to try something new, and happily came up with this creation. it was a little more done up than a regular turkey sandwich, but still simple enough to make, and pleased the palettes of both my kids and husband! that makes it an instant success in this home =). it's also basic enough that you could substitute any type of meat or toppings you like, and it'd still be tasty. hope you enjoy this one!</t>
        </is>
      </c>
      <c r="H268" t="n">
        <v>600</v>
      </c>
      <c r="I268">
        <f>D268*60</f>
        <v/>
      </c>
      <c r="J268">
        <f>COUNTIF(Отзывы!$D:$D, 327986)</f>
        <v/>
      </c>
    </row>
    <row r="269">
      <c r="A269" t="n">
        <v>27853</v>
      </c>
      <c r="B269" t="inlineStr">
        <is>
          <t>tomatoes provencales</t>
        </is>
      </c>
      <c r="C269" t="n">
        <v>69702</v>
      </c>
      <c r="D269" s="4" t="n">
        <v>25</v>
      </c>
      <c r="E269" s="1" t="n">
        <v>37859</v>
      </c>
      <c r="F269" t="inlineStr">
        <is>
          <t>an overabundance of vine-ripened tomatoes? lucky you! this is the recipe you want to make. from elizabeth david's 'a book of mediterranean food'.</t>
        </is>
      </c>
      <c r="H269" t="n">
        <v>1500</v>
      </c>
      <c r="I269">
        <f>D269*60</f>
        <v/>
      </c>
      <c r="J269">
        <f>COUNTIF(Отзывы!$D:$D, 69702)</f>
        <v/>
      </c>
    </row>
    <row r="270">
      <c r="A270" t="n">
        <v>24789</v>
      </c>
      <c r="B270" t="inlineStr">
        <is>
          <t>sopa de ajo  spanish garlic soup</t>
        </is>
      </c>
      <c r="C270" t="n">
        <v>68004</v>
      </c>
      <c r="D270" s="4" t="n">
        <v>50</v>
      </c>
      <c r="E270" s="1" t="n">
        <v>37834</v>
      </c>
      <c r="F270" t="inlineStr">
        <is>
          <t>delicious spanish soup.</t>
        </is>
      </c>
      <c r="G270" t="n">
        <v>7</v>
      </c>
      <c r="H270" t="n">
        <v>3000</v>
      </c>
      <c r="I270">
        <f>D270*60</f>
        <v/>
      </c>
      <c r="J270">
        <f>COUNTIF(Отзывы!$D:$D, 68004)</f>
        <v/>
      </c>
    </row>
    <row r="271" ht="409.5" customHeight="1">
      <c r="A271" t="n">
        <v>13511</v>
      </c>
      <c r="B271" t="inlineStr">
        <is>
          <t>heart healthy chicken tenders</t>
        </is>
      </c>
      <c r="C271" t="n">
        <v>215114</v>
      </c>
      <c r="D271" s="4" t="n">
        <v>96</v>
      </c>
      <c r="E271" s="1" t="n">
        <v>39146</v>
      </c>
      <c r="F271" s="2" t="inlineStr">
        <is>
          <t>david made these for father's day one year, and it has been a family favorite ever since! nonfat yogurt, oven-baking, and hot sauce makes them a delicious and healthful treat. don't be scared off by the quantity of hot sauce as the yogurt thoroughly tames the spice. please note that removing the chicken fat and using nonfat yogurt makes this dish virtually fat-free._x000D_
_x000D_
(for maximum safety, david highly recommends his triple-washing method.) prep time does not include chilling time.</t>
        </is>
      </c>
      <c r="G271" t="n">
        <v>7</v>
      </c>
      <c r="H271" t="n">
        <v>5760</v>
      </c>
      <c r="I271">
        <f>D271*60</f>
        <v/>
      </c>
      <c r="J271">
        <f>COUNTIF(Отзывы!$D:$D, 215114)</f>
        <v/>
      </c>
    </row>
    <row r="272">
      <c r="A272" t="n">
        <v>13411</v>
      </c>
      <c r="B272" t="inlineStr">
        <is>
          <t>hazelnut espresso sandwich cookies</t>
        </is>
      </c>
      <c r="C272" t="n">
        <v>257703</v>
      </c>
      <c r="D272" s="4" t="n">
        <v>160</v>
      </c>
      <c r="E272" s="1" t="n">
        <v>39363</v>
      </c>
      <c r="F272" t="inlineStr">
        <is>
          <t>from the pages of taste of home, submitted by cindy beberman, these are a wonderfully crisp little cookie with a rich filling sure to please if you're a coffee/hazelnut/chocolate lover! i easily halved the batch and got 30 cookies! to save time, i made the filling before the cookies because it does take awhile to set up and saves time in the long run! *i've made these again since first posting and used land o lakes fat free half and half in place of the whipping cream to cut some of the fat/calories/cholesterol a bit and it works just as well without compromising the taste!</t>
        </is>
      </c>
      <c r="G272" t="n">
        <v>13</v>
      </c>
      <c r="H272" t="n">
        <v>9600</v>
      </c>
      <c r="I272">
        <f>D272*60</f>
        <v/>
      </c>
      <c r="J272">
        <f>COUNTIF(Отзывы!$D:$D, 257703)</f>
        <v/>
      </c>
    </row>
    <row r="273">
      <c r="A273" t="n">
        <v>5317</v>
      </c>
      <c r="B273" t="inlineStr">
        <is>
          <t>cheesy scalloped potatoes and ham</t>
        </is>
      </c>
      <c r="C273" t="n">
        <v>119156</v>
      </c>
      <c r="D273" s="4" t="n">
        <v>115</v>
      </c>
      <c r="E273" s="1" t="n">
        <v>38468</v>
      </c>
      <c r="F273" t="inlineStr">
        <is>
          <t>i adapted this recipe from a penzeys spices recipe.  the penzeys recipe had the cheese as an option but in my book the cheese is a must!</t>
        </is>
      </c>
      <c r="G273" t="n">
        <v>11</v>
      </c>
      <c r="H273" t="n">
        <v>6900</v>
      </c>
      <c r="I273">
        <f>D273*60</f>
        <v/>
      </c>
      <c r="J273">
        <f>COUNTIF(Отзывы!$D:$D, 119156)</f>
        <v/>
      </c>
    </row>
    <row r="274">
      <c r="A274" t="n">
        <v>3573</v>
      </c>
      <c r="B274" t="inlineStr">
        <is>
          <t>bow ties with chicken and asiago cheese sauce</t>
        </is>
      </c>
      <c r="C274" t="n">
        <v>264893</v>
      </c>
      <c r="D274" s="4" t="n">
        <v>30</v>
      </c>
      <c r="E274" s="1" t="n">
        <v>39398</v>
      </c>
      <c r="F274" t="inlineStr">
        <is>
          <t>this is an easy but elegant meal, very similar to one served at the favorite italian joint. my ds loves this one!!!!</t>
        </is>
      </c>
      <c r="G274" t="n">
        <v>13</v>
      </c>
      <c r="H274" t="n">
        <v>1800</v>
      </c>
      <c r="I274">
        <f>D274*60</f>
        <v/>
      </c>
      <c r="J274">
        <f>COUNTIF(Отзывы!$D:$D, 264893)</f>
        <v/>
      </c>
    </row>
    <row r="275">
      <c r="A275" t="n">
        <v>23104</v>
      </c>
      <c r="B275" t="inlineStr">
        <is>
          <t>s more brownies</t>
        </is>
      </c>
      <c r="C275" t="n">
        <v>56237</v>
      </c>
      <c r="D275" s="4" t="n">
        <v>50</v>
      </c>
      <c r="E275" s="1" t="n">
        <v>37692</v>
      </c>
      <c r="F275" t="inlineStr">
        <is>
          <t>every member of my family is a chocaholic. these don't last very long. although, they can be made ahead, like real s'mores, warm is much, much better, even if it means zapping each piece for about 5 to 10 seconds.</t>
        </is>
      </c>
      <c r="H275" t="n">
        <v>3000</v>
      </c>
      <c r="I275">
        <f>D275*60</f>
        <v/>
      </c>
      <c r="J275">
        <f>COUNTIF(Отзывы!$D:$D, 56237)</f>
        <v/>
      </c>
    </row>
    <row r="276">
      <c r="A276" t="n">
        <v>9100</v>
      </c>
      <c r="B276" t="inlineStr">
        <is>
          <t>dale s spareribs</t>
        </is>
      </c>
      <c r="C276" t="n">
        <v>29094</v>
      </c>
      <c r="D276" s="4" t="n">
        <v>195</v>
      </c>
      <c r="E276" s="1" t="n">
        <v>37397</v>
      </c>
      <c r="F276" t="inlineStr">
        <is>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is>
      </c>
      <c r="H276" t="n">
        <v>11700</v>
      </c>
      <c r="I276">
        <f>D276*60</f>
        <v/>
      </c>
      <c r="J276">
        <f>COUNTIF(Отзывы!$D:$D, 29094)</f>
        <v/>
      </c>
    </row>
    <row r="277">
      <c r="A277" t="n">
        <v>14725</v>
      </c>
      <c r="B277" t="inlineStr">
        <is>
          <t>italian sausage meatballs</t>
        </is>
      </c>
      <c r="C277" t="n">
        <v>190872</v>
      </c>
      <c r="D277" s="4" t="n">
        <v>27</v>
      </c>
      <c r="E277" s="1" t="n">
        <v>39006</v>
      </c>
      <c r="F277" t="inlineStr">
        <is>
          <t>i developed this recipe as i was reviewing many other meatball recipes. the spices in the sweet italian sausage give it the extra kick. these meatballs can be frozen for use later. or used immediately in your favorite sauce.  these are also a great appetizer with dipping sauce.</t>
        </is>
      </c>
      <c r="G277" t="n">
        <v>8</v>
      </c>
      <c r="H277" t="n">
        <v>1620</v>
      </c>
      <c r="I277">
        <f>D277*60</f>
        <v/>
      </c>
      <c r="J277">
        <f>COUNTIF(Отзывы!$D:$D, 190872)</f>
        <v/>
      </c>
    </row>
    <row r="278">
      <c r="A278" t="n">
        <v>13816</v>
      </c>
      <c r="B278" t="inlineStr">
        <is>
          <t>home canned whole cranberry sauce</t>
        </is>
      </c>
      <c r="C278" t="n">
        <v>186148</v>
      </c>
      <c r="D278" s="4" t="n">
        <v>25</v>
      </c>
      <c r="E278" s="1" t="n">
        <v>38973</v>
      </c>
      <c r="F278" t="inlineStr">
        <is>
          <t>if you enjoy canning you will love this recipe.</t>
        </is>
      </c>
      <c r="G278" t="n">
        <v>3</v>
      </c>
      <c r="H278" t="n">
        <v>1500</v>
      </c>
      <c r="I278">
        <f>D278*60</f>
        <v/>
      </c>
      <c r="J278">
        <f>COUNTIF(Отзывы!$D:$D, 186148)</f>
        <v/>
      </c>
    </row>
    <row r="279">
      <c r="A279" t="n">
        <v>680</v>
      </c>
      <c r="B279" t="inlineStr">
        <is>
          <t>amj s sour cream coffee cake</t>
        </is>
      </c>
      <c r="C279" t="n">
        <v>50755</v>
      </c>
      <c r="D279" s="4" t="n">
        <v>55</v>
      </c>
      <c r="E279" s="1" t="n">
        <v>37633</v>
      </c>
      <c r="F279" t="inlineStr">
        <is>
          <t xml:space="preserve">a quick deliciously moist </t>
        </is>
      </c>
      <c r="G279" t="n">
        <v>11</v>
      </c>
      <c r="H279" t="n">
        <v>3300</v>
      </c>
      <c r="I279">
        <f>D279*60</f>
        <v/>
      </c>
      <c r="J279">
        <f>COUNTIF(Отзывы!$D:$D, 50755)</f>
        <v/>
      </c>
    </row>
    <row r="280">
      <c r="A280" t="n">
        <v>25352</v>
      </c>
      <c r="B280" t="inlineStr">
        <is>
          <t>spicy chinese new zealand lamb</t>
        </is>
      </c>
      <c r="C280" t="n">
        <v>371012</v>
      </c>
      <c r="D280" s="4" t="n">
        <v>20</v>
      </c>
      <c r="E280" s="1" t="n">
        <v>39942</v>
      </c>
      <c r="F280" t="inlineStr">
        <is>
          <t>from nzlamb.com. posted for zwt 5.</t>
        </is>
      </c>
      <c r="G280" t="n">
        <v>9</v>
      </c>
      <c r="H280" t="n">
        <v>1200</v>
      </c>
      <c r="I280">
        <f>D280*60</f>
        <v/>
      </c>
      <c r="J280">
        <f>COUNTIF(Отзывы!$D:$D, 371012)</f>
        <v/>
      </c>
    </row>
    <row r="281">
      <c r="A281" t="n">
        <v>7772</v>
      </c>
      <c r="B281" t="inlineStr">
        <is>
          <t>couscous with sausage  pine nuts and cranberries</t>
        </is>
      </c>
      <c r="C281" t="n">
        <v>290219</v>
      </c>
      <c r="D281" s="4" t="n">
        <v>20</v>
      </c>
      <c r="E281" s="1" t="n">
        <v>39512</v>
      </c>
      <c r="F281" t="inlineStr">
        <is>
          <t>i adapted this recipe from a weight watcher recipe. the ingredients really compliment each other. we live in northern alaska and used a spicy caribou sausage but i think turkey sausage or pork sausage will taste just as good.</t>
        </is>
      </c>
      <c r="G281" t="n">
        <v>9</v>
      </c>
      <c r="H281" t="n">
        <v>1200</v>
      </c>
      <c r="I281">
        <f>D281*60</f>
        <v/>
      </c>
      <c r="J281">
        <f>COUNTIF(Отзывы!$D:$D, 290219)</f>
        <v/>
      </c>
    </row>
    <row r="282">
      <c r="A282" t="n">
        <v>14198</v>
      </c>
      <c r="B282" t="inlineStr">
        <is>
          <t>hot curry garlic dip</t>
        </is>
      </c>
      <c r="C282" t="n">
        <v>30726</v>
      </c>
      <c r="D282" s="4" t="n">
        <v>1442</v>
      </c>
      <c r="E282" s="1" t="n">
        <v>37417</v>
      </c>
      <c r="F282" t="inlineStr">
        <is>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is>
      </c>
      <c r="G282" t="n">
        <v>8</v>
      </c>
      <c r="H282" t="n">
        <v>86520</v>
      </c>
      <c r="I282">
        <f>D282*60</f>
        <v/>
      </c>
      <c r="J282">
        <f>COUNTIF(Отзывы!$D:$D, 30726)</f>
        <v/>
      </c>
    </row>
    <row r="283" ht="105" customHeight="1">
      <c r="A283" t="n">
        <v>15173</v>
      </c>
      <c r="B283" t="inlineStr">
        <is>
          <t>kalamata and tomato crostini</t>
        </is>
      </c>
      <c r="C283" t="n">
        <v>132032</v>
      </c>
      <c r="D283" s="4" t="n">
        <v>45</v>
      </c>
      <c r="E283" s="1" t="n">
        <v>38566</v>
      </c>
      <c r="F283" s="2" t="inlineStr">
        <is>
          <t>for rsc #7_x000D_
very quick and simple appetizer</t>
        </is>
      </c>
      <c r="G283" t="n">
        <v>10</v>
      </c>
      <c r="H283" t="n">
        <v>2700</v>
      </c>
      <c r="I283">
        <f>D283*60</f>
        <v/>
      </c>
      <c r="J283">
        <f>COUNTIF(Отзывы!$D:$D, 132032)</f>
        <v/>
      </c>
    </row>
    <row r="284">
      <c r="A284" t="n">
        <v>23336</v>
      </c>
      <c r="B284" t="inlineStr">
        <is>
          <t>santa fe chicken and rice</t>
        </is>
      </c>
      <c r="C284" t="n">
        <v>37516</v>
      </c>
      <c r="D284" s="4" t="n">
        <v>25</v>
      </c>
      <c r="E284" s="1" t="n">
        <v>37487</v>
      </c>
      <c r="F284" t="inlineStr">
        <is>
          <t>this is easy to make and taste great. you can eat is just the way it is, or try it rolled in a tortilla.</t>
        </is>
      </c>
      <c r="G284" t="n">
        <v>6</v>
      </c>
      <c r="H284" t="n">
        <v>1500</v>
      </c>
      <c r="I284">
        <f>D284*60</f>
        <v/>
      </c>
      <c r="J284">
        <f>COUNTIF(Отзывы!$D:$D, 37516)</f>
        <v/>
      </c>
    </row>
    <row r="285">
      <c r="A285" t="n">
        <v>6844</v>
      </c>
      <c r="B285" t="inlineStr">
        <is>
          <t>chop chop beef stir fry</t>
        </is>
      </c>
      <c r="C285" t="n">
        <v>498353</v>
      </c>
      <c r="D285" s="4" t="n">
        <v>40</v>
      </c>
      <c r="E285" s="1" t="n">
        <v>41364</v>
      </c>
      <c r="F285" t="inlineStr">
        <is>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is>
      </c>
      <c r="G285" t="n">
        <v>11</v>
      </c>
      <c r="H285" t="n">
        <v>2400</v>
      </c>
      <c r="I285">
        <f>D285*60</f>
        <v/>
      </c>
      <c r="J285">
        <f>COUNTIF(Отзывы!$D:$D, 498353)</f>
        <v/>
      </c>
    </row>
    <row r="286">
      <c r="A286" t="n">
        <v>13526</v>
      </c>
      <c r="B286" t="inlineStr">
        <is>
          <t>hearty eight layered salad</t>
        </is>
      </c>
      <c r="C286" t="n">
        <v>231267</v>
      </c>
      <c r="D286" s="4" t="n">
        <v>60</v>
      </c>
      <c r="E286" s="1" t="n">
        <v>39232</v>
      </c>
      <c r="F286" t="inlineStr">
        <is>
          <t>yummy.  a meal in itself.</t>
        </is>
      </c>
      <c r="G286" t="n">
        <v>15</v>
      </c>
      <c r="H286" t="n">
        <v>3600</v>
      </c>
      <c r="I286">
        <f>D286*60</f>
        <v/>
      </c>
      <c r="J286">
        <f>COUNTIF(Отзывы!$D:$D, 231267)</f>
        <v/>
      </c>
    </row>
    <row r="287">
      <c r="A287" t="n">
        <v>5974</v>
      </c>
      <c r="B287" t="inlineStr">
        <is>
          <t>chicken scarpariello   country style</t>
        </is>
      </c>
      <c r="C287" t="n">
        <v>168758</v>
      </c>
      <c r="D287" s="4" t="n">
        <v>65</v>
      </c>
      <c r="E287" s="1" t="n">
        <v>38856</v>
      </c>
      <c r="F287" t="inlineStr">
        <is>
          <t>"fuggeddaboutit!" a favorite dish of the wiseguys. make this for dinner and, ba-da-bing, you're ready for an evening with the sopranos. this is one of my all-time favorite italian-american chicken recipes. be sure to serve some crusty bread to sop up the sauce.</t>
        </is>
      </c>
      <c r="H287" t="n">
        <v>3900</v>
      </c>
      <c r="I287">
        <f>D287*60</f>
        <v/>
      </c>
      <c r="J287">
        <f>COUNTIF(Отзывы!$D:$D, 168758)</f>
        <v/>
      </c>
    </row>
    <row r="288">
      <c r="A288" t="n">
        <v>18933</v>
      </c>
      <c r="B288" t="inlineStr">
        <is>
          <t>oat muffins</t>
        </is>
      </c>
      <c r="C288" t="n">
        <v>156322</v>
      </c>
      <c r="D288" s="4" t="n">
        <v>25</v>
      </c>
      <c r="E288" s="1" t="n">
        <v>38764</v>
      </c>
      <c r="F288" t="inlineStr">
        <is>
          <t>for use with rolled oats master mix (oamc).</t>
        </is>
      </c>
      <c r="G288" t="n">
        <v>5</v>
      </c>
      <c r="H288" t="n">
        <v>1500</v>
      </c>
      <c r="I288">
        <f>D288*60</f>
        <v/>
      </c>
      <c r="J288">
        <f>COUNTIF(Отзывы!$D:$D, 156322)</f>
        <v/>
      </c>
    </row>
    <row r="289">
      <c r="A289" t="n">
        <v>9169</v>
      </c>
      <c r="B289" t="inlineStr">
        <is>
          <t>date pecan balls</t>
        </is>
      </c>
      <c r="C289" t="n">
        <v>63468</v>
      </c>
      <c r="D289" s="4" t="n">
        <v>50</v>
      </c>
      <c r="E289" s="1" t="n">
        <v>37774</v>
      </c>
      <c r="F289" t="inlineStr">
        <is>
          <t>these are great cookies - and they keep great too.</t>
        </is>
      </c>
      <c r="G289" t="n">
        <v>10</v>
      </c>
      <c r="H289" t="n">
        <v>3000</v>
      </c>
      <c r="I289">
        <f>D289*60</f>
        <v/>
      </c>
      <c r="J289">
        <f>COUNTIF(Отзывы!$D:$D, 63468)</f>
        <v/>
      </c>
    </row>
    <row r="290">
      <c r="A290" t="n">
        <v>26336</v>
      </c>
      <c r="B290" t="inlineStr">
        <is>
          <t>summer vegetable gratin</t>
        </is>
      </c>
      <c r="C290" t="n">
        <v>406974</v>
      </c>
      <c r="D290" s="4" t="n">
        <v>130</v>
      </c>
      <c r="E290" s="1" t="n">
        <v>40183</v>
      </c>
      <c r="F290" t="inlineStr">
        <is>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is>
      </c>
      <c r="G290" t="n">
        <v>13</v>
      </c>
      <c r="H290" t="n">
        <v>7800</v>
      </c>
      <c r="I290">
        <f>D290*60</f>
        <v/>
      </c>
      <c r="J290">
        <f>COUNTIF(Отзывы!$D:$D, 406974)</f>
        <v/>
      </c>
    </row>
    <row r="291" ht="315" customHeight="1">
      <c r="A291" t="n">
        <v>4346</v>
      </c>
      <c r="B291" t="inlineStr">
        <is>
          <t>caesar dressing  please review again  it s delish  really</t>
        </is>
      </c>
      <c r="C291" t="n">
        <v>201675</v>
      </c>
      <c r="D291" s="4" t="n">
        <v>15</v>
      </c>
      <c r="E291" s="1" t="n">
        <v>39074</v>
      </c>
      <c r="F291" s="2" t="inlineStr">
        <is>
          <t>be warned! this is one of those "just one more bite" recipes!_x000D_
i've been using this recipe for 18 years and have handed it out too many times to count!</t>
        </is>
      </c>
      <c r="G291" t="n">
        <v>15</v>
      </c>
      <c r="H291" t="n">
        <v>900</v>
      </c>
      <c r="I291">
        <f>D291*60</f>
        <v/>
      </c>
      <c r="J291">
        <f>COUNTIF(Отзывы!$D:$D, 201675)</f>
        <v/>
      </c>
    </row>
    <row r="292">
      <c r="A292" t="n">
        <v>24363</v>
      </c>
      <c r="B292" t="inlineStr">
        <is>
          <t>sizzling green beans</t>
        </is>
      </c>
      <c r="C292" t="n">
        <v>136591</v>
      </c>
      <c r="D292" s="4" t="n">
        <v>30</v>
      </c>
      <c r="E292" s="1" t="n">
        <v>38602</v>
      </c>
      <c r="F292" t="inlineStr">
        <is>
          <t>wish i knew where i got this recipe!  smells great while cooking.  i will try to use something to make it easier to remove the red pepper flakes (maybe strain it carefully into another pan).  i use nice pinch of salt and about 1/4 to 1/2 tsp. black pepper.</t>
        </is>
      </c>
      <c r="H292" t="n">
        <v>1800</v>
      </c>
      <c r="I292">
        <f>D292*60</f>
        <v/>
      </c>
      <c r="J292">
        <f>COUNTIF(Отзывы!$D:$D, 136591)</f>
        <v/>
      </c>
    </row>
    <row r="293">
      <c r="A293" t="n">
        <v>7396</v>
      </c>
      <c r="B293" t="inlineStr">
        <is>
          <t>cole slaw</t>
        </is>
      </c>
      <c r="C293" t="n">
        <v>355799</v>
      </c>
      <c r="D293" s="4" t="n">
        <v>15</v>
      </c>
      <c r="E293" s="1" t="n">
        <v>39858</v>
      </c>
      <c r="F293" t="inlineStr">
        <is>
          <t>this recipe was given to me years ago from a lady in our church group, and it is a family favorite.  it is very simple to make and delicious.  it is best made a day in advance to give the flavors time to combine.  to make a shortcut for this recipe, buy a small bag of cole slaw cabbage mix in the produce section of your grocery store, and then 1/2 the ingredient amounts for the sauce mix.</t>
        </is>
      </c>
      <c r="H293" t="n">
        <v>900</v>
      </c>
      <c r="I293">
        <f>D293*60</f>
        <v/>
      </c>
      <c r="J293">
        <f>COUNTIF(Отзывы!$D:$D, 355799)</f>
        <v/>
      </c>
    </row>
    <row r="294">
      <c r="A294" t="n">
        <v>1585</v>
      </c>
      <c r="B294" t="inlineStr">
        <is>
          <t>baba ghannouj    baba ghanoush   baba gannoujh</t>
        </is>
      </c>
      <c r="C294" t="n">
        <v>6842</v>
      </c>
      <c r="D294" s="6" t="n">
        <v>10</v>
      </c>
      <c r="E294" s="1" t="n">
        <v>36591</v>
      </c>
      <c r="G294" t="n">
        <v>8</v>
      </c>
      <c r="H294" t="n">
        <v>600</v>
      </c>
      <c r="I294">
        <f>D294*60</f>
        <v/>
      </c>
      <c r="J294">
        <f>COUNTIF(Отзывы!$D:$D, 6842)</f>
        <v/>
      </c>
    </row>
    <row r="295">
      <c r="A295" t="n">
        <v>19713</v>
      </c>
      <c r="B295" t="inlineStr">
        <is>
          <t>pamela s perfect cornbread</t>
        </is>
      </c>
      <c r="C295" t="n">
        <v>472158</v>
      </c>
      <c r="D295" s="4" t="n">
        <v>45</v>
      </c>
      <c r="E295" s="1" t="n">
        <v>40925</v>
      </c>
      <c r="F295" t="inlineStr">
        <is>
          <t>we had a chili get-together and my friend pamela brought cornbread. it was the best i have ever eaten, so i asked her for the recipe. it was so moist, and not overly sweet. it was perfect!</t>
        </is>
      </c>
      <c r="H295" t="n">
        <v>2700</v>
      </c>
      <c r="I295">
        <f>D295*60</f>
        <v/>
      </c>
      <c r="J295">
        <f>COUNTIF(Отзывы!$D:$D, 472158)</f>
        <v/>
      </c>
    </row>
    <row r="296">
      <c r="A296" t="n">
        <v>8421</v>
      </c>
      <c r="B296" t="inlineStr">
        <is>
          <t>creole burgers</t>
        </is>
      </c>
      <c r="C296" t="n">
        <v>52851</v>
      </c>
      <c r="D296" s="4" t="n">
        <v>30</v>
      </c>
      <c r="E296" s="1" t="n">
        <v>37654</v>
      </c>
      <c r="F296" t="inlineStr">
        <is>
          <t>adapted from a french's mustard recipe. i love this one.</t>
        </is>
      </c>
      <c r="G296" t="n">
        <v>9</v>
      </c>
      <c r="H296" t="n">
        <v>1800</v>
      </c>
      <c r="I296">
        <f>D296*60</f>
        <v/>
      </c>
      <c r="J296">
        <f>COUNTIF(Отзывы!$D:$D, 52851)</f>
        <v/>
      </c>
    </row>
    <row r="297">
      <c r="A297" t="n">
        <v>26854</v>
      </c>
      <c r="B297" t="inlineStr">
        <is>
          <t>swiss vegetable medley</t>
        </is>
      </c>
      <c r="C297" t="n">
        <v>13085</v>
      </c>
      <c r="D297" s="4" t="n">
        <v>50</v>
      </c>
      <c r="E297" s="1" t="n">
        <v>37186</v>
      </c>
      <c r="F297" t="inlineStr">
        <is>
          <t>another really good recipe from mom. this one is delicious and easy to double. remember to double baking time also though. i also like to add a little garlic powder and seasoned salt to mine. i also never add the pimiento, so leaving them out doesn't take away from the dish. also a good one for those people that don't usually like veggies.</t>
        </is>
      </c>
      <c r="G297" t="n">
        <v>7</v>
      </c>
      <c r="H297" t="n">
        <v>3000</v>
      </c>
      <c r="I297">
        <f>D297*60</f>
        <v/>
      </c>
      <c r="J297">
        <f>COUNTIF(Отзывы!$D:$D, 13085)</f>
        <v/>
      </c>
    </row>
    <row r="298">
      <c r="A298" t="n">
        <v>26317</v>
      </c>
      <c r="B298" t="inlineStr">
        <is>
          <t>summer peach salad</t>
        </is>
      </c>
      <c r="C298" t="n">
        <v>62781</v>
      </c>
      <c r="D298" s="6" t="n">
        <v>10</v>
      </c>
      <c r="E298" s="1" t="n">
        <v>37762</v>
      </c>
      <c r="F298" t="inlineStr">
        <is>
          <t>peaches are a great addition to a summer meal - so fresh and lucious! this recipe also works great for fancy dinner parties or lunceons if served on a lettuce leaf and garnished with a sprig of mint.</t>
        </is>
      </c>
      <c r="G298" t="n">
        <v>6</v>
      </c>
      <c r="H298" t="n">
        <v>600</v>
      </c>
      <c r="I298">
        <f>D298*60</f>
        <v/>
      </c>
      <c r="J298">
        <f>COUNTIF(Отзывы!$D:$D, 62781)</f>
        <v/>
      </c>
    </row>
    <row r="299">
      <c r="A299" t="n">
        <v>7570</v>
      </c>
      <c r="B299" t="inlineStr">
        <is>
          <t>corn chowder  crock pot</t>
        </is>
      </c>
      <c r="C299" t="n">
        <v>3439</v>
      </c>
      <c r="D299" s="4" t="n">
        <v>440</v>
      </c>
      <c r="E299" s="1" t="n">
        <v>36451</v>
      </c>
      <c r="F299" t="inlineStr">
        <is>
          <t>from the rival crock-pot cooking cookbook.</t>
        </is>
      </c>
      <c r="H299" t="n">
        <v>26400</v>
      </c>
      <c r="I299">
        <f>D299*60</f>
        <v/>
      </c>
      <c r="J299">
        <f>COUNTIF(Отзывы!$D:$D, 3439)</f>
        <v/>
      </c>
    </row>
    <row r="300">
      <c r="A300" t="n">
        <v>25045</v>
      </c>
      <c r="B300" t="inlineStr">
        <is>
          <t>soyu chicken hawaiian style</t>
        </is>
      </c>
      <c r="C300" t="n">
        <v>295414</v>
      </c>
      <c r="D300" s="4" t="n">
        <v>35</v>
      </c>
      <c r="E300" s="1" t="n">
        <v>39538</v>
      </c>
      <c r="F300" t="inlineStr">
        <is>
          <t>this recipe came from a coworker's mom who lives in hawaii.  it is easy to make and goes well with white rice.  aloha.</t>
        </is>
      </c>
      <c r="G300" t="n">
        <v>8</v>
      </c>
      <c r="H300" t="n">
        <v>2100</v>
      </c>
      <c r="I300">
        <f>D300*60</f>
        <v/>
      </c>
      <c r="J300">
        <f>COUNTIF(Отзывы!$D:$D, 295414)</f>
        <v/>
      </c>
    </row>
    <row r="301">
      <c r="A301" t="n">
        <v>16786</v>
      </c>
      <c r="B301" t="inlineStr">
        <is>
          <t>make ahead mashed smashed potatoes</t>
        </is>
      </c>
      <c r="C301" t="n">
        <v>347591</v>
      </c>
      <c r="D301" s="4" t="n">
        <v>115</v>
      </c>
      <c r="E301" s="1" t="n">
        <v>39819</v>
      </c>
      <c r="F301" t="inlineStr">
        <is>
          <t>my mom clipped the basic recipe out of a newspaper (a very small clipping -so the name of the newspaper and column are not included, unfortunately) several years ago.  it has since become the only mashed potato recipe we use, especially since the pickiest eaters race to get up the next morning to eat all of the leftovers!  mashed potatoes seem to be one of those foods that really brings out strong opinions, so i am including all of the various variations that please the various preferences in our house, and you should feel free to adjust to suit your tastes too!  we always use fat free sour cream and low-fat cream cheese with excellent results, but the full-fat ingredients should also work just fine.  these can be made up to 3 days in advance and kept in the refrigerator.</t>
        </is>
      </c>
      <c r="G301" t="n">
        <v>9</v>
      </c>
      <c r="H301" t="n">
        <v>6900</v>
      </c>
      <c r="I301">
        <f>D301*60</f>
        <v/>
      </c>
      <c r="J301">
        <f>COUNTIF(Отзывы!$D:$D, 347591)</f>
        <v/>
      </c>
    </row>
    <row r="302">
      <c r="A302" t="n">
        <v>23994</v>
      </c>
      <c r="B302" t="inlineStr">
        <is>
          <t>shortcut o brien potatoes</t>
        </is>
      </c>
      <c r="C302" t="n">
        <v>88875</v>
      </c>
      <c r="D302" s="4" t="n">
        <v>20</v>
      </c>
      <c r="E302" s="1" t="n">
        <v>38089</v>
      </c>
      <c r="F302" t="inlineStr">
        <is>
          <t>these make for a great side dish with grilled chicken or hamburgers.</t>
        </is>
      </c>
      <c r="H302" t="n">
        <v>1200</v>
      </c>
      <c r="I302">
        <f>D302*60</f>
        <v/>
      </c>
      <c r="J302">
        <f>COUNTIF(Отзывы!$D:$D, 88875)</f>
        <v/>
      </c>
    </row>
    <row r="303">
      <c r="A303" t="n">
        <v>3045</v>
      </c>
      <c r="B303" t="inlineStr">
        <is>
          <t>bill s pork barbecue in a crock</t>
        </is>
      </c>
      <c r="C303" t="n">
        <v>396889</v>
      </c>
      <c r="D303" s="4" t="n">
        <v>505</v>
      </c>
      <c r="E303" s="1" t="n">
        <v>40114</v>
      </c>
      <c r="F303" t="inlineStr">
        <is>
          <t>if you are looking for a easy tasty tender barbecue you have to try this recipe. i have tried barbecue all over the country. my favorite is carolina barbecue and richmond barbecue. i have tried to marry the two and i hope and think this does. have fun with this!</t>
        </is>
      </c>
      <c r="G303" t="n">
        <v>13</v>
      </c>
      <c r="H303" t="n">
        <v>30300</v>
      </c>
      <c r="I303">
        <f>D303*60</f>
        <v/>
      </c>
      <c r="J303">
        <f>COUNTIF(Отзывы!$D:$D, 396889)</f>
        <v/>
      </c>
    </row>
    <row r="304">
      <c r="A304" t="n">
        <v>23153</v>
      </c>
      <c r="B304" t="inlineStr">
        <is>
          <t>salad greens with honey mustard dressing</t>
        </is>
      </c>
      <c r="C304" t="n">
        <v>145067</v>
      </c>
      <c r="D304" s="6" t="n">
        <v>10</v>
      </c>
      <c r="E304" s="1" t="n">
        <v>38670</v>
      </c>
      <c r="F304" t="inlineStr">
        <is>
          <t>i have never been a fan of any honey mustard dressing i have tasted in a bottle.  this made-from-scratch version is divine!  besides making a wonderful stand-alone salad, this is also great topped with chunks or slices of  recipe #145068.  this recipe is from cuisine at home magazine.</t>
        </is>
      </c>
      <c r="H304" t="n">
        <v>600</v>
      </c>
      <c r="I304">
        <f>D304*60</f>
        <v/>
      </c>
      <c r="J304">
        <f>COUNTIF(Отзывы!$D:$D, 145067)</f>
        <v/>
      </c>
    </row>
    <row r="305">
      <c r="A305" t="n">
        <v>9646</v>
      </c>
      <c r="B305" t="inlineStr">
        <is>
          <t>drop baking powder biscuits</t>
        </is>
      </c>
      <c r="C305" t="n">
        <v>465574</v>
      </c>
      <c r="D305" s="4" t="n">
        <v>20</v>
      </c>
      <c r="E305" s="1" t="n">
        <v>40821</v>
      </c>
      <c r="F305" t="inlineStr">
        <is>
          <t>from the new settlement cookbook. these are so easy and yummy. don't overwork the dough or the biscuits get tough. also make sure they are thick enough. that's what makes them fluffy and soft.</t>
        </is>
      </c>
      <c r="G305" t="n">
        <v>5</v>
      </c>
      <c r="H305" t="n">
        <v>1200</v>
      </c>
      <c r="I305">
        <f>D305*60</f>
        <v/>
      </c>
      <c r="J305">
        <f>COUNTIF(Отзывы!$D:$D, 465574)</f>
        <v/>
      </c>
    </row>
    <row r="306">
      <c r="A306" t="n">
        <v>26306</v>
      </c>
      <c r="B306" t="inlineStr">
        <is>
          <t>summer fruits and berries with southern cream</t>
        </is>
      </c>
      <c r="C306" t="n">
        <v>155128</v>
      </c>
      <c r="D306" s="6" t="n">
        <v>10</v>
      </c>
      <c r="E306" s="1" t="n">
        <v>38755</v>
      </c>
      <c r="F306" t="inlineStr">
        <is>
          <t>this recipe is from "ambrosia".  this is a cookbook from vicksburg, ms.  this is an excellent dessert dish!</t>
        </is>
      </c>
      <c r="G306" t="n">
        <v>7</v>
      </c>
      <c r="H306" t="n">
        <v>600</v>
      </c>
      <c r="I306">
        <f>D306*60</f>
        <v/>
      </c>
      <c r="J306">
        <f>COUNTIF(Отзывы!$D:$D, 155128)</f>
        <v/>
      </c>
    </row>
    <row r="307">
      <c r="A307" t="n">
        <v>3712</v>
      </c>
      <c r="B307" t="inlineStr">
        <is>
          <t>breakfast egg rolls</t>
        </is>
      </c>
      <c r="C307" t="n">
        <v>321436</v>
      </c>
      <c r="D307" s="4" t="n">
        <v>40</v>
      </c>
      <c r="E307" s="1" t="n">
        <v>39686</v>
      </c>
      <c r="F307" t="inlineStr">
        <is>
          <t>yummy!</t>
        </is>
      </c>
      <c r="G307" t="n">
        <v>10</v>
      </c>
      <c r="H307" t="n">
        <v>2400</v>
      </c>
      <c r="I307">
        <f>D307*60</f>
        <v/>
      </c>
      <c r="J307">
        <f>COUNTIF(Отзывы!$D:$D, 321436)</f>
        <v/>
      </c>
    </row>
    <row r="308">
      <c r="A308" t="n">
        <v>4468</v>
      </c>
      <c r="B308" t="inlineStr">
        <is>
          <t>california pizza kitchens kung pao spaghetti</t>
        </is>
      </c>
      <c r="C308" t="n">
        <v>121823</v>
      </c>
      <c r="D308" s="4" t="n">
        <v>65</v>
      </c>
      <c r="E308" s="1" t="n">
        <v>38484</v>
      </c>
      <c r="F308" t="inlineStr">
        <is>
          <t>this is a perfect pasta for people who love spicy food. be careful not to eat the whole chinese dried chili peppers.</t>
        </is>
      </c>
      <c r="G308" t="n">
        <v>17</v>
      </c>
      <c r="H308" t="n">
        <v>3900</v>
      </c>
      <c r="I308">
        <f>D308*60</f>
        <v/>
      </c>
      <c r="J308">
        <f>COUNTIF(Отзывы!$D:$D, 121823)</f>
        <v/>
      </c>
    </row>
    <row r="309">
      <c r="A309" t="n">
        <v>18759</v>
      </c>
      <c r="B309" t="inlineStr">
        <is>
          <t>no cook chocolate fudge</t>
        </is>
      </c>
      <c r="C309" t="n">
        <v>45243</v>
      </c>
      <c r="D309" s="4" t="n">
        <v>20</v>
      </c>
      <c r="E309" s="1" t="n">
        <v>37564</v>
      </c>
      <c r="F309" t="inlineStr">
        <is>
          <t>creamy and rich! i'm not sure on the yield - it depends on how big you cut the pieces.</t>
        </is>
      </c>
      <c r="G309" t="n">
        <v>7</v>
      </c>
      <c r="H309" t="n">
        <v>1200</v>
      </c>
      <c r="I309">
        <f>D309*60</f>
        <v/>
      </c>
      <c r="J309">
        <f>COUNTIF(Отзывы!$D:$D, 45243)</f>
        <v/>
      </c>
    </row>
    <row r="310">
      <c r="A310" t="n">
        <v>10623</v>
      </c>
      <c r="B310" t="inlineStr">
        <is>
          <t>estratos mexicanos</t>
        </is>
      </c>
      <c r="C310" t="n">
        <v>286127</v>
      </c>
      <c r="D310" s="4" t="n">
        <v>75</v>
      </c>
      <c r="E310" s="1" t="n">
        <v>39490</v>
      </c>
      <c r="F310" t="inlineStr">
        <is>
          <t>recipe from a family friend who lives in mexico near the town of tehuantepec. fairly healthy when you add a serving of fruit to this meal.</t>
        </is>
      </c>
      <c r="H310" t="n">
        <v>4500</v>
      </c>
      <c r="I310">
        <f>D310*60</f>
        <v/>
      </c>
      <c r="J310">
        <f>COUNTIF(Отзывы!$D:$D, 286127)</f>
        <v/>
      </c>
    </row>
    <row r="311">
      <c r="A311" t="n">
        <v>29512</v>
      </c>
      <c r="B311" t="inlineStr">
        <is>
          <t>wonderful oatmeal cookies</t>
        </is>
      </c>
      <c r="C311" t="n">
        <v>44615</v>
      </c>
      <c r="D311" s="4" t="n">
        <v>25</v>
      </c>
      <c r="E311" s="1" t="n">
        <v>37558</v>
      </c>
      <c r="F311" t="inlineStr">
        <is>
          <t>these are really good!and so simple.make sure to space them on the cookie sheet,they spread.these are thin and crispy on the outside and chewy inside.flavorings,nuts or chips could be added.</t>
        </is>
      </c>
      <c r="G311" t="n">
        <v>5</v>
      </c>
      <c r="H311" t="n">
        <v>1500</v>
      </c>
      <c r="I311">
        <f>D311*60</f>
        <v/>
      </c>
      <c r="J311">
        <f>COUNTIF(Отзывы!$D:$D, 44615)</f>
        <v/>
      </c>
    </row>
    <row r="312">
      <c r="A312" t="n">
        <v>25564</v>
      </c>
      <c r="B312" t="inlineStr">
        <is>
          <t>spinach   brie puffs</t>
        </is>
      </c>
      <c r="C312" t="n">
        <v>169826</v>
      </c>
      <c r="D312" s="4" t="n">
        <v>40</v>
      </c>
      <c r="E312" s="1" t="n">
        <v>38862</v>
      </c>
      <c r="F312" t="inlineStr">
        <is>
          <t>a tasty starter for may. when buying the brie, buy one that is not too ripe. if it is quite soft put in the freezer for about 30 minutes before making the making the puffs.</t>
        </is>
      </c>
      <c r="H312" t="n">
        <v>2400</v>
      </c>
      <c r="I312">
        <f>D312*60</f>
        <v/>
      </c>
      <c r="J312">
        <f>COUNTIF(Отзывы!$D:$D, 169826)</f>
        <v/>
      </c>
    </row>
    <row r="313">
      <c r="A313" t="n">
        <v>13580</v>
      </c>
      <c r="B313" t="inlineStr">
        <is>
          <t>heidi s egg crepes</t>
        </is>
      </c>
      <c r="C313" t="n">
        <v>309151</v>
      </c>
      <c r="D313" s="4" t="n">
        <v>30</v>
      </c>
      <c r="E313" s="1" t="n">
        <v>39612</v>
      </c>
      <c r="F313" t="inlineStr">
        <is>
          <t>yummy egg crepes</t>
        </is>
      </c>
      <c r="H313" t="n">
        <v>1800</v>
      </c>
      <c r="I313">
        <f>D313*60</f>
        <v/>
      </c>
      <c r="J313">
        <f>COUNTIF(Отзывы!$D:$D, 309151)</f>
        <v/>
      </c>
    </row>
    <row r="314">
      <c r="A314" t="n">
        <v>7315</v>
      </c>
      <c r="B314" t="inlineStr">
        <is>
          <t>coconut rum balls</t>
        </is>
      </c>
      <c r="C314" t="n">
        <v>186461</v>
      </c>
      <c r="D314" s="4" t="n">
        <v>1500</v>
      </c>
      <c r="E314" s="1" t="n">
        <v>38978</v>
      </c>
      <c r="F314" t="inlineStr">
        <is>
          <t>these are quite addicting.  the flavor improves after 24 hours.  you can store them for about 2 weeks.  i made these for christmas 2005, and they were very popular.  i found this recipe on allrecipes.com.</t>
        </is>
      </c>
      <c r="G314" t="n">
        <v>5</v>
      </c>
      <c r="H314" t="n">
        <v>90000</v>
      </c>
      <c r="I314">
        <f>D314*60</f>
        <v/>
      </c>
      <c r="J314">
        <f>COUNTIF(Отзывы!$D:$D, 186461)</f>
        <v/>
      </c>
    </row>
    <row r="315">
      <c r="A315" t="n">
        <v>24396</v>
      </c>
      <c r="B315" t="inlineStr">
        <is>
          <t>skinny bride s guide to layered vegetable salad</t>
        </is>
      </c>
      <c r="C315" t="n">
        <v>392809</v>
      </c>
      <c r="D315" s="4" t="n">
        <v>20</v>
      </c>
      <c r="E315" s="1" t="n">
        <v>40088</v>
      </c>
      <c r="F315" t="inlineStr">
        <is>
          <t>salad should be good for you right? not always. sometimes salads can have more calories than that burger you wanted in the first place. it is all about what and how much you put on it -- especially if it is going to be a meal!</t>
        </is>
      </c>
      <c r="G315" t="n">
        <v>15</v>
      </c>
      <c r="H315" t="n">
        <v>1200</v>
      </c>
      <c r="I315">
        <f>D315*60</f>
        <v/>
      </c>
      <c r="J315">
        <f>COUNTIF(Отзывы!$D:$D, 392809)</f>
        <v/>
      </c>
    </row>
    <row r="316">
      <c r="A316" t="n">
        <v>15519</v>
      </c>
      <c r="B316" t="inlineStr">
        <is>
          <t>krautnik</t>
        </is>
      </c>
      <c r="C316" t="n">
        <v>156392</v>
      </c>
      <c r="D316" s="4" t="n">
        <v>70</v>
      </c>
      <c r="E316" s="1" t="n">
        <v>38764</v>
      </c>
      <c r="F316" t="inlineStr">
        <is>
          <t>this is a dish that was served at a big, ranch, family christmas dinner that we were invited to. i would call it glorified scalloped potatoes. the taste is to die for, but definitely not good for the waistline.. the lady of the house being of older generation, naturally did not have specific measurements..for something like this, i don't really have specific measurements either!</t>
        </is>
      </c>
      <c r="G316" t="n">
        <v>11</v>
      </c>
      <c r="H316" t="n">
        <v>4200</v>
      </c>
      <c r="I316">
        <f>D316*60</f>
        <v/>
      </c>
      <c r="J316">
        <f>COUNTIF(Отзывы!$D:$D, 156392)</f>
        <v/>
      </c>
    </row>
    <row r="317">
      <c r="A317" t="n">
        <v>24165</v>
      </c>
      <c r="B317" t="inlineStr">
        <is>
          <t>silk and satin chocolate pie</t>
        </is>
      </c>
      <c r="C317" t="n">
        <v>25172</v>
      </c>
      <c r="D317" s="4" t="n">
        <v>210</v>
      </c>
      <c r="E317" s="1" t="n">
        <v>37360</v>
      </c>
      <c r="F317" t="inlineStr">
        <is>
          <t>this is one of the dessert tray favourites at captain anderson's restaurant and waterfront market, panama city beach, florida.</t>
        </is>
      </c>
      <c r="G317" t="n">
        <v>8</v>
      </c>
      <c r="H317" t="n">
        <v>12600</v>
      </c>
      <c r="I317">
        <f>D317*60</f>
        <v/>
      </c>
      <c r="J317">
        <f>COUNTIF(Отзывы!$D:$D, 25172)</f>
        <v/>
      </c>
    </row>
    <row r="318">
      <c r="A318" t="n">
        <v>27028</v>
      </c>
      <c r="B318" t="inlineStr">
        <is>
          <t>tartiflette with lemon thyme</t>
        </is>
      </c>
      <c r="C318" t="n">
        <v>456829</v>
      </c>
      <c r="D318" s="4" t="n">
        <v>55</v>
      </c>
      <c r="E318" s="1" t="n">
        <v>40684</v>
      </c>
      <c r="F318" t="inlineStr">
        <is>
          <t>recipe from the good food channel.</t>
        </is>
      </c>
      <c r="G318" t="n">
        <v>10</v>
      </c>
      <c r="H318" t="n">
        <v>3300</v>
      </c>
      <c r="I318">
        <f>D318*60</f>
        <v/>
      </c>
      <c r="J318">
        <f>COUNTIF(Отзывы!$D:$D, 456829)</f>
        <v/>
      </c>
    </row>
    <row r="319">
      <c r="A319" t="n">
        <v>10371</v>
      </c>
      <c r="B319" t="inlineStr">
        <is>
          <t>egg  ham and cheese crepes benedict</t>
        </is>
      </c>
      <c r="C319" t="n">
        <v>148292</v>
      </c>
      <c r="D319" s="4" t="n">
        <v>35</v>
      </c>
      <c r="E319" s="1" t="n">
        <v>38700</v>
      </c>
      <c r="F319" t="inlineStr">
        <is>
          <t>to make this a quick and easy dish, i just purchase knorr brand dry packages of hollandaise sauce, or you can make your own, if you have any dried tarragon add in a pinch to the sauce. this complete recipe can be doubled. when you are making your crepes, make an extra batch and freeze for the next time you make this recipe, you are going to want to make this again!... it's such an easy and delicious brunch or a light lunch if you have the crepes already prepared. you can add in other ingredients that you like to the eggs such as green onions, finely chopped green or red bell peppers etc.</t>
        </is>
      </c>
      <c r="H319" t="n">
        <v>2100</v>
      </c>
      <c r="I319">
        <f>D319*60</f>
        <v/>
      </c>
      <c r="J319">
        <f>COUNTIF(Отзывы!$D:$D, 148292)</f>
        <v/>
      </c>
    </row>
    <row r="320">
      <c r="A320" t="n">
        <v>13872</v>
      </c>
      <c r="B320" t="inlineStr">
        <is>
          <t>homemade ice milk   vanilla  chocolate  almond  fruit choices</t>
        </is>
      </c>
      <c r="C320" t="n">
        <v>430324</v>
      </c>
      <c r="D320" s="4" t="n">
        <v>485</v>
      </c>
      <c r="E320" s="1" t="n">
        <v>40347</v>
      </c>
      <c r="F320" t="inlineStr">
        <is>
          <t>ice milk is not ice cream but it will give you the feeling of the frozen treat with far more ease and no machine needed.  when it comes out all frozen,  let it sit for a few minutes in the sun and then stir it up, it is much more like ice cream at that point.  even better, you can make as much as you want at a time :) for the flavorings, add to your taste, obviously if you choose fresh fruit you may want more than an extract flavoring.  cooking time is actually time to freeze.</t>
        </is>
      </c>
      <c r="G320" t="n">
        <v>3</v>
      </c>
      <c r="H320" t="n">
        <v>29100</v>
      </c>
      <c r="I320">
        <f>D320*60</f>
        <v/>
      </c>
      <c r="J320">
        <f>COUNTIF(Отзывы!$D:$D, 430324)</f>
        <v/>
      </c>
    </row>
    <row r="321">
      <c r="A321" t="n">
        <v>1713</v>
      </c>
      <c r="B321" t="inlineStr">
        <is>
          <t>bahama breeze fire roasted jerk shrimp</t>
        </is>
      </c>
      <c r="C321" t="n">
        <v>412301</v>
      </c>
      <c r="D321" s="4" t="n">
        <v>34</v>
      </c>
      <c r="E321" s="1" t="n">
        <v>40217</v>
      </c>
      <c r="F321" t="inlineStr">
        <is>
          <t>shrimp simmered in garlic-thyme butter with warm cuban bread for dunking.</t>
        </is>
      </c>
      <c r="G321" t="n">
        <v>9</v>
      </c>
      <c r="H321" t="n">
        <v>2040</v>
      </c>
      <c r="I321">
        <f>D321*60</f>
        <v/>
      </c>
      <c r="J321">
        <f>COUNTIF(Отзывы!$D:$D, 412301)</f>
        <v/>
      </c>
    </row>
    <row r="322">
      <c r="A322" t="n">
        <v>8019</v>
      </c>
      <c r="B322" t="inlineStr">
        <is>
          <t>crawfish quesadillas</t>
        </is>
      </c>
      <c r="C322" t="n">
        <v>85425</v>
      </c>
      <c r="D322" s="4" t="n">
        <v>30</v>
      </c>
      <c r="E322" s="1" t="n">
        <v>38047</v>
      </c>
      <c r="F322" t="inlineStr">
        <is>
          <t>a terrific appetizer from an old bunco friend!</t>
        </is>
      </c>
      <c r="H322" t="n">
        <v>1800</v>
      </c>
      <c r="I322">
        <f>D322*60</f>
        <v/>
      </c>
      <c r="J322">
        <f>COUNTIF(Отзывы!$D:$D, 85425)</f>
        <v/>
      </c>
    </row>
    <row r="323">
      <c r="A323" t="n">
        <v>28895</v>
      </c>
      <c r="B323" t="inlineStr">
        <is>
          <t>vincent price stuffed smoked ham</t>
        </is>
      </c>
      <c r="C323" t="n">
        <v>114583</v>
      </c>
      <c r="D323" s="4" t="n">
        <v>140</v>
      </c>
      <c r="E323" s="1" t="n">
        <v>38440</v>
      </c>
      <c r="F323" t="inlineStr">
        <is>
          <t>mr. vincent price was an excellent chef and produced several wonderful cookbooks, including "a treasury of great recipes" by himself and his then-wife mary price, which was published in 1965.  this extravagant recipe was very typical of the times, but is delicious none the less, came from that collection, and translated for a modern audience.</t>
        </is>
      </c>
      <c r="H323" t="n">
        <v>8400</v>
      </c>
      <c r="I323">
        <f>D323*60</f>
        <v/>
      </c>
      <c r="J323">
        <f>COUNTIF(Отзывы!$D:$D, 114583)</f>
        <v/>
      </c>
    </row>
    <row r="324">
      <c r="A324" t="n">
        <v>12659</v>
      </c>
      <c r="B324" t="inlineStr">
        <is>
          <t>green bean  tomato and salami salad</t>
        </is>
      </c>
      <c r="C324" t="n">
        <v>113667</v>
      </c>
      <c r="D324" s="4" t="n">
        <v>30</v>
      </c>
      <c r="E324" s="1" t="n">
        <v>38429</v>
      </c>
      <c r="F324" t="inlineStr">
        <is>
          <t>great summertime luncheon (or picnic for two) when served chilled, with a platter of cheese and crusty french bread...easy &amp; tasty....make several hours ahead for flavors to blend.</t>
        </is>
      </c>
      <c r="G324" t="n">
        <v>9</v>
      </c>
      <c r="H324" t="n">
        <v>1800</v>
      </c>
      <c r="I324">
        <f>D324*60</f>
        <v/>
      </c>
      <c r="J324">
        <f>COUNTIF(Отзывы!$D:$D, 113667)</f>
        <v/>
      </c>
    </row>
    <row r="325">
      <c r="A325" t="n">
        <v>10531</v>
      </c>
      <c r="B325" t="inlineStr">
        <is>
          <t>emerald green punch</t>
        </is>
      </c>
      <c r="C325" t="n">
        <v>118981</v>
      </c>
      <c r="D325" s="6" t="n">
        <v>5</v>
      </c>
      <c r="E325" s="1" t="n">
        <v>38467</v>
      </c>
      <c r="F325" t="inlineStr">
        <is>
          <t>passing on a delicious recipe from my mom. i always make this punch at parties and family gatherings. it is perfect for st. patty's day!</t>
        </is>
      </c>
      <c r="H325" t="n">
        <v>300</v>
      </c>
      <c r="I325">
        <f>D325*60</f>
        <v/>
      </c>
      <c r="J325">
        <f>COUNTIF(Отзывы!$D:$D, 118981)</f>
        <v/>
      </c>
    </row>
    <row r="326">
      <c r="A326" t="n">
        <v>23619</v>
      </c>
      <c r="B326" t="inlineStr">
        <is>
          <t>savoury bbq spareribs</t>
        </is>
      </c>
      <c r="C326" t="n">
        <v>52427</v>
      </c>
      <c r="D326" s="4" t="n">
        <v>210</v>
      </c>
      <c r="E326" s="1" t="n">
        <v>37648</v>
      </c>
      <c r="F326" t="inlineStr">
        <is>
          <t>these ribs are mouth-watering. you can also cook in a slow cooker once sauce and onions are added (medium heat for 6-8 hours).</t>
        </is>
      </c>
      <c r="G326" t="n">
        <v>9</v>
      </c>
      <c r="H326" t="n">
        <v>12600</v>
      </c>
      <c r="I326">
        <f>D326*60</f>
        <v/>
      </c>
      <c r="J326">
        <f>COUNTIF(Отзывы!$D:$D, 52427)</f>
        <v/>
      </c>
    </row>
    <row r="327">
      <c r="A327" t="n">
        <v>8257</v>
      </c>
      <c r="B327" t="inlineStr">
        <is>
          <t>creamy garlic potato salad</t>
        </is>
      </c>
      <c r="C327" t="n">
        <v>37564</v>
      </c>
      <c r="D327" s="4" t="n">
        <v>200</v>
      </c>
      <c r="E327" s="1" t="n">
        <v>37487</v>
      </c>
      <c r="F327" t="inlineStr">
        <is>
          <t>a creamy potato salad that is simple to make, and is a sure crowd pleaser. i get asked to bring this to every barbeque i go to.</t>
        </is>
      </c>
      <c r="G327" t="n">
        <v>7</v>
      </c>
      <c r="H327" t="n">
        <v>12000</v>
      </c>
      <c r="I327">
        <f>D327*60</f>
        <v/>
      </c>
      <c r="J327">
        <f>COUNTIF(Отзывы!$D:$D, 37564)</f>
        <v/>
      </c>
    </row>
    <row r="328">
      <c r="A328" t="n">
        <v>7988</v>
      </c>
      <c r="B328" t="inlineStr">
        <is>
          <t>cranberry wild rice salad</t>
        </is>
      </c>
      <c r="C328" t="n">
        <v>34082</v>
      </c>
      <c r="D328" s="4" t="n">
        <v>25</v>
      </c>
      <c r="E328" s="1" t="n">
        <v>37452</v>
      </c>
      <c r="F328" t="inlineStr">
        <is>
          <t>this is courtesy of canoe bay-chetek, wis. &amp; people magazine</t>
        </is>
      </c>
      <c r="G328" t="n">
        <v>9</v>
      </c>
      <c r="H328" t="n">
        <v>1500</v>
      </c>
      <c r="I328">
        <f>D328*60</f>
        <v/>
      </c>
      <c r="J328">
        <f>COUNTIF(Отзывы!$D:$D, 34082)</f>
        <v/>
      </c>
    </row>
    <row r="329">
      <c r="A329" t="n">
        <v>28113</v>
      </c>
      <c r="B329" t="inlineStr">
        <is>
          <t>tuna noodle salad</t>
        </is>
      </c>
      <c r="C329" t="n">
        <v>406673</v>
      </c>
      <c r="D329" s="4" t="n">
        <v>20</v>
      </c>
      <c r="E329" s="1" t="n">
        <v>40182</v>
      </c>
      <c r="F329" t="inlineStr">
        <is>
          <t>very tasty.  a lot of pasta salads like this are long on mayonnaise and short on flavor.  this one is very satisfying.  using the oil may seem risky, but it's the secret behind the deep flavor.  a summertime favorite.</t>
        </is>
      </c>
      <c r="G329" t="n">
        <v>7</v>
      </c>
      <c r="H329" t="n">
        <v>1200</v>
      </c>
      <c r="I329">
        <f>D329*60</f>
        <v/>
      </c>
      <c r="J329">
        <f>COUNTIF(Отзывы!$D:$D, 406673)</f>
        <v/>
      </c>
    </row>
    <row r="330">
      <c r="A330" t="n">
        <v>20662</v>
      </c>
      <c r="B330" t="inlineStr">
        <is>
          <t>philadelphia chocolate royale cheesecake</t>
        </is>
      </c>
      <c r="C330" t="n">
        <v>50889</v>
      </c>
      <c r="D330" s="4" t="n">
        <v>60</v>
      </c>
      <c r="E330" s="1" t="n">
        <v>37633</v>
      </c>
      <c r="F330" t="inlineStr">
        <is>
          <t>decadent! another great recipe from philadelphia cream cheese. this is nice topped with fresh raspberries and lightly sprinkled with powdered sugar. enjoy! (no prep time was given with recipe)</t>
        </is>
      </c>
      <c r="G330" t="n">
        <v>8</v>
      </c>
      <c r="H330" t="n">
        <v>3600</v>
      </c>
      <c r="I330">
        <f>D330*60</f>
        <v/>
      </c>
      <c r="J330">
        <f>COUNTIF(Отзывы!$D:$D, 50889)</f>
        <v/>
      </c>
    </row>
    <row r="331">
      <c r="A331" t="n">
        <v>7860</v>
      </c>
      <c r="B331" t="inlineStr">
        <is>
          <t>cracked tapas patatas braves</t>
        </is>
      </c>
      <c r="C331" t="n">
        <v>112668</v>
      </c>
      <c r="D331" s="4" t="n">
        <v>30</v>
      </c>
      <c r="E331" s="1" t="n">
        <v>38415</v>
      </c>
      <c r="F331" t="inlineStr">
        <is>
          <t>a classic spanish side dish, it is basically spiced potatoes and often, though not always, includes tomatoes. patatas bravas are a delicious snack in their own right, but make a tasty accompaniment to simple dishes such as my recipe #113295 or recipe #113911.</t>
        </is>
      </c>
      <c r="H331" t="n">
        <v>1800</v>
      </c>
      <c r="I331">
        <f>D331*60</f>
        <v/>
      </c>
      <c r="J331">
        <f>COUNTIF(Отзывы!$D:$D, 112668)</f>
        <v/>
      </c>
    </row>
    <row r="332">
      <c r="A332" t="n">
        <v>13170</v>
      </c>
      <c r="B332" t="inlineStr">
        <is>
          <t>half and half substitute</t>
        </is>
      </c>
      <c r="C332" t="n">
        <v>168150</v>
      </c>
      <c r="D332" s="6" t="n">
        <v>5</v>
      </c>
      <c r="E332" s="1" t="n">
        <v>38852</v>
      </c>
      <c r="F332" t="inlineStr">
        <is>
          <t>i was going to make a recipe that require half and half, but my husband accidentally brought home whipping cream. i came across this substitute on the internet and thought i'd share it here!</t>
        </is>
      </c>
      <c r="G332" t="n">
        <v>2</v>
      </c>
      <c r="H332" t="n">
        <v>300</v>
      </c>
      <c r="I332">
        <f>D332*60</f>
        <v/>
      </c>
      <c r="J332">
        <f>COUNTIF(Отзывы!$D:$D, 168150)</f>
        <v/>
      </c>
    </row>
    <row r="333">
      <c r="A333" t="n">
        <v>7357</v>
      </c>
      <c r="B333" t="inlineStr">
        <is>
          <t>coffee malted</t>
        </is>
      </c>
      <c r="C333" t="n">
        <v>214674</v>
      </c>
      <c r="D333" s="4" t="n">
        <v>22</v>
      </c>
      <c r="E333" s="1" t="n">
        <v>39143</v>
      </c>
      <c r="F333" t="inlineStr">
        <is>
          <t>you’ll have to track down malt powder, which some stores don’t even carry these days. but if you ask the manager, he’ll probably be willing to special order it for you. chill time is prep time. cooking time is blending time.</t>
        </is>
      </c>
      <c r="G333" t="n">
        <v>5</v>
      </c>
      <c r="H333" t="n">
        <v>1320</v>
      </c>
      <c r="I333">
        <f>D333*60</f>
        <v/>
      </c>
      <c r="J333">
        <f>COUNTIF(Отзывы!$D:$D, 214674)</f>
        <v/>
      </c>
    </row>
    <row r="334">
      <c r="A334" t="n">
        <v>10804</v>
      </c>
      <c r="B334" t="inlineStr">
        <is>
          <t>faster than sun tea</t>
        </is>
      </c>
      <c r="C334" t="n">
        <v>36200</v>
      </c>
      <c r="D334" s="6" t="n">
        <v>5</v>
      </c>
      <c r="E334" s="1" t="n">
        <v>37473</v>
      </c>
      <c r="F334" t="inlineStr">
        <is>
          <t>tastes just like sun-tea, but without all the time. not bitter like boiled tea.</t>
        </is>
      </c>
      <c r="G334" t="n">
        <v>3</v>
      </c>
      <c r="H334" t="n">
        <v>300</v>
      </c>
      <c r="I334">
        <f>D334*60</f>
        <v/>
      </c>
      <c r="J334">
        <f>COUNTIF(Отзывы!$D:$D, 36200)</f>
        <v/>
      </c>
    </row>
    <row r="335">
      <c r="A335" t="n">
        <v>21993</v>
      </c>
      <c r="B335" t="inlineStr">
        <is>
          <t>quick tava rice</t>
        </is>
      </c>
      <c r="C335" t="n">
        <v>8710</v>
      </c>
      <c r="D335" s="4" t="n">
        <v>35</v>
      </c>
      <c r="E335" s="1" t="n">
        <v>36982</v>
      </c>
      <c r="F335" t="inlineStr">
        <is>
          <t>i like the appearance of the rice as much as i love its taste!</t>
        </is>
      </c>
      <c r="H335" t="n">
        <v>2100</v>
      </c>
      <c r="I335">
        <f>D335*60</f>
        <v/>
      </c>
      <c r="J335">
        <f>COUNTIF(Отзывы!$D:$D, 8710)</f>
        <v/>
      </c>
    </row>
    <row r="336">
      <c r="A336" t="n">
        <v>7007</v>
      </c>
      <c r="B336" t="inlineStr">
        <is>
          <t>cinnamon blintzes</t>
        </is>
      </c>
      <c r="C336" t="n">
        <v>81769</v>
      </c>
      <c r="D336" s="4" t="n">
        <v>50</v>
      </c>
      <c r="E336" s="1" t="n">
        <v>38008</v>
      </c>
      <c r="F336" t="inlineStr">
        <is>
          <t>an easy, make ahead and freeze sweet hors d'oeurve for a buffet table or quick sweet snack. good for brunch or coffee break too.</t>
        </is>
      </c>
      <c r="G336" t="n">
        <v>7</v>
      </c>
      <c r="H336" t="n">
        <v>3000</v>
      </c>
      <c r="I336">
        <f>D336*60</f>
        <v/>
      </c>
      <c r="J336">
        <f>COUNTIF(Отзывы!$D:$D, 81769)</f>
        <v/>
      </c>
    </row>
    <row r="337" ht="120" customHeight="1">
      <c r="A337" t="n">
        <v>26849</v>
      </c>
      <c r="B337" t="inlineStr">
        <is>
          <t>swiss steak and gravy</t>
        </is>
      </c>
      <c r="C337" t="n">
        <v>510745</v>
      </c>
      <c r="D337" s="4" t="n">
        <v>250</v>
      </c>
      <c r="E337" s="1" t="n">
        <v>41620</v>
      </c>
      <c r="F337" s="2" t="inlineStr">
        <is>
          <t>dinner is ready! 30 meals in one day – oamc_x000D_
 _x000D_
_x000D_
serves 8</t>
        </is>
      </c>
      <c r="H337" t="n">
        <v>15000</v>
      </c>
      <c r="I337">
        <f>D337*60</f>
        <v/>
      </c>
      <c r="J337">
        <f>COUNTIF(Отзывы!$D:$D, 510745)</f>
        <v/>
      </c>
    </row>
    <row r="338">
      <c r="A338" t="n">
        <v>4461</v>
      </c>
      <c r="B338" t="inlineStr">
        <is>
          <t>california bowl</t>
        </is>
      </c>
      <c r="C338" t="n">
        <v>377999</v>
      </c>
      <c r="D338" s="4" t="n">
        <v>40</v>
      </c>
      <c r="E338" s="1" t="n">
        <v>39984</v>
      </c>
      <c r="F338" t="inlineStr">
        <is>
          <t>like california rolls but don't want seaweed? not too skilled at rolling your own sushi? try this easy and flexible recipe. you can easily add or subtract whichever sushi ingredients you like to make your favorite flavor. enjoy!</t>
        </is>
      </c>
      <c r="G338" t="n">
        <v>8</v>
      </c>
      <c r="H338" t="n">
        <v>2400</v>
      </c>
      <c r="I338">
        <f>D338*60</f>
        <v/>
      </c>
      <c r="J338">
        <f>COUNTIF(Отзывы!$D:$D, 377999)</f>
        <v/>
      </c>
    </row>
    <row r="339">
      <c r="A339" t="n">
        <v>17351</v>
      </c>
      <c r="B339" t="inlineStr">
        <is>
          <t>mediterranean sauce</t>
        </is>
      </c>
      <c r="C339" t="n">
        <v>48446</v>
      </c>
      <c r="D339" s="4" t="n">
        <v>40</v>
      </c>
      <c r="E339" s="1" t="n">
        <v>37601</v>
      </c>
      <c r="G339" t="n">
        <v>9</v>
      </c>
      <c r="H339" t="n">
        <v>2400</v>
      </c>
      <c r="I339">
        <f>D339*60</f>
        <v/>
      </c>
      <c r="J339">
        <f>COUNTIF(Отзывы!$D:$D, 48446)</f>
        <v/>
      </c>
    </row>
    <row r="340">
      <c r="A340" t="n">
        <v>23312</v>
      </c>
      <c r="B340" t="inlineStr">
        <is>
          <t>samoa sheet cake</t>
        </is>
      </c>
      <c r="C340" t="n">
        <v>535312</v>
      </c>
      <c r="D340" s="4" t="n">
        <v>40</v>
      </c>
      <c r="E340" s="1" t="n">
        <v>43166</v>
      </c>
      <c r="F340" t="inlineStr">
        <is>
          <t>all the flavors of a cookie baked into a cake.</t>
        </is>
      </c>
      <c r="H340" t="n">
        <v>2400</v>
      </c>
      <c r="I340">
        <f>D340*60</f>
        <v/>
      </c>
      <c r="J340">
        <f>COUNTIF(Отзывы!$D:$D, 535312)</f>
        <v/>
      </c>
    </row>
    <row r="341">
      <c r="A341" t="n">
        <v>14669</v>
      </c>
      <c r="B341" t="inlineStr">
        <is>
          <t>italian macaroni and cheese</t>
        </is>
      </c>
      <c r="C341" t="n">
        <v>150320</v>
      </c>
      <c r="D341" s="4" t="n">
        <v>15</v>
      </c>
      <c r="E341" s="1" t="n">
        <v>38721</v>
      </c>
      <c r="F341" t="inlineStr">
        <is>
          <t>another super-easy one that kids love! they think it's cool to eat red and white mac and cheese. if you don't want to eat a raw egg simply add a little more milk.</t>
        </is>
      </c>
      <c r="H341" t="n">
        <v>900</v>
      </c>
      <c r="I341">
        <f>D341*60</f>
        <v/>
      </c>
      <c r="J341">
        <f>COUNTIF(Отзывы!$D:$D, 150320)</f>
        <v/>
      </c>
    </row>
    <row r="342">
      <c r="A342" t="n">
        <v>21078</v>
      </c>
      <c r="B342" t="inlineStr">
        <is>
          <t>pollo al ajillo  garlic chicken</t>
        </is>
      </c>
      <c r="C342" t="n">
        <v>370294</v>
      </c>
      <c r="D342" s="4" t="n">
        <v>35</v>
      </c>
      <c r="E342" s="1" t="n">
        <v>39939</v>
      </c>
      <c r="F342" t="inlineStr">
        <is>
          <t>this is the simplest dish - chicken sauteed in olive oil with garlic. the recipe is based on one provided by penelope casas in her legendary cookbook the foods and wines of spain, considered the definitive book in english on spanish cooking. you can also use wings and make tapas out of the recipe. serve with short grain rice and a light red wine.</t>
        </is>
      </c>
      <c r="G342" t="n">
        <v>4</v>
      </c>
      <c r="H342" t="n">
        <v>2100</v>
      </c>
      <c r="I342">
        <f>D342*60</f>
        <v/>
      </c>
      <c r="J342">
        <f>COUNTIF(Отзывы!$D:$D, 370294)</f>
        <v/>
      </c>
    </row>
    <row r="343">
      <c r="A343" t="n">
        <v>7796</v>
      </c>
      <c r="B343" t="inlineStr">
        <is>
          <t>crme vichyssoise glacee</t>
        </is>
      </c>
      <c r="C343" t="n">
        <v>255235</v>
      </c>
      <c r="D343" s="4" t="n">
        <v>520</v>
      </c>
      <c r="E343" s="1" t="n">
        <v>39349</v>
      </c>
      <c r="F343" t="inlineStr">
        <is>
          <t>very exquisite and yet easy to make</t>
        </is>
      </c>
      <c r="H343" t="n">
        <v>31200</v>
      </c>
      <c r="I343">
        <f>D343*60</f>
        <v/>
      </c>
      <c r="J343">
        <f>COUNTIF(Отзывы!$D:$D, 255235)</f>
        <v/>
      </c>
    </row>
    <row r="344">
      <c r="A344" t="n">
        <v>14486</v>
      </c>
      <c r="B344" t="inlineStr">
        <is>
          <t>indonesian chicken  peanut butter sauce  slow cooker</t>
        </is>
      </c>
      <c r="C344" t="n">
        <v>226947</v>
      </c>
      <c r="D344" s="4" t="n">
        <v>265</v>
      </c>
      <c r="E344" s="1" t="n">
        <v>39211</v>
      </c>
      <c r="F344" t="inlineStr">
        <is>
          <t>this is very yummy, and the smells while it is cooking are so inviting.</t>
        </is>
      </c>
      <c r="G344" t="n">
        <v>13</v>
      </c>
      <c r="H344" t="n">
        <v>15900</v>
      </c>
      <c r="I344">
        <f>D344*60</f>
        <v/>
      </c>
      <c r="J344">
        <f>COUNTIF(Отзывы!$D:$D, 226947)</f>
        <v/>
      </c>
    </row>
    <row r="345">
      <c r="A345" t="n">
        <v>25013</v>
      </c>
      <c r="B345" t="inlineStr">
        <is>
          <t>southwestern quinoa chowder</t>
        </is>
      </c>
      <c r="C345" t="n">
        <v>468449</v>
      </c>
      <c r="D345" s="4" t="n">
        <v>45</v>
      </c>
      <c r="E345" s="1" t="n">
        <v>40865</v>
      </c>
      <c r="F345" t="inlineStr">
        <is>
          <t>a warm, filling soup with a zip – great for cold weather!  if you prefer a little less spicy heat, feel free to reduce the cayenne pepper to your taste.</t>
        </is>
      </c>
      <c r="H345" t="n">
        <v>2700</v>
      </c>
      <c r="I345">
        <f>D345*60</f>
        <v/>
      </c>
      <c r="J345">
        <f>COUNTIF(Отзывы!$D:$D, 468449)</f>
        <v/>
      </c>
    </row>
    <row r="346">
      <c r="A346" t="n">
        <v>29148</v>
      </c>
      <c r="B346" t="inlineStr">
        <is>
          <t>weight watchers strawberry pie</t>
        </is>
      </c>
      <c r="C346" t="n">
        <v>305194</v>
      </c>
      <c r="D346" s="4" t="n">
        <v>250</v>
      </c>
      <c r="E346" s="1" t="n">
        <v>39596</v>
      </c>
      <c r="F346" t="inlineStr">
        <is>
          <t>from a co-worker. 6 points per serving.</t>
        </is>
      </c>
      <c r="G346" t="n">
        <v>4</v>
      </c>
      <c r="H346" t="n">
        <v>15000</v>
      </c>
      <c r="I346">
        <f>D346*60</f>
        <v/>
      </c>
      <c r="J346">
        <f>COUNTIF(Отзывы!$D:$D, 305194)</f>
        <v/>
      </c>
    </row>
    <row r="347">
      <c r="A347" t="n">
        <v>8332</v>
      </c>
      <c r="B347" t="inlineStr">
        <is>
          <t>creamy pistachio soup</t>
        </is>
      </c>
      <c r="C347" t="n">
        <v>213692</v>
      </c>
      <c r="D347" s="4" t="n">
        <v>60</v>
      </c>
      <c r="E347" s="1" t="n">
        <v>39137</v>
      </c>
      <c r="F347" t="inlineStr">
        <is>
          <t>i bought a huuuuuge bag of shelled pistachios at sam's club today after seeing a delicious-sounding recipe in the latest issue of gourmet. this actually isn't that recipe, but before i could input it, i ran across this one and freaked out. in a good way. (i think.) can't wait to try this -- it sounds awesome.</t>
        </is>
      </c>
      <c r="G347" t="n">
        <v>13</v>
      </c>
      <c r="H347" t="n">
        <v>3600</v>
      </c>
      <c r="I347">
        <f>D347*60</f>
        <v/>
      </c>
      <c r="J347">
        <f>COUNTIF(Отзывы!$D:$D, 213692)</f>
        <v/>
      </c>
    </row>
    <row r="348">
      <c r="A348" t="n">
        <v>7304</v>
      </c>
      <c r="B348" t="inlineStr">
        <is>
          <t>coconut milk frosting</t>
        </is>
      </c>
      <c r="C348" t="n">
        <v>89020</v>
      </c>
      <c r="D348" s="6" t="n">
        <v>10</v>
      </c>
      <c r="E348" s="1" t="n">
        <v>38092</v>
      </c>
      <c r="F348" t="inlineStr">
        <is>
          <t>found in southern living magazine.</t>
        </is>
      </c>
      <c r="G348" t="n">
        <v>6</v>
      </c>
      <c r="H348" t="n">
        <v>600</v>
      </c>
      <c r="I348">
        <f>D348*60</f>
        <v/>
      </c>
      <c r="J348">
        <f>COUNTIF(Отзывы!$D:$D, 89020)</f>
        <v/>
      </c>
    </row>
    <row r="349">
      <c r="A349" t="n">
        <v>11586</v>
      </c>
      <c r="B349" t="inlineStr">
        <is>
          <t>fruit  spice cake   not  a christmas fruit cake</t>
        </is>
      </c>
      <c r="C349" t="n">
        <v>161055</v>
      </c>
      <c r="D349" s="4" t="n">
        <v>75</v>
      </c>
      <c r="E349" s="1" t="n">
        <v>38798</v>
      </c>
      <c r="F349" t="inlineStr">
        <is>
          <t>this is a wonderful moist and rich cake.  if you like to can peaches in the summer this is perfect for you.  it is a good way to use up old bottled fruit.  requires no eggs!</t>
        </is>
      </c>
      <c r="G349" t="n">
        <v>12</v>
      </c>
      <c r="H349" t="n">
        <v>4500</v>
      </c>
      <c r="I349">
        <f>D349*60</f>
        <v/>
      </c>
      <c r="J349">
        <f>COUNTIF(Отзывы!$D:$D, 161055)</f>
        <v/>
      </c>
    </row>
    <row r="350">
      <c r="A350" t="n">
        <v>14673</v>
      </c>
      <c r="B350" t="inlineStr">
        <is>
          <t>italian meatballs in spinach cream sauce</t>
        </is>
      </c>
      <c r="C350" t="n">
        <v>203303</v>
      </c>
      <c r="D350" s="4" t="n">
        <v>50</v>
      </c>
      <c r="E350" s="1" t="n">
        <v>39085</v>
      </c>
      <c r="F350" t="inlineStr">
        <is>
          <t>frozen meatballs in a creamy spinach sauce. a quick easy dinner, that my family loves.</t>
        </is>
      </c>
      <c r="G350" t="n">
        <v>9</v>
      </c>
      <c r="H350" t="n">
        <v>3000</v>
      </c>
      <c r="I350">
        <f>D350*60</f>
        <v/>
      </c>
      <c r="J350">
        <f>COUNTIF(Отзывы!$D:$D, 203303)</f>
        <v/>
      </c>
    </row>
    <row r="351">
      <c r="A351" t="n">
        <v>20041</v>
      </c>
      <c r="B351" t="inlineStr">
        <is>
          <t>pate brisee</t>
        </is>
      </c>
      <c r="C351" t="n">
        <v>62517</v>
      </c>
      <c r="D351" s="4" t="n">
        <v>15</v>
      </c>
      <c r="E351" s="1" t="n">
        <v>37760</v>
      </c>
      <c r="F351" t="inlineStr">
        <is>
          <t>a versatile pastry for sweet and savoury pies and tarts.</t>
        </is>
      </c>
      <c r="G351" t="n">
        <v>5</v>
      </c>
      <c r="H351" t="n">
        <v>900</v>
      </c>
      <c r="I351">
        <f>D351*60</f>
        <v/>
      </c>
      <c r="J351">
        <f>COUNTIF(Отзывы!$D:$D, 62517)</f>
        <v/>
      </c>
    </row>
    <row r="352">
      <c r="A352" t="n">
        <v>774</v>
      </c>
      <c r="B352" t="inlineStr">
        <is>
          <t>antipasta sauce   canning</t>
        </is>
      </c>
      <c r="C352" t="n">
        <v>39398</v>
      </c>
      <c r="D352" s="4" t="n">
        <v>145</v>
      </c>
      <c r="E352" s="1" t="n">
        <v>37503</v>
      </c>
      <c r="F352" t="inlineStr">
        <is>
          <t>serve with stoned wheat thins as an appetizer--they will want more. you could add jalapeno peppers if you like "hot".</t>
        </is>
      </c>
      <c r="G352" t="n">
        <v>14</v>
      </c>
      <c r="H352" t="n">
        <v>8700</v>
      </c>
      <c r="I352">
        <f>D352*60</f>
        <v/>
      </c>
      <c r="J352">
        <f>COUNTIF(Отзывы!$D:$D, 39398)</f>
        <v/>
      </c>
    </row>
    <row r="353">
      <c r="A353" t="n">
        <v>15837</v>
      </c>
      <c r="B353" t="inlineStr">
        <is>
          <t>lemon cheesecake</t>
        </is>
      </c>
      <c r="C353" t="n">
        <v>12321</v>
      </c>
      <c r="D353" s="4" t="n">
        <v>20</v>
      </c>
      <c r="E353" s="1" t="n">
        <v>37166</v>
      </c>
      <c r="F353" t="inlineStr">
        <is>
          <t>my favourite cheesecake--lovely and lemony.  if you serve it plain, try it with some fresh strawberries dipped in chocolate!</t>
        </is>
      </c>
      <c r="H353" t="n">
        <v>1200</v>
      </c>
      <c r="I353">
        <f>D353*60</f>
        <v/>
      </c>
      <c r="J353">
        <f>COUNTIF(Отзывы!$D:$D, 12321)</f>
        <v/>
      </c>
    </row>
    <row r="354" ht="330" customHeight="1">
      <c r="A354" t="n">
        <v>19675</v>
      </c>
      <c r="B354" t="inlineStr">
        <is>
          <t>pacific island   baked papaya dessert</t>
        </is>
      </c>
      <c r="C354" t="n">
        <v>455090</v>
      </c>
      <c r="D354" s="4" t="n">
        <v>105</v>
      </c>
      <c r="E354" s="1" t="n">
        <v>40668</v>
      </c>
      <c r="F354" s="2" t="inlineStr">
        <is>
          <t>this recipe was taken from a pacific island web site for the zwt-7 tour of the south pacific._x000D_
_x000D_
it sounds like a tasty quick and easy to make dish.</t>
        </is>
      </c>
      <c r="H354" t="n">
        <v>6300</v>
      </c>
      <c r="I354">
        <f>D354*60</f>
        <v/>
      </c>
      <c r="J354">
        <f>COUNTIF(Отзывы!$D:$D, 455090)</f>
        <v/>
      </c>
    </row>
    <row r="355">
      <c r="A355" t="n">
        <v>27063</v>
      </c>
      <c r="B355" t="inlineStr">
        <is>
          <t>tasty tomato chicken casserole</t>
        </is>
      </c>
      <c r="C355" t="n">
        <v>217048</v>
      </c>
      <c r="D355" s="4" t="n">
        <v>70</v>
      </c>
      <c r="E355" s="1" t="n">
        <v>39156</v>
      </c>
      <c r="F355" t="inlineStr">
        <is>
          <t>adapted from a kiwi cookbook</t>
        </is>
      </c>
      <c r="G355" t="n">
        <v>8</v>
      </c>
      <c r="H355" t="n">
        <v>4200</v>
      </c>
      <c r="I355">
        <f>D355*60</f>
        <v/>
      </c>
      <c r="J355">
        <f>COUNTIF(Отзывы!$D:$D, 217048)</f>
        <v/>
      </c>
    </row>
    <row r="356">
      <c r="A356" t="n">
        <v>24354</v>
      </c>
      <c r="B356" t="inlineStr">
        <is>
          <t>sister schubert s parker house rolls</t>
        </is>
      </c>
      <c r="C356" t="n">
        <v>80788</v>
      </c>
      <c r="D356" s="4" t="n">
        <v>195</v>
      </c>
      <c r="E356" s="1" t="n">
        <v>37997</v>
      </c>
      <c r="F356" t="inlineStr">
        <is>
          <t>i recently discovered sister schubert's dinner rolls in the freezer section of our local grocery store and they are delicious and so soft! however, they recently stopped carrying them so i was so happy to find this recipe. i have not tried it yet, but will real soon. prep time is just a guess.</t>
        </is>
      </c>
      <c r="G356" t="n">
        <v>9</v>
      </c>
      <c r="H356" t="n">
        <v>11700</v>
      </c>
      <c r="I356">
        <f>D356*60</f>
        <v/>
      </c>
      <c r="J356">
        <f>COUNTIF(Отзывы!$D:$D, 80788)</f>
        <v/>
      </c>
    </row>
    <row r="357">
      <c r="A357" t="n">
        <v>5638</v>
      </c>
      <c r="B357" t="inlineStr">
        <is>
          <t>chicken and ziti bake recipe</t>
        </is>
      </c>
      <c r="C357" t="n">
        <v>213314</v>
      </c>
      <c r="D357" s="4" t="n">
        <v>35</v>
      </c>
      <c r="E357" s="1" t="n">
        <v>39136</v>
      </c>
      <c r="F357" t="inlineStr">
        <is>
          <t>simple and easy</t>
        </is>
      </c>
      <c r="G357" t="n">
        <v>10</v>
      </c>
      <c r="H357" t="n">
        <v>2100</v>
      </c>
      <c r="I357">
        <f>D357*60</f>
        <v/>
      </c>
      <c r="J357">
        <f>COUNTIF(Отзывы!$D:$D, 213314)</f>
        <v/>
      </c>
    </row>
    <row r="358">
      <c r="A358" t="n">
        <v>11888</v>
      </c>
      <c r="B358" t="inlineStr">
        <is>
          <t>georgia pecan balls</t>
        </is>
      </c>
      <c r="C358" t="n">
        <v>271148</v>
      </c>
      <c r="D358" s="4" t="n">
        <v>35</v>
      </c>
      <c r="E358" s="1" t="n">
        <v>39428</v>
      </c>
      <c r="F358" t="inlineStr">
        <is>
          <t>delicate little morsels from the southern chapter of the united states regional cookbook, culinary arts institute of chicago, 1947</t>
        </is>
      </c>
      <c r="G358" t="n">
        <v>6</v>
      </c>
      <c r="H358" t="n">
        <v>2100</v>
      </c>
      <c r="I358">
        <f>D358*60</f>
        <v/>
      </c>
      <c r="J358">
        <f>COUNTIF(Отзывы!$D:$D, 271148)</f>
        <v/>
      </c>
    </row>
    <row r="359">
      <c r="A359" t="n">
        <v>29638</v>
      </c>
      <c r="B359" t="inlineStr">
        <is>
          <t>yam and apple soup</t>
        </is>
      </c>
      <c r="C359" t="n">
        <v>334172</v>
      </c>
      <c r="D359" s="4" t="n">
        <v>40</v>
      </c>
      <c r="E359" s="1" t="n">
        <v>39751</v>
      </c>
      <c r="F359" t="inlineStr">
        <is>
          <t>the original of this recipe came from the simply healthy lowfat cookbook, 1995, but has been tweaked a little.</t>
        </is>
      </c>
      <c r="G359" t="n">
        <v>12</v>
      </c>
      <c r="H359" t="n">
        <v>2400</v>
      </c>
      <c r="I359">
        <f>D359*60</f>
        <v/>
      </c>
      <c r="J359">
        <f>COUNTIF(Отзывы!$D:$D, 334172)</f>
        <v/>
      </c>
    </row>
    <row r="360">
      <c r="A360" t="n">
        <v>16291</v>
      </c>
      <c r="B360" t="inlineStr">
        <is>
          <t>lite gravy</t>
        </is>
      </c>
      <c r="C360" t="n">
        <v>145345</v>
      </c>
      <c r="D360" s="4" t="n">
        <v>25</v>
      </c>
      <c r="E360" s="1" t="n">
        <v>38673</v>
      </c>
      <c r="F360" t="inlineStr">
        <is>
          <t>delicious!</t>
        </is>
      </c>
      <c r="G360" t="n">
        <v>8</v>
      </c>
      <c r="H360" t="n">
        <v>1500</v>
      </c>
      <c r="I360">
        <f>D360*60</f>
        <v/>
      </c>
      <c r="J360">
        <f>COUNTIF(Отзывы!$D:$D, 145345)</f>
        <v/>
      </c>
    </row>
    <row r="361">
      <c r="A361" t="n">
        <v>5391</v>
      </c>
      <c r="B361" t="inlineStr">
        <is>
          <t>cherry chocolate frosty</t>
        </is>
      </c>
      <c r="C361" t="n">
        <v>417602</v>
      </c>
      <c r="D361" s="5" t="n">
        <v>2</v>
      </c>
      <c r="E361" s="1" t="n">
        <v>40259</v>
      </c>
      <c r="F361" t="inlineStr">
        <is>
          <t>the recipe for this wonderfully cool drink was found in the favorite brand name recipes, may 2010 cookbooklet, smoothies and summer drinks.</t>
        </is>
      </c>
      <c r="H361" t="n">
        <v>120</v>
      </c>
      <c r="I361">
        <f>D361*60</f>
        <v/>
      </c>
      <c r="J361">
        <f>COUNTIF(Отзывы!$D:$D, 417602)</f>
        <v/>
      </c>
    </row>
    <row r="362">
      <c r="A362" t="n">
        <v>6929</v>
      </c>
      <c r="B362" t="inlineStr">
        <is>
          <t>chunky navy bean soup</t>
        </is>
      </c>
      <c r="C362" t="n">
        <v>23805</v>
      </c>
      <c r="D362" s="4" t="n">
        <v>1680</v>
      </c>
      <c r="E362" s="1" t="n">
        <v>37343</v>
      </c>
      <c r="F362" t="inlineStr">
        <is>
          <t>a nice thick version on regular navy bean soup. i usually serve with hot cornbread and butter, maybe a few green onions on the side. you could use bacon instead of the ham hock.</t>
        </is>
      </c>
      <c r="H362" t="n">
        <v>100800</v>
      </c>
      <c r="I362">
        <f>D362*60</f>
        <v/>
      </c>
      <c r="J362">
        <f>COUNTIF(Отзывы!$D:$D, 23805)</f>
        <v/>
      </c>
    </row>
    <row r="363">
      <c r="A363" t="n">
        <v>29221</v>
      </c>
      <c r="B363" t="inlineStr">
        <is>
          <t>white bean and garlic dip</t>
        </is>
      </c>
      <c r="C363" t="n">
        <v>264108</v>
      </c>
      <c r="D363" s="6" t="n">
        <v>5</v>
      </c>
      <c r="E363" s="1" t="n">
        <v>39393</v>
      </c>
      <c r="F363" t="inlineStr">
        <is>
          <t>from australian bh&amp;g diabetic living issue 12 2007.</t>
        </is>
      </c>
      <c r="G363" t="n">
        <v>8</v>
      </c>
      <c r="H363" t="n">
        <v>300</v>
      </c>
      <c r="I363">
        <f>D363*60</f>
        <v/>
      </c>
      <c r="J363">
        <f>COUNTIF(Отзывы!$D:$D, 264108)</f>
        <v/>
      </c>
    </row>
    <row r="364">
      <c r="A364" t="n">
        <v>5365</v>
      </c>
      <c r="B364" t="inlineStr">
        <is>
          <t>cherokee indian curry aaa steak sauce</t>
        </is>
      </c>
      <c r="C364" t="n">
        <v>31976</v>
      </c>
      <c r="D364" s="4" t="n">
        <v>30</v>
      </c>
      <c r="E364" s="1" t="n">
        <v>37430</v>
      </c>
      <c r="F364" t="inlineStr">
        <is>
          <t>i got this recipe from newman's own cookbook. a nice twist.</t>
        </is>
      </c>
      <c r="H364" t="n">
        <v>1800</v>
      </c>
      <c r="I364">
        <f>D364*60</f>
        <v/>
      </c>
      <c r="J364">
        <f>COUNTIF(Отзывы!$D:$D, 31976)</f>
        <v/>
      </c>
    </row>
    <row r="365">
      <c r="A365" t="n">
        <v>26480</v>
      </c>
      <c r="B365" t="inlineStr">
        <is>
          <t>super simple spicy ketchup</t>
        </is>
      </c>
      <c r="C365" t="n">
        <v>363094</v>
      </c>
      <c r="D365" s="5" t="n">
        <v>2</v>
      </c>
      <c r="E365" s="1" t="n">
        <v>39899</v>
      </c>
      <c r="F365" t="inlineStr">
        <is>
          <t>my boyfriend is seriously addicted to this stuff.  just use it in the right proportion and it can be scaled to any volume. great on burgers, fries, eggs, just about anything you would already use with ketchup.</t>
        </is>
      </c>
      <c r="H365" t="n">
        <v>120</v>
      </c>
      <c r="I365">
        <f>D365*60</f>
        <v/>
      </c>
      <c r="J365">
        <f>COUNTIF(Отзывы!$D:$D, 363094)</f>
        <v/>
      </c>
    </row>
    <row r="366">
      <c r="A366" t="n">
        <v>11912</v>
      </c>
      <c r="B366" t="inlineStr">
        <is>
          <t>german fresh fruit kuchen  bread machine</t>
        </is>
      </c>
      <c r="C366" t="n">
        <v>90215</v>
      </c>
      <c r="D366" s="4" t="n">
        <v>40</v>
      </c>
      <c r="E366" s="1" t="n">
        <v>38107</v>
      </c>
      <c r="F366" t="inlineStr">
        <is>
          <t>fresh fruit kuchen, a summertime favorite and, with the help of a bread machine, is especially easy to prepare. it makes a delicious start to a lazy summer day when you want to hurry off to the beach or another favorite activity. try it with juicy nectarines, peaches, plums or pears. the recipe calls for all-purpose flour to make the coffee cake especially light and tender. dough can be prepared in all-size bread machines.</t>
        </is>
      </c>
      <c r="H366" t="n">
        <v>2400</v>
      </c>
      <c r="I366">
        <f>D366*60</f>
        <v/>
      </c>
      <c r="J366">
        <f>COUNTIF(Отзывы!$D:$D, 90215)</f>
        <v/>
      </c>
    </row>
    <row r="367">
      <c r="A367" t="n">
        <v>25682</v>
      </c>
      <c r="B367" t="inlineStr">
        <is>
          <t>spinach stuffed chicken breast wrapped in bacon</t>
        </is>
      </c>
      <c r="C367" t="n">
        <v>463321</v>
      </c>
      <c r="D367" s="4" t="n">
        <v>55</v>
      </c>
      <c r="E367" s="1" t="n">
        <v>40785</v>
      </c>
      <c r="F367" t="inlineStr">
        <is>
          <t>i've looked for a recipe like this one and couldn't find one as simple as i would have liked.  so i've made my own.  i serve with brown rice and veggies.</t>
        </is>
      </c>
      <c r="G367" t="n">
        <v>6</v>
      </c>
      <c r="H367" t="n">
        <v>3300</v>
      </c>
      <c r="I367">
        <f>D367*60</f>
        <v/>
      </c>
      <c r="J367">
        <f>COUNTIF(Отзывы!$D:$D, 463321)</f>
        <v/>
      </c>
    </row>
    <row r="368">
      <c r="A368" t="n">
        <v>26</v>
      </c>
      <c r="B368" t="inlineStr">
        <is>
          <t>pasta  with shrimp   eggplant</t>
        </is>
      </c>
      <c r="C368" t="n">
        <v>223349</v>
      </c>
      <c r="D368" s="4" t="n">
        <v>50</v>
      </c>
      <c r="E368" s="1" t="n">
        <v>39190</v>
      </c>
      <c r="F368" t="inlineStr">
        <is>
          <t>a nice low carb way to feel like you are eating pasta!</t>
        </is>
      </c>
      <c r="G368" t="n">
        <v>9</v>
      </c>
      <c r="H368" t="n">
        <v>3000</v>
      </c>
      <c r="I368">
        <f>D368*60</f>
        <v/>
      </c>
      <c r="J368">
        <f>COUNTIF(Отзывы!$D:$D, 223349)</f>
        <v/>
      </c>
    </row>
    <row r="369">
      <c r="A369" t="n">
        <v>15974</v>
      </c>
      <c r="B369" t="inlineStr">
        <is>
          <t>lemon verbena blueberry scones</t>
        </is>
      </c>
      <c r="C369" t="n">
        <v>430349</v>
      </c>
      <c r="D369" s="4" t="n">
        <v>40</v>
      </c>
      <c r="E369" s="1" t="n">
        <v>40348</v>
      </c>
      <c r="F369" t="inlineStr">
        <is>
          <t>i have an abundance of lemon verbena growing in my herb garden, and am constantly on the lookout for verbena recipes. if you are a lemon lover as i am, you will love growing this herb (aloysia triphylla/ a. citrodora). verbena's exquisite lemony fragrance can be enjoyed in a myriad of treats ranging from lemonade to sorbet to scones to potpourri. add a little finely grated lemon zest for stronger lemon flavor. these scones are extra lemony-heavenly glazed with my recipe #411928, and served with my recipe #416273. best eaten warm and on the day they are made. enjoy! recipe adapted from an on-line source.</t>
        </is>
      </c>
      <c r="G369" t="n">
        <v>13</v>
      </c>
      <c r="H369" t="n">
        <v>2400</v>
      </c>
      <c r="I369">
        <f>D369*60</f>
        <v/>
      </c>
      <c r="J369">
        <f>COUNTIF(Отзывы!$D:$D, 430349)</f>
        <v/>
      </c>
    </row>
    <row r="370">
      <c r="A370" t="n">
        <v>23088</v>
      </c>
      <c r="B370" t="inlineStr">
        <is>
          <t>rutabaga  yellow turnip or swede  apple gratin</t>
        </is>
      </c>
      <c r="C370" t="n">
        <v>84042</v>
      </c>
      <c r="D370" s="4" t="n">
        <v>65</v>
      </c>
      <c r="E370" s="1" t="n">
        <v>38032</v>
      </c>
      <c r="F370" t="inlineStr">
        <is>
          <t>just look at the calories in this dish and it is very reasonable to make! i love this winter dish, the apples give a balance to the rutabagas strong flavor, if you wish use turnips instead they are very similar. if you are not watching calories double the gratin</t>
        </is>
      </c>
      <c r="G370" t="n">
        <v>10</v>
      </c>
      <c r="H370" t="n">
        <v>3900</v>
      </c>
      <c r="I370">
        <f>D370*60</f>
        <v/>
      </c>
      <c r="J370">
        <f>COUNTIF(Отзывы!$D:$D, 84042)</f>
        <v/>
      </c>
    </row>
    <row r="371">
      <c r="A371" t="n">
        <v>1651</v>
      </c>
      <c r="B371" t="inlineStr">
        <is>
          <t>bacon cheeseburger pasta</t>
        </is>
      </c>
      <c r="C371" t="n">
        <v>346612</v>
      </c>
      <c r="D371" s="4" t="n">
        <v>20</v>
      </c>
      <c r="E371" s="1" t="n">
        <v>39815</v>
      </c>
      <c r="F371" t="inlineStr">
        <is>
          <t>comfort food at its best!</t>
        </is>
      </c>
      <c r="G371" t="n">
        <v>7</v>
      </c>
      <c r="H371" t="n">
        <v>1200</v>
      </c>
      <c r="I371">
        <f>D371*60</f>
        <v/>
      </c>
      <c r="J371">
        <f>COUNTIF(Отзывы!$D:$D, 346612)</f>
        <v/>
      </c>
    </row>
    <row r="372">
      <c r="A372" t="n">
        <v>12591</v>
      </c>
      <c r="B372" t="inlineStr">
        <is>
          <t>greek salad pinwheels</t>
        </is>
      </c>
      <c r="C372" t="n">
        <v>404689</v>
      </c>
      <c r="D372" s="4" t="n">
        <v>70</v>
      </c>
      <c r="E372" s="1" t="n">
        <v>40168</v>
      </c>
      <c r="F372" t="inlineStr">
        <is>
          <t>terribly addictive party food but it's reasonably healthy so that's ok. cooking time is chill time. edited due to reviews: they can get a bit overly wet, try making the salad a few hours to a day beforehand and then scooping out with a slotted spoon to leave the liquid behind. this also infuses the veggies like a marinade. they wont be terrible colourful unless you use a light-coloured vinegar and mix the dressing in right before serving. i like balsamic but i generally choose taste over appearances if i have to choose.</t>
        </is>
      </c>
      <c r="G372" t="n">
        <v>11</v>
      </c>
      <c r="H372" t="n">
        <v>4200</v>
      </c>
      <c r="I372">
        <f>D372*60</f>
        <v/>
      </c>
      <c r="J372">
        <f>COUNTIF(Отзывы!$D:$D, 404689)</f>
        <v/>
      </c>
    </row>
    <row r="373">
      <c r="A373" t="n">
        <v>25643</v>
      </c>
      <c r="B373" t="inlineStr">
        <is>
          <t>spinach manicotti</t>
        </is>
      </c>
      <c r="C373" t="n">
        <v>164778</v>
      </c>
      <c r="D373" s="4" t="n">
        <v>50</v>
      </c>
      <c r="E373" s="1" t="n">
        <v>38824</v>
      </c>
      <c r="F373" t="inlineStr">
        <is>
          <t>manocotti noodles stuffed with a spinach and cheese mixture. a very good meal that can be made with low fat ingredients for a nice meal on a diet!</t>
        </is>
      </c>
      <c r="H373" t="n">
        <v>3000</v>
      </c>
      <c r="I373">
        <f>D373*60</f>
        <v/>
      </c>
      <c r="J373">
        <f>COUNTIF(Отзывы!$D:$D, 164778)</f>
        <v/>
      </c>
    </row>
    <row r="374" ht="120" customHeight="1">
      <c r="A374" t="n">
        <v>14206</v>
      </c>
      <c r="B374" t="inlineStr">
        <is>
          <t>hot gingered cider</t>
        </is>
      </c>
      <c r="C374" t="n">
        <v>134534</v>
      </c>
      <c r="D374" s="4" t="n">
        <v>15</v>
      </c>
      <c r="E374" s="1" t="n">
        <v>38587</v>
      </c>
      <c r="F374" s="2" t="inlineStr">
        <is>
          <t>for those cold winter nights...._x000D_
(source - supermarket flyer)</t>
        </is>
      </c>
      <c r="G374" t="n">
        <v>5</v>
      </c>
      <c r="H374" t="n">
        <v>900</v>
      </c>
      <c r="I374">
        <f>D374*60</f>
        <v/>
      </c>
      <c r="J374">
        <f>COUNTIF(Отзывы!$D:$D, 134534)</f>
        <v/>
      </c>
    </row>
    <row r="375">
      <c r="A375" t="n">
        <v>19862</v>
      </c>
      <c r="B375" t="inlineStr">
        <is>
          <t>parmesan dipping seasoning  for  bread</t>
        </is>
      </c>
      <c r="C375" t="n">
        <v>110428</v>
      </c>
      <c r="D375" s="6" t="n">
        <v>10</v>
      </c>
      <c r="E375" s="1" t="n">
        <v>38390</v>
      </c>
      <c r="F375" t="inlineStr">
        <is>
          <t>for zewbiedoo... =) this is an effort to copycat an excellent mixture of spices found in a commercial mixture. it's not exact but it's pretty close.</t>
        </is>
      </c>
      <c r="H375" t="n">
        <v>600</v>
      </c>
      <c r="I375">
        <f>D375*60</f>
        <v/>
      </c>
      <c r="J375">
        <f>COUNTIF(Отзывы!$D:$D, 110428)</f>
        <v/>
      </c>
    </row>
    <row r="376">
      <c r="A376" t="n">
        <v>6208</v>
      </c>
      <c r="B376" t="inlineStr">
        <is>
          <t>chiles rellenos with roasted red pepper sauce</t>
        </is>
      </c>
      <c r="C376" t="n">
        <v>295756</v>
      </c>
      <c r="D376" s="4" t="n">
        <v>75</v>
      </c>
      <c r="E376" s="1" t="n">
        <v>39539</v>
      </c>
      <c r="F376" t="inlineStr">
        <is>
          <t>this makes a nice main dish for your mexican-themed dinner or party.  from good food magazine may 1988.</t>
        </is>
      </c>
      <c r="G376" t="n">
        <v>12</v>
      </c>
      <c r="H376" t="n">
        <v>4500</v>
      </c>
      <c r="I376">
        <f>D376*60</f>
        <v/>
      </c>
      <c r="J376">
        <f>COUNTIF(Отзывы!$D:$D, 295756)</f>
        <v/>
      </c>
    </row>
    <row r="377">
      <c r="A377" t="n">
        <v>23027</v>
      </c>
      <c r="B377" t="inlineStr">
        <is>
          <t>rouladen  rolmups</t>
        </is>
      </c>
      <c r="C377" t="n">
        <v>102793</v>
      </c>
      <c r="D377" s="4" t="n">
        <v>125</v>
      </c>
      <c r="E377" s="1" t="n">
        <v>38287</v>
      </c>
      <c r="F377" t="inlineStr">
        <is>
          <t>this is my mothers recipe adjusted from my step-dad's german grandmother</t>
        </is>
      </c>
      <c r="H377" t="n">
        <v>7500</v>
      </c>
      <c r="I377">
        <f>D377*60</f>
        <v/>
      </c>
      <c r="J377">
        <f>COUNTIF(Отзывы!$D:$D, 102793)</f>
        <v/>
      </c>
    </row>
    <row r="378">
      <c r="A378" t="n">
        <v>22331</v>
      </c>
      <c r="B378" t="inlineStr">
        <is>
          <t>red lentil stew with yogurt sauce</t>
        </is>
      </c>
      <c r="C378" t="n">
        <v>219818</v>
      </c>
      <c r="D378" s="4" t="n">
        <v>45</v>
      </c>
      <c r="E378" s="1" t="n">
        <v>39171</v>
      </c>
      <c r="F378" t="inlineStr">
        <is>
          <t>this is from cooking light magazine. this recipe uses an immersion blender but a regular blender could also be used.</t>
        </is>
      </c>
      <c r="G378" t="n">
        <v>13</v>
      </c>
      <c r="H378" t="n">
        <v>2700</v>
      </c>
      <c r="I378">
        <f>D378*60</f>
        <v/>
      </c>
      <c r="J378">
        <f>COUNTIF(Отзывы!$D:$D, 219818)</f>
        <v/>
      </c>
    </row>
    <row r="379" ht="300" customHeight="1">
      <c r="A379" t="n">
        <v>7780</v>
      </c>
      <c r="B379" t="inlineStr">
        <is>
          <t>cowboy and indians soup   chuck wagon chili crock pot</t>
        </is>
      </c>
      <c r="C379" t="n">
        <v>198950</v>
      </c>
      <c r="D379" s="4" t="n">
        <v>375</v>
      </c>
      <c r="E379" s="1" t="n">
        <v>39054</v>
      </c>
      <c r="F379" s="2" t="inlineStr">
        <is>
          <t>i got this recipe out of the local paper this week.  i'm making it today.  it looks great._x000D_
guessing on the servings and the package size of the chili mix.</t>
        </is>
      </c>
      <c r="G379" t="n">
        <v>7</v>
      </c>
      <c r="H379" t="n">
        <v>22500</v>
      </c>
      <c r="I379">
        <f>D379*60</f>
        <v/>
      </c>
      <c r="J379">
        <f>COUNTIF(Отзывы!$D:$D, 198950)</f>
        <v/>
      </c>
    </row>
    <row r="380">
      <c r="A380" t="n">
        <v>61</v>
      </c>
      <c r="B380" t="inlineStr">
        <is>
          <t>pizza  beans</t>
        </is>
      </c>
      <c r="C380" t="n">
        <v>299968</v>
      </c>
      <c r="D380" s="4" t="n">
        <v>110</v>
      </c>
      <c r="E380" s="1" t="n">
        <v>39560</v>
      </c>
      <c r="F380" t="inlineStr">
        <is>
          <t>i make this often for my son, who gave the dish it's name.  he claims it tastes like pizza - i'm not so sure...</t>
        </is>
      </c>
      <c r="G380" t="n">
        <v>12</v>
      </c>
      <c r="H380" t="n">
        <v>6600</v>
      </c>
      <c r="I380">
        <f>D380*60</f>
        <v/>
      </c>
      <c r="J380">
        <f>COUNTIF(Отзывы!$D:$D, 299968)</f>
        <v/>
      </c>
    </row>
    <row r="381">
      <c r="A381" t="n">
        <v>6004</v>
      </c>
      <c r="B381" t="inlineStr">
        <is>
          <t>chicken stock using carcass</t>
        </is>
      </c>
      <c r="C381" t="n">
        <v>171834</v>
      </c>
      <c r="D381" s="4" t="n">
        <v>250</v>
      </c>
      <c r="E381" s="1" t="n">
        <v>38875</v>
      </c>
      <c r="F381" t="inlineStr">
        <is>
          <t>a good way to make stock from a left-over chicken carcass if you've diced it up for other cuts but some meat is remaining.</t>
        </is>
      </c>
      <c r="G381" t="n">
        <v>8</v>
      </c>
      <c r="H381" t="n">
        <v>15000</v>
      </c>
      <c r="I381">
        <f>D381*60</f>
        <v/>
      </c>
      <c r="J381">
        <f>COUNTIF(Отзывы!$D:$D, 171834)</f>
        <v/>
      </c>
    </row>
    <row r="382">
      <c r="A382" t="n">
        <v>19072</v>
      </c>
      <c r="B382" t="inlineStr">
        <is>
          <t>old fashioned sweet cucumber pickle</t>
        </is>
      </c>
      <c r="C382" t="n">
        <v>179670</v>
      </c>
      <c r="D382" s="4" t="n">
        <v>20340</v>
      </c>
      <c r="E382" s="1" t="n">
        <v>38927</v>
      </c>
      <c r="F382" t="inlineStr">
        <is>
          <t>these are wonderful pickles that probably go back several generations.  i love them and so does everyone i serve them to.  be warned - they take 2 weeks to complete but they only need a few minutes attention each day.</t>
        </is>
      </c>
      <c r="G382" t="n">
        <v>12</v>
      </c>
      <c r="H382" t="n">
        <v>1220400</v>
      </c>
      <c r="I382">
        <f>D382*60</f>
        <v/>
      </c>
      <c r="J382">
        <f>COUNTIF(Отзывы!$D:$D, 179670)</f>
        <v/>
      </c>
    </row>
    <row r="383">
      <c r="A383" t="n">
        <v>9431</v>
      </c>
      <c r="B383" t="inlineStr">
        <is>
          <t>diet green tea lemon jello</t>
        </is>
      </c>
      <c r="C383" t="n">
        <v>225727</v>
      </c>
      <c r="D383" s="4" t="n">
        <v>250</v>
      </c>
      <c r="E383" s="1" t="n">
        <v>39203</v>
      </c>
      <c r="F383" t="inlineStr">
        <is>
          <t>i'm dieting, ugh, and for a treat i've been having sugar free jello.  after reading about green tea and how it is supposed to boost your metabolism i thought i'd try to incorporate tea into my diet. who knows if it works?  this is one tasty idea i've had. if you like strong tea then steep the bag longer or use 2 tea bags. i also divvy it into serving sizes using custard cups, but any small vessel will do, i've used coffee cups, too. cook time is chill time.</t>
        </is>
      </c>
      <c r="G383" t="n">
        <v>4</v>
      </c>
      <c r="H383" t="n">
        <v>15000</v>
      </c>
      <c r="I383">
        <f>D383*60</f>
        <v/>
      </c>
      <c r="J383">
        <f>COUNTIF(Отзывы!$D:$D, 225727)</f>
        <v/>
      </c>
    </row>
    <row r="384">
      <c r="A384" t="n">
        <v>338</v>
      </c>
      <c r="B384" t="inlineStr">
        <is>
          <t>addictive chicken tenders  one taste and you re addicted</t>
        </is>
      </c>
      <c r="C384" t="n">
        <v>69990</v>
      </c>
      <c r="D384" s="4" t="n">
        <v>50</v>
      </c>
      <c r="E384" s="1" t="n">
        <v>37861</v>
      </c>
      <c r="F384" t="inlineStr">
        <is>
          <t>i found this recipe on a low-carb site, (dh is doing a low-carb diet). i modified it some and dh says the name is very appropriate. he craves this so i end up making it once or twice a week. good thing it is easy!</t>
        </is>
      </c>
      <c r="G384" t="n">
        <v>8</v>
      </c>
      <c r="H384" t="n">
        <v>3000</v>
      </c>
      <c r="I384">
        <f>D384*60</f>
        <v/>
      </c>
      <c r="J384">
        <f>COUNTIF(Отзывы!$D:$D, 69990)</f>
        <v/>
      </c>
    </row>
    <row r="385">
      <c r="A385" t="n">
        <v>9409</v>
      </c>
      <c r="B385" t="inlineStr">
        <is>
          <t>diabetic pumpkin cream cheese squares</t>
        </is>
      </c>
      <c r="C385" t="n">
        <v>194857</v>
      </c>
      <c r="D385" s="4" t="n">
        <v>45</v>
      </c>
      <c r="E385" s="1" t="n">
        <v>39031</v>
      </c>
      <c r="F385" t="inlineStr">
        <is>
          <t>the fall season is the time when we prepare pumpkin and apple dishes because that's what is commonly harvested around this time.  but with this recipe, you can prepare these year-round (and you'll want to once you try them!!) thanks to canned pumpkin.  keep in mind this is not pumpkin pie filling, but just plain pumpkin.</t>
        </is>
      </c>
      <c r="G385" t="n">
        <v>10</v>
      </c>
      <c r="H385" t="n">
        <v>2700</v>
      </c>
      <c r="I385">
        <f>D385*60</f>
        <v/>
      </c>
      <c r="J385">
        <f>COUNTIF(Отзывы!$D:$D, 194857)</f>
        <v/>
      </c>
    </row>
    <row r="386">
      <c r="A386" t="n">
        <v>6840</v>
      </c>
      <c r="B386" t="inlineStr">
        <is>
          <t>chocolaty caramel pecan bars</t>
        </is>
      </c>
      <c r="C386" t="n">
        <v>91986</v>
      </c>
      <c r="D386" s="4" t="n">
        <v>40</v>
      </c>
      <c r="E386" s="1" t="n">
        <v>38134</v>
      </c>
      <c r="F386" t="inlineStr">
        <is>
          <t>i make these cookies every year for christmas. i have to make a double batch though because they are everyones favorites. they are fantastic! even cold from the fridge they are awesome. hint: score the top of the chocolate topping before you put it to firm up in the fridge; it will make it easier to cut them. they are a bit delicate at the base, but i promise you, no one will care lol</t>
        </is>
      </c>
      <c r="G386" t="n">
        <v>7</v>
      </c>
      <c r="H386" t="n">
        <v>2400</v>
      </c>
      <c r="I386">
        <f>D386*60</f>
        <v/>
      </c>
      <c r="J386">
        <f>COUNTIF(Отзывы!$D:$D, 91986)</f>
        <v/>
      </c>
    </row>
    <row r="387">
      <c r="A387" t="n">
        <v>13180</v>
      </c>
      <c r="B387" t="inlineStr">
        <is>
          <t>halloumi and eggplant  aubergine  stack</t>
        </is>
      </c>
      <c r="C387" t="n">
        <v>67976</v>
      </c>
      <c r="D387" s="4" t="n">
        <v>21</v>
      </c>
      <c r="E387" s="1" t="n">
        <v>37834</v>
      </c>
      <c r="F387" t="inlineStr">
        <is>
          <t>this is a wonderful vegetarian meal focusing on a marvellous cypriot cheese - haloumi. you could also make smaller stacks to serve 4 as an appetizer.</t>
        </is>
      </c>
      <c r="G387" t="n">
        <v>12</v>
      </c>
      <c r="H387" t="n">
        <v>1260</v>
      </c>
      <c r="I387">
        <f>D387*60</f>
        <v/>
      </c>
      <c r="J387">
        <f>COUNTIF(Отзывы!$D:$D, 67976)</f>
        <v/>
      </c>
    </row>
    <row r="388">
      <c r="A388" t="n">
        <v>15750</v>
      </c>
      <c r="B388" t="inlineStr">
        <is>
          <t>leek  onion and potato soup</t>
        </is>
      </c>
      <c r="C388" t="n">
        <v>198177</v>
      </c>
      <c r="D388" s="4" t="n">
        <v>40</v>
      </c>
      <c r="E388" s="1" t="n">
        <v>39049</v>
      </c>
      <c r="F388" t="inlineStr">
        <is>
          <t>one to warm the cockles in the winter. great, filling, soup for lunchtime or as a starter in the evening. stick it in a flask and take it to the country for sweet chestnut-picking expeditions!</t>
        </is>
      </c>
      <c r="G388" t="n">
        <v>7</v>
      </c>
      <c r="H388" t="n">
        <v>2400</v>
      </c>
      <c r="I388">
        <f>D388*60</f>
        <v/>
      </c>
      <c r="J388">
        <f>COUNTIF(Отзывы!$D:$D, 198177)</f>
        <v/>
      </c>
    </row>
    <row r="389">
      <c r="A389" t="n">
        <v>25005</v>
      </c>
      <c r="B389" t="inlineStr">
        <is>
          <t>southwestern egg rolls with chipotle cream dip</t>
        </is>
      </c>
      <c r="C389" t="n">
        <v>342417</v>
      </c>
      <c r="D389" s="4" t="n">
        <v>35</v>
      </c>
      <c r="E389" s="1" t="n">
        <v>39791</v>
      </c>
      <c r="F389" t="inlineStr">
        <is>
          <t>east meets southwest in this funky tex-mex version of an egg roll. it's simple, fun and a great way to use up turkey leftovers. cuisineathome 11/27/08 newsletter - erecipes. you can play around with other flavors, as well.</t>
        </is>
      </c>
      <c r="H389" t="n">
        <v>2100</v>
      </c>
      <c r="I389">
        <f>D389*60</f>
        <v/>
      </c>
      <c r="J389">
        <f>COUNTIF(Отзывы!$D:$D, 342417)</f>
        <v/>
      </c>
    </row>
    <row r="390">
      <c r="A390" t="n">
        <v>18273</v>
      </c>
      <c r="B390" t="inlineStr">
        <is>
          <t>mushroom  toast  with scrambled eggs   bacon</t>
        </is>
      </c>
      <c r="C390" t="n">
        <v>216210</v>
      </c>
      <c r="D390" s="4" t="n">
        <v>20</v>
      </c>
      <c r="E390" s="1" t="n">
        <v>39152</v>
      </c>
      <c r="F390" t="inlineStr">
        <is>
          <t>ok, so there's no toast, but this still great! if not dare i say... better?</t>
        </is>
      </c>
      <c r="G390" t="n">
        <v>5</v>
      </c>
      <c r="H390" t="n">
        <v>1200</v>
      </c>
      <c r="I390">
        <f>D390*60</f>
        <v/>
      </c>
      <c r="J390">
        <f>COUNTIF(Отзывы!$D:$D, 216210)</f>
        <v/>
      </c>
    </row>
    <row r="391">
      <c r="A391" t="n">
        <v>1847</v>
      </c>
      <c r="B391" t="inlineStr">
        <is>
          <t>baked fish in tomato sauce</t>
        </is>
      </c>
      <c r="C391" t="n">
        <v>91514</v>
      </c>
      <c r="D391" s="4" t="n">
        <v>25</v>
      </c>
      <c r="E391" s="1" t="n">
        <v>38127</v>
      </c>
      <c r="F391" t="inlineStr">
        <is>
          <t>a bit of white wine and oregano turns canned tomato sauce into a lovely baking sauce for any type of firm fleshed white fish. a nice way to dress up previously frozen fish fillets.</t>
        </is>
      </c>
      <c r="H391" t="n">
        <v>1500</v>
      </c>
      <c r="I391">
        <f>D391*60</f>
        <v/>
      </c>
      <c r="J391">
        <f>COUNTIF(Отзывы!$D:$D, 91514)</f>
        <v/>
      </c>
    </row>
    <row r="392">
      <c r="A392" t="n">
        <v>4756</v>
      </c>
      <c r="B392" t="inlineStr">
        <is>
          <t>caribbean screwdriver</t>
        </is>
      </c>
      <c r="C392" t="n">
        <v>232770</v>
      </c>
      <c r="D392" s="6" t="n">
        <v>5</v>
      </c>
      <c r="E392" s="1" t="n">
        <v>39239</v>
      </c>
      <c r="F392" t="inlineStr">
        <is>
          <t>posting for zaar world tour iii. from webtender.</t>
        </is>
      </c>
      <c r="G392" t="n">
        <v>6</v>
      </c>
      <c r="H392" t="n">
        <v>300</v>
      </c>
      <c r="I392">
        <f>D392*60</f>
        <v/>
      </c>
      <c r="J392">
        <f>COUNTIF(Отзывы!$D:$D, 232770)</f>
        <v/>
      </c>
    </row>
    <row r="393">
      <c r="A393" t="n">
        <v>14085</v>
      </c>
      <c r="B393" t="inlineStr">
        <is>
          <t>honey soaked walnut cake</t>
        </is>
      </c>
      <c r="C393" t="n">
        <v>37483</v>
      </c>
      <c r="D393" s="4" t="n">
        <v>75</v>
      </c>
      <c r="E393" s="1" t="n">
        <v>37487</v>
      </c>
      <c r="F393" t="inlineStr">
        <is>
          <t>a simple cake flavored with chopped walnuts and orange rind, soaked with a syrup made with honey and orange liqueur. this is a greek cake traditionally served at christmas. prep time does not include a 3 hour standing time before serving.</t>
        </is>
      </c>
      <c r="G393" t="n">
        <v>11</v>
      </c>
      <c r="H393" t="n">
        <v>4500</v>
      </c>
      <c r="I393">
        <f>D393*60</f>
        <v/>
      </c>
      <c r="J393">
        <f>COUNTIF(Отзывы!$D:$D, 37483)</f>
        <v/>
      </c>
    </row>
    <row r="394">
      <c r="A394" t="n">
        <v>21434</v>
      </c>
      <c r="B394" t="inlineStr">
        <is>
          <t>potato salad with apples</t>
        </is>
      </c>
      <c r="C394" t="n">
        <v>211872</v>
      </c>
      <c r="D394" s="4" t="n">
        <v>25</v>
      </c>
      <c r="E394" s="1" t="n">
        <v>39129</v>
      </c>
      <c r="F394" t="inlineStr">
        <is>
          <t>this is my mom's recipe for potato salad. the apples give it an interesting flavour and texture.</t>
        </is>
      </c>
      <c r="G394" t="n">
        <v>8</v>
      </c>
      <c r="H394" t="n">
        <v>1500</v>
      </c>
      <c r="I394">
        <f>D394*60</f>
        <v/>
      </c>
      <c r="J394">
        <f>COUNTIF(Отзывы!$D:$D, 211872)</f>
        <v/>
      </c>
    </row>
    <row r="395">
      <c r="A395" t="n">
        <v>3944</v>
      </c>
      <c r="B395" t="inlineStr">
        <is>
          <t>brown sugar crackle cookies</t>
        </is>
      </c>
      <c r="C395" t="n">
        <v>126083</v>
      </c>
      <c r="D395" s="4" t="n">
        <v>18</v>
      </c>
      <c r="E395" s="1" t="n">
        <v>38518</v>
      </c>
      <c r="F395" t="inlineStr">
        <is>
          <t>a very good cookie</t>
        </is>
      </c>
      <c r="G395" t="n">
        <v>9</v>
      </c>
      <c r="H395" t="n">
        <v>1080</v>
      </c>
      <c r="I395">
        <f>D395*60</f>
        <v/>
      </c>
      <c r="J395">
        <f>COUNTIF(Отзывы!$D:$D, 126083)</f>
        <v/>
      </c>
    </row>
    <row r="396">
      <c r="A396" t="n">
        <v>3132</v>
      </c>
      <c r="B396" t="inlineStr">
        <is>
          <t>black bean chowder</t>
        </is>
      </c>
      <c r="C396" t="n">
        <v>39132</v>
      </c>
      <c r="D396" s="4" t="n">
        <v>2940</v>
      </c>
      <c r="E396" s="1" t="n">
        <v>37501</v>
      </c>
      <c r="G396" t="n">
        <v>16</v>
      </c>
      <c r="H396" t="n">
        <v>176400</v>
      </c>
      <c r="I396">
        <f>D396*60</f>
        <v/>
      </c>
      <c r="J396">
        <f>COUNTIF(Отзывы!$D:$D, 39132)</f>
        <v/>
      </c>
    </row>
    <row r="397">
      <c r="A397" t="n">
        <v>22705</v>
      </c>
      <c r="B397" t="inlineStr">
        <is>
          <t>roasted baby beets</t>
        </is>
      </c>
      <c r="C397" t="n">
        <v>263510</v>
      </c>
      <c r="D397" s="4" t="n">
        <v>90</v>
      </c>
      <c r="E397" s="1" t="n">
        <v>39392</v>
      </c>
      <c r="F397" t="inlineStr">
        <is>
          <t>from bon appetit, december 2004.  a great complement to a christmas meal.  tip: use kitchen gloves when peeling beets!</t>
        </is>
      </c>
      <c r="H397" t="n">
        <v>5400</v>
      </c>
      <c r="I397">
        <f>D397*60</f>
        <v/>
      </c>
      <c r="J397">
        <f>COUNTIF(Отзывы!$D:$D, 263510)</f>
        <v/>
      </c>
    </row>
    <row r="398">
      <c r="A398" t="n">
        <v>4117</v>
      </c>
      <c r="B398" t="inlineStr">
        <is>
          <t>burger spread</t>
        </is>
      </c>
      <c r="C398" t="n">
        <v>377604</v>
      </c>
      <c r="D398" s="6" t="n">
        <v>10</v>
      </c>
      <c r="E398" s="1" t="n">
        <v>39981</v>
      </c>
      <c r="F398" t="inlineStr">
        <is>
          <t>from best burgers cookbook.</t>
        </is>
      </c>
      <c r="H398" t="n">
        <v>600</v>
      </c>
      <c r="I398">
        <f>D398*60</f>
        <v/>
      </c>
      <c r="J398">
        <f>COUNTIF(Отзывы!$D:$D, 377604)</f>
        <v/>
      </c>
    </row>
    <row r="399">
      <c r="A399" t="n">
        <v>24170</v>
      </c>
      <c r="B399" t="inlineStr">
        <is>
          <t>silky chocolate fondue</t>
        </is>
      </c>
      <c r="C399" t="n">
        <v>123085</v>
      </c>
      <c r="D399" s="4" t="n">
        <v>30</v>
      </c>
      <c r="E399" s="1" t="n">
        <v>38493</v>
      </c>
      <c r="F399" t="inlineStr">
        <is>
          <t>this is a pampered chef recipe that is simply sinful!</t>
        </is>
      </c>
      <c r="G399" t="n">
        <v>3</v>
      </c>
      <c r="H399" t="n">
        <v>1800</v>
      </c>
      <c r="I399">
        <f>D399*60</f>
        <v/>
      </c>
      <c r="J399">
        <f>COUNTIF(Отзывы!$D:$D, 123085)</f>
        <v/>
      </c>
    </row>
    <row r="400">
      <c r="A400" t="n">
        <v>14432</v>
      </c>
      <c r="B400" t="inlineStr">
        <is>
          <t>indian beef and mushroom curry</t>
        </is>
      </c>
      <c r="C400" t="n">
        <v>305722</v>
      </c>
      <c r="D400" s="4" t="n">
        <v>105</v>
      </c>
      <c r="E400" s="1" t="n">
        <v>39596</v>
      </c>
      <c r="F400" t="inlineStr">
        <is>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is>
      </c>
      <c r="H400" t="n">
        <v>6300</v>
      </c>
      <c r="I400">
        <f>D400*60</f>
        <v/>
      </c>
      <c r="J400">
        <f>COUNTIF(Отзывы!$D:$D, 305722)</f>
        <v/>
      </c>
    </row>
    <row r="401" ht="195" customHeight="1">
      <c r="A401" t="n">
        <v>2233</v>
      </c>
      <c r="B401" t="inlineStr">
        <is>
          <t>banana pineapple salad</t>
        </is>
      </c>
      <c r="C401" t="n">
        <v>422998</v>
      </c>
      <c r="D401" s="4" t="n">
        <v>11</v>
      </c>
      <c r="E401" s="1" t="n">
        <v>40302</v>
      </c>
      <c r="F401" s="2" t="inlineStr">
        <is>
          <t>posted for zaar world tour vi._x000D_
peanuts add a satisfying, excellent crunch to this sweet salad.</t>
        </is>
      </c>
      <c r="G401" t="n">
        <v>6</v>
      </c>
      <c r="H401" t="n">
        <v>660</v>
      </c>
      <c r="I401">
        <f>D401*60</f>
        <v/>
      </c>
      <c r="J401">
        <f>COUNTIF(Отзывы!$D:$D, 422998)</f>
        <v/>
      </c>
    </row>
    <row r="402" ht="409.5" customHeight="1">
      <c r="A402" t="n">
        <v>24389</v>
      </c>
      <c r="B402" t="inlineStr">
        <is>
          <t>skillet souffle</t>
        </is>
      </c>
      <c r="C402" t="n">
        <v>373600</v>
      </c>
      <c r="D402" s="4" t="n">
        <v>25</v>
      </c>
      <c r="E402" s="1" t="n">
        <v>39955</v>
      </c>
      <c r="F402" s="2" t="inlineStr">
        <is>
          <t>fluffier than scrambled eggs, this souffle is just as easy to prepare and is perfect served alongside a juicy wedge of melon and a green salad. _x000D_
_x000D_
note -- when you make the skillet souffle, keep in mind that deflating is part of the natural life cycle of any souffle. though this skillet version is sturdier than the average recipe, don't be dismayed (or apologetic) when it eventually falls._x000D_
_x000D_
adapted from real simple magazine.</t>
        </is>
      </c>
      <c r="G402" t="n">
        <v>6</v>
      </c>
      <c r="H402" t="n">
        <v>1500</v>
      </c>
      <c r="I402">
        <f>D402*60</f>
        <v/>
      </c>
      <c r="J402">
        <f>COUNTIF(Отзывы!$D:$D, 373600)</f>
        <v/>
      </c>
    </row>
    <row r="403">
      <c r="A403" t="n">
        <v>27174</v>
      </c>
      <c r="B403" t="inlineStr">
        <is>
          <t>texas chewy pralines</t>
        </is>
      </c>
      <c r="C403" t="n">
        <v>105889</v>
      </c>
      <c r="D403" s="4" t="n">
        <v>60</v>
      </c>
      <c r="E403" s="1" t="n">
        <v>38332</v>
      </c>
      <c r="F403" t="inlineStr">
        <is>
          <t>this is a chewy pecan praline that is quite similar to those made by lamme's candies in austin, tx.</t>
        </is>
      </c>
      <c r="G403" t="n">
        <v>8</v>
      </c>
      <c r="H403" t="n">
        <v>3600</v>
      </c>
      <c r="I403">
        <f>D403*60</f>
        <v/>
      </c>
      <c r="J403">
        <f>COUNTIF(Отзывы!$D:$D, 105889)</f>
        <v/>
      </c>
    </row>
    <row r="404">
      <c r="A404" t="n">
        <v>6892</v>
      </c>
      <c r="B404" t="inlineStr">
        <is>
          <t>christmas cranberry salad</t>
        </is>
      </c>
      <c r="C404" t="n">
        <v>26160</v>
      </c>
      <c r="D404" s="4" t="n">
        <v>15</v>
      </c>
      <c r="E404" s="1" t="n">
        <v>37370</v>
      </c>
      <c r="G404" t="n">
        <v>6</v>
      </c>
      <c r="H404" t="n">
        <v>900</v>
      </c>
      <c r="I404">
        <f>D404*60</f>
        <v/>
      </c>
      <c r="J404">
        <f>COUNTIF(Отзывы!$D:$D, 26160)</f>
        <v/>
      </c>
    </row>
    <row r="405">
      <c r="A405" t="n">
        <v>9778</v>
      </c>
      <c r="B405" t="inlineStr">
        <is>
          <t>easy   yummy slow cooker chicken</t>
        </is>
      </c>
      <c r="C405" t="n">
        <v>140915</v>
      </c>
      <c r="D405" s="4" t="n">
        <v>250</v>
      </c>
      <c r="E405" s="1" t="n">
        <v>38636</v>
      </c>
      <c r="F405" t="inlineStr">
        <is>
          <t>this very easy recipe is great for a busy workday... just throw it all in the slow cooker in the morning, and have a wonderful hot and yummy sit-down dinner that night! i use frozen chicken breasts and add 2 cans of soup for lots of sauce. i make extra for a great work-day lunch for the next day. enjoy!</t>
        </is>
      </c>
      <c r="H405" t="n">
        <v>15000</v>
      </c>
      <c r="I405">
        <f>D405*60</f>
        <v/>
      </c>
      <c r="J405">
        <f>COUNTIF(Отзывы!$D:$D, 140915)</f>
        <v/>
      </c>
    </row>
    <row r="406">
      <c r="A406" t="n">
        <v>25936</v>
      </c>
      <c r="B406" t="inlineStr">
        <is>
          <t>stir fried spiced cabbage  la pai ts ai</t>
        </is>
      </c>
      <c r="C406" t="n">
        <v>91639</v>
      </c>
      <c r="D406" s="4" t="n">
        <v>23</v>
      </c>
      <c r="E406" s="1" t="n">
        <v>38129</v>
      </c>
      <c r="F406" t="inlineStr">
        <is>
          <t>this is an easy stir-fried vegetable dish that can be prepared ahead. my dh and i love its flavor and the cayenne pepper gives it a nice "kick"! originally from the time-life foods of the world series, the cooking of china.</t>
        </is>
      </c>
      <c r="G406" t="n">
        <v>7</v>
      </c>
      <c r="H406" t="n">
        <v>1380</v>
      </c>
      <c r="I406">
        <f>D406*60</f>
        <v/>
      </c>
      <c r="J406">
        <f>COUNTIF(Отзывы!$D:$D, 91639)</f>
        <v/>
      </c>
    </row>
    <row r="407">
      <c r="A407" t="n">
        <v>7981</v>
      </c>
      <c r="B407" t="inlineStr">
        <is>
          <t>cranberry thanksgiving bread</t>
        </is>
      </c>
      <c r="C407" t="n">
        <v>161131</v>
      </c>
      <c r="D407" s="4" t="n">
        <v>100</v>
      </c>
      <c r="E407" s="1" t="n">
        <v>38798</v>
      </c>
      <c r="F407" t="inlineStr">
        <is>
          <t>from the book, "cranberry thanksgiving" by wende and harry devlin which we read every year growing up before making the bread. it's a family favorite, great as gifts, and a wonderful memory from my childhood.</t>
        </is>
      </c>
      <c r="G407" t="n">
        <v>11</v>
      </c>
      <c r="H407" t="n">
        <v>6000</v>
      </c>
      <c r="I407">
        <f>D407*60</f>
        <v/>
      </c>
      <c r="J407">
        <f>COUNTIF(Отзывы!$D:$D, 161131)</f>
        <v/>
      </c>
    </row>
    <row r="408" ht="409.5" customHeight="1">
      <c r="A408" t="n">
        <v>8046</v>
      </c>
      <c r="B408" t="inlineStr">
        <is>
          <t>cream cheese black bean pasta</t>
        </is>
      </c>
      <c r="C408" t="n">
        <v>452607</v>
      </c>
      <c r="D408" s="4" t="n">
        <v>30</v>
      </c>
      <c r="E408" s="1" t="n">
        <v>40632</v>
      </c>
      <c r="F408" s="2" t="inlineStr">
        <is>
          <t>experiment! turned out pretty thick but good._x000D_
_x000D_
there is probably a smarter way to make this, like making the sauce separate, but i'm a big fan of one dish meals._x000D_
_x000D_
also thought of adding a can of chopped green chilies.</t>
        </is>
      </c>
      <c r="G408" t="n">
        <v>9</v>
      </c>
      <c r="H408" t="n">
        <v>1800</v>
      </c>
      <c r="I408">
        <f>D408*60</f>
        <v/>
      </c>
      <c r="J408">
        <f>COUNTIF(Отзывы!$D:$D, 452607)</f>
        <v/>
      </c>
    </row>
    <row r="409">
      <c r="A409" t="n">
        <v>8324</v>
      </c>
      <c r="B409" t="inlineStr">
        <is>
          <t>creamy peanut butter whip</t>
        </is>
      </c>
      <c r="C409" t="n">
        <v>250840</v>
      </c>
      <c r="D409" s="6" t="n">
        <v>10</v>
      </c>
      <c r="E409" s="1" t="n">
        <v>39329</v>
      </c>
      <c r="F409" t="inlineStr">
        <is>
          <t>i whipped this up after my husband decided to try peanut butter and sour cream together on a spoon. he liked it so much he came to me and asked, "are there any recipes that use peanut butter and sour cream together?" this is similar to some refrigerated pie fillings but i made it sugar free. i also didn't find any recipes that used cream cheese/neufchatel, cool whip and sour cream together. it turned out great. use as a pudding topped with fresh fruit or as a dip for fresh fruit.</t>
        </is>
      </c>
      <c r="G409" t="n">
        <v>7</v>
      </c>
      <c r="H409" t="n">
        <v>600</v>
      </c>
      <c r="I409">
        <f>D409*60</f>
        <v/>
      </c>
      <c r="J409">
        <f>COUNTIF(Отзывы!$D:$D, 250840)</f>
        <v/>
      </c>
    </row>
    <row r="410">
      <c r="A410" t="n">
        <v>28517</v>
      </c>
      <c r="B410" t="inlineStr">
        <is>
          <t>vanilla frosted saltines</t>
        </is>
      </c>
      <c r="C410" t="n">
        <v>216892</v>
      </c>
      <c r="D410" s="6" t="n">
        <v>5</v>
      </c>
      <c r="E410" s="1" t="n">
        <v>39155</v>
      </c>
      <c r="F410" t="inlineStr">
        <is>
          <t>i got this recipe from a friend when i was a teenager. we used to eat these as a snack everyday after school. the combination of sweet and salty is so good to me. i still crave them as comfort food today.</t>
        </is>
      </c>
      <c r="G410" t="n">
        <v>2</v>
      </c>
      <c r="H410" t="n">
        <v>300</v>
      </c>
      <c r="I410">
        <f>D410*60</f>
        <v/>
      </c>
      <c r="J410">
        <f>COUNTIF(Отзывы!$D:$D, 216892)</f>
        <v/>
      </c>
    </row>
    <row r="411">
      <c r="A411" t="n">
        <v>15404</v>
      </c>
      <c r="B411" t="inlineStr">
        <is>
          <t>kittencal s beef stifado  greek stew with feta</t>
        </is>
      </c>
      <c r="C411" t="n">
        <v>177160</v>
      </c>
      <c r="D411" s="4" t="n">
        <v>30</v>
      </c>
      <c r="E411" s="1" t="n">
        <v>38910</v>
      </c>
      <c r="F411" t="inlineStr">
        <is>
          <t>this is a recipe that you may adjust to your liking, every greek cook has their own version of this --- you may also add in some carrots and potatoes also if desired, this tastes even better the second day that is if you have any leftovers! ---  one cinnamon stick may be used in place of the cinnamon powder, but please do not reduce the onions for this! this can also be cooked in the oven if desired, cooking time will vary depending on the type of beef you use and the size of beef cubes, i use boneless sirloin for this and i also add in 1 tablespoon crushed dryed chili flakes for heat since my family likes things really spicy! --- this is a delicious stifatho!</t>
        </is>
      </c>
      <c r="G411" t="n">
        <v>18</v>
      </c>
      <c r="H411" t="n">
        <v>1800</v>
      </c>
      <c r="I411">
        <f>D411*60</f>
        <v/>
      </c>
      <c r="J411">
        <f>COUNTIF(Отзывы!$D:$D, 177160)</f>
        <v/>
      </c>
    </row>
    <row r="412">
      <c r="A412" t="n">
        <v>28764</v>
      </c>
      <c r="B412" t="inlineStr">
        <is>
          <t>vegetarians mock macdonald s cheeseburgers</t>
        </is>
      </c>
      <c r="C412" t="n">
        <v>402762</v>
      </c>
      <c r="D412" s="5" t="n">
        <v>4</v>
      </c>
      <c r="E412" s="1" t="n">
        <v>40154</v>
      </c>
      <c r="F412" t="inlineStr">
        <is>
          <t>even veg heads crave crap food sometimes. these are probably a lot healthier and taste very similar</t>
        </is>
      </c>
      <c r="G412" t="n">
        <v>7</v>
      </c>
      <c r="H412" t="n">
        <v>240</v>
      </c>
      <c r="I412">
        <f>D412*60</f>
        <v/>
      </c>
      <c r="J412">
        <f>COUNTIF(Отзывы!$D:$D, 402762)</f>
        <v/>
      </c>
    </row>
    <row r="413" ht="330" customHeight="1">
      <c r="A413" t="n">
        <v>9555</v>
      </c>
      <c r="B413" t="inlineStr">
        <is>
          <t>dorito chicken taco fingers</t>
        </is>
      </c>
      <c r="C413" t="n">
        <v>187220</v>
      </c>
      <c r="D413" s="4" t="n">
        <v>17</v>
      </c>
      <c r="E413" s="1" t="n">
        <v>38981</v>
      </c>
      <c r="F413" s="2" t="inlineStr">
        <is>
          <t>my husbands absolute favorite!_x000D_
he asks for them often!_x000D_
i have made this recipe hundreds of times!!_x000D_
you can use this as an appetizer or a main dish.</t>
        </is>
      </c>
      <c r="G413" t="n">
        <v>5</v>
      </c>
      <c r="H413" t="n">
        <v>1020</v>
      </c>
      <c r="I413">
        <f>D413*60</f>
        <v/>
      </c>
      <c r="J413">
        <f>COUNTIF(Отзывы!$D:$D, 187220)</f>
        <v/>
      </c>
    </row>
    <row r="414">
      <c r="A414" t="n">
        <v>3018</v>
      </c>
      <c r="B414" t="inlineStr">
        <is>
          <t>big and yummy choc chip cookies</t>
        </is>
      </c>
      <c r="C414" t="n">
        <v>464745</v>
      </c>
      <c r="D414" s="4" t="n">
        <v>25</v>
      </c>
      <c r="E414" s="1" t="n">
        <v>40809</v>
      </c>
      <c r="F414" t="inlineStr">
        <is>
          <t>i know, i know, there are tons of chocolate chip cookies on this site, but this one is the first that came out perfect and bakery-style like for me so i really think it deserves to be posted. i hope you agree with me! :)</t>
        </is>
      </c>
      <c r="G414" t="n">
        <v>9</v>
      </c>
      <c r="H414" t="n">
        <v>1500</v>
      </c>
      <c r="I414">
        <f>D414*60</f>
        <v/>
      </c>
      <c r="J414">
        <f>COUNTIF(Отзывы!$D:$D, 464745)</f>
        <v/>
      </c>
    </row>
    <row r="415">
      <c r="A415" t="n">
        <v>25349</v>
      </c>
      <c r="B415" t="inlineStr">
        <is>
          <t>spicy chili lime barbecue sandwiches</t>
        </is>
      </c>
      <c r="C415" t="n">
        <v>222278</v>
      </c>
      <c r="D415" s="4" t="n">
        <v>630</v>
      </c>
      <c r="E415" s="1" t="n">
        <v>39184</v>
      </c>
      <c r="F415" t="inlineStr">
        <is>
          <t>this is recipe that is a combination of barbecue/carnitas. i like my barbecue a little spicy, so i came up with this. a good recipe if you need something to throw in a crockpot all day. it will feed a large number of people, or leave you with good leftovers for 2 or 3 people.</t>
        </is>
      </c>
      <c r="G415" t="n">
        <v>11</v>
      </c>
      <c r="H415" t="n">
        <v>37800</v>
      </c>
      <c r="I415">
        <f>D415*60</f>
        <v/>
      </c>
      <c r="J415">
        <f>COUNTIF(Отзывы!$D:$D, 222278)</f>
        <v/>
      </c>
    </row>
    <row r="416" ht="409.5" customHeight="1">
      <c r="A416" t="n">
        <v>15485</v>
      </c>
      <c r="B416" t="inlineStr">
        <is>
          <t>kolokythakia tiganita   greek battered fried zucchini   courgett</t>
        </is>
      </c>
      <c r="C416" t="n">
        <v>307589</v>
      </c>
      <c r="D416" s="4" t="n">
        <v>16</v>
      </c>
      <c r="E416" s="1" t="n">
        <v>39604</v>
      </c>
      <c r="F416" s="2" t="inlineStr">
        <is>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slices."_x000D_
time to make doesn't include resting time. posted for zwt 4.</t>
        </is>
      </c>
      <c r="G416" t="n">
        <v>6</v>
      </c>
      <c r="H416" t="n">
        <v>960</v>
      </c>
      <c r="I416">
        <f>D416*60</f>
        <v/>
      </c>
      <c r="J416">
        <f>COUNTIF(Отзывы!$D:$D, 307589)</f>
        <v/>
      </c>
    </row>
    <row r="417">
      <c r="A417" t="n">
        <v>4366</v>
      </c>
      <c r="B417" t="inlineStr">
        <is>
          <t>cafe vanilla or cafe vanilla caramel</t>
        </is>
      </c>
      <c r="C417" t="n">
        <v>379663</v>
      </c>
      <c r="D417" s="6" t="n">
        <v>10</v>
      </c>
      <c r="E417" s="1" t="n">
        <v>39994</v>
      </c>
      <c r="F417" t="inlineStr">
        <is>
          <t>home version of the instant cafe mix similar to international coffees. this version is both low fat and low sugar.</t>
        </is>
      </c>
      <c r="G417" t="n">
        <v>4</v>
      </c>
      <c r="H417" t="n">
        <v>600</v>
      </c>
      <c r="I417">
        <f>D417*60</f>
        <v/>
      </c>
      <c r="J417">
        <f>COUNTIF(Отзывы!$D:$D, 379663)</f>
        <v/>
      </c>
    </row>
    <row r="418">
      <c r="A418" t="n">
        <v>26806</v>
      </c>
      <c r="B418" t="inlineStr">
        <is>
          <t>sweetcorn pudding</t>
        </is>
      </c>
      <c r="C418" t="n">
        <v>79322</v>
      </c>
      <c r="D418" s="4" t="n">
        <v>47</v>
      </c>
      <c r="E418" s="1" t="n">
        <v>37974</v>
      </c>
      <c r="F418" t="inlineStr">
        <is>
          <t>this is a wonderfully creamy corn pudding that has been part of our large family meals for years.  this can be served as a side to both a barbecue or more formal meal.  this is excellent with pulled pork - something very american - that i learned to eat here!</t>
        </is>
      </c>
      <c r="G418" t="n">
        <v>7</v>
      </c>
      <c r="H418" t="n">
        <v>2820</v>
      </c>
      <c r="I418">
        <f>D418*60</f>
        <v/>
      </c>
      <c r="J418">
        <f>COUNTIF(Отзывы!$D:$D, 79322)</f>
        <v/>
      </c>
    </row>
    <row r="419">
      <c r="A419" t="n">
        <v>5196</v>
      </c>
      <c r="B419" t="inlineStr">
        <is>
          <t>cheesecake supreme</t>
        </is>
      </c>
      <c r="C419" t="n">
        <v>84074</v>
      </c>
      <c r="D419" s="4" t="n">
        <v>105</v>
      </c>
      <c r="E419" s="1" t="n">
        <v>38032</v>
      </c>
      <c r="F419" t="inlineStr">
        <is>
          <t>this is a very dense cheesecake with a very smooth and creamy filling. the crust tastes like a lemon cookie. this does take some time to make but very well worth the effort.</t>
        </is>
      </c>
      <c r="G419" t="n">
        <v>15</v>
      </c>
      <c r="H419" t="n">
        <v>6300</v>
      </c>
      <c r="I419">
        <f>D419*60</f>
        <v/>
      </c>
      <c r="J419">
        <f>COUNTIF(Отзывы!$D:$D, 84074)</f>
        <v/>
      </c>
    </row>
    <row r="420">
      <c r="A420" t="n">
        <v>7050</v>
      </c>
      <c r="B420" t="inlineStr">
        <is>
          <t>cinnamon pear cake</t>
        </is>
      </c>
      <c r="C420" t="n">
        <v>197968</v>
      </c>
      <c r="D420" s="4" t="n">
        <v>100</v>
      </c>
      <c r="E420" s="1" t="n">
        <v>39048</v>
      </c>
      <c r="F420" t="inlineStr">
        <is>
          <t>easy tasty  homemade cake. my husband loved it and he is not dessert eater. it freezes well for 3-4 weeks. i think this recipe was created by robin hood flour people.</t>
        </is>
      </c>
      <c r="G420" t="n">
        <v>11</v>
      </c>
      <c r="H420" t="n">
        <v>6000</v>
      </c>
      <c r="I420">
        <f>D420*60</f>
        <v/>
      </c>
      <c r="J420">
        <f>COUNTIF(Отзывы!$D:$D, 197968)</f>
        <v/>
      </c>
    </row>
    <row r="421">
      <c r="A421" t="n">
        <v>2161</v>
      </c>
      <c r="B421" t="inlineStr">
        <is>
          <t>banana nut buttermilk all bran muffins</t>
        </is>
      </c>
      <c r="C421" t="n">
        <v>135874</v>
      </c>
      <c r="D421" s="4" t="n">
        <v>32</v>
      </c>
      <c r="E421" s="1" t="n">
        <v>38596</v>
      </c>
      <c r="F421" t="inlineStr">
        <is>
          <t>this recipe was developed with kellogg's all bran cereal i have never used any other bran cereal for this so i cannot guarantee good results with anything else --- if desired a crumb topping can be sprinkled on top, see my recipe#184305 for the topping mixture.</t>
        </is>
      </c>
      <c r="H421" t="n">
        <v>1920</v>
      </c>
      <c r="I421">
        <f>D421*60</f>
        <v/>
      </c>
      <c r="J421">
        <f>COUNTIF(Отзывы!$D:$D, 135874)</f>
        <v/>
      </c>
    </row>
    <row r="422">
      <c r="A422" t="n">
        <v>8414</v>
      </c>
      <c r="B422" t="inlineStr">
        <is>
          <t>creme fraiche mashed potatoes</t>
        </is>
      </c>
      <c r="C422" t="n">
        <v>85692</v>
      </c>
      <c r="D422" s="4" t="n">
        <v>20</v>
      </c>
      <c r="E422" s="1" t="n">
        <v>38050</v>
      </c>
      <c r="F422" t="inlineStr">
        <is>
          <t>creamy, tangy, yummy mashed potatoes, what more can i say? i can say delicious and comforting...oh and did i mention delicious? there are quite a few recipes for creme fraiche on recipezaar. it's so easy to make, and good in so many things.</t>
        </is>
      </c>
      <c r="G422" t="n">
        <v>4</v>
      </c>
      <c r="H422" t="n">
        <v>1200</v>
      </c>
      <c r="I422">
        <f>D422*60</f>
        <v/>
      </c>
      <c r="J422">
        <f>COUNTIF(Отзывы!$D:$D, 85692)</f>
        <v/>
      </c>
    </row>
    <row r="423">
      <c r="A423" t="n">
        <v>21419</v>
      </c>
      <c r="B423" t="inlineStr">
        <is>
          <t>potato gnocchi done right</t>
        </is>
      </c>
      <c r="C423" t="n">
        <v>288096</v>
      </c>
      <c r="D423" s="4" t="n">
        <v>65</v>
      </c>
      <c r="E423" s="1" t="n">
        <v>39501</v>
      </c>
      <c r="F423" t="inlineStr">
        <is>
          <t>proper potato gnocchi: no, you don't use instant spuds; and yes, you need a potato ricer.  from fine cooking #90, laura giannatempo.</t>
        </is>
      </c>
      <c r="G423" t="n">
        <v>4</v>
      </c>
      <c r="H423" t="n">
        <v>3900</v>
      </c>
      <c r="I423">
        <f>D423*60</f>
        <v/>
      </c>
      <c r="J423">
        <f>COUNTIF(Отзывы!$D:$D, 288096)</f>
        <v/>
      </c>
    </row>
    <row r="424">
      <c r="A424" t="n">
        <v>10045</v>
      </c>
      <c r="B424" t="inlineStr">
        <is>
          <t>easy hawaiian chicken wings</t>
        </is>
      </c>
      <c r="C424" t="n">
        <v>28498</v>
      </c>
      <c r="D424" s="4" t="n">
        <v>30</v>
      </c>
      <c r="E424" s="1" t="n">
        <v>37391</v>
      </c>
      <c r="G424" t="n">
        <v>5</v>
      </c>
      <c r="H424" t="n">
        <v>1800</v>
      </c>
      <c r="I424">
        <f>D424*60</f>
        <v/>
      </c>
      <c r="J424">
        <f>COUNTIF(Отзывы!$D:$D, 28498)</f>
        <v/>
      </c>
    </row>
    <row r="425">
      <c r="A425" t="n">
        <v>6197</v>
      </c>
      <c r="B425" t="inlineStr">
        <is>
          <t>chile scalloped potatoes</t>
        </is>
      </c>
      <c r="C425" t="n">
        <v>91887</v>
      </c>
      <c r="D425" s="4" t="n">
        <v>110</v>
      </c>
      <c r="E425" s="1" t="n">
        <v>38133</v>
      </c>
      <c r="F425" t="inlineStr">
        <is>
          <t>more tempting chiles...</t>
        </is>
      </c>
      <c r="G425" t="n">
        <v>8</v>
      </c>
      <c r="H425" t="n">
        <v>6600</v>
      </c>
      <c r="I425">
        <f>D425*60</f>
        <v/>
      </c>
      <c r="J425">
        <f>COUNTIF(Отзывы!$D:$D, 91887)</f>
        <v/>
      </c>
    </row>
    <row r="426">
      <c r="A426" t="n">
        <v>4249</v>
      </c>
      <c r="B426" t="inlineStr">
        <is>
          <t>butternut squash soup shots with candied bacon</t>
        </is>
      </c>
      <c r="C426" t="n">
        <v>398156</v>
      </c>
      <c r="D426" s="4" t="n">
        <v>105</v>
      </c>
      <c r="E426" s="1" t="n">
        <v>40123</v>
      </c>
      <c r="F426" t="inlineStr">
        <is>
          <t>this soup is served as a fancy appetizer in a shot glass with half a piece of candied bacon, but you could serve it in a bowl and crumble the bacon as a garnish, if desired.</t>
        </is>
      </c>
      <c r="G426" t="n">
        <v>12</v>
      </c>
      <c r="H426" t="n">
        <v>6300</v>
      </c>
      <c r="I426">
        <f>D426*60</f>
        <v/>
      </c>
      <c r="J426">
        <f>COUNTIF(Отзывы!$D:$D, 398156)</f>
        <v/>
      </c>
    </row>
    <row r="427">
      <c r="A427" t="n">
        <v>3272</v>
      </c>
      <c r="B427" t="inlineStr">
        <is>
          <t>bli s grape muffins</t>
        </is>
      </c>
      <c r="C427" t="n">
        <v>390396</v>
      </c>
      <c r="D427" s="4" t="n">
        <v>75</v>
      </c>
      <c r="E427" s="1" t="n">
        <v>40071</v>
      </c>
      <c r="F427" t="inlineStr">
        <is>
          <t>a beautiful, no work recipe for grape muffin. i use this recipe for other muffins as well. just remember that if the fruit has high water content, put it on a saucepan and evaporate about 80% of the juice. it enhances the taste gr(ape)ly...</t>
        </is>
      </c>
      <c r="G427" t="n">
        <v>9</v>
      </c>
      <c r="H427" t="n">
        <v>4500</v>
      </c>
      <c r="I427">
        <f>D427*60</f>
        <v/>
      </c>
      <c r="J427">
        <f>COUNTIF(Отзывы!$D:$D, 390396)</f>
        <v/>
      </c>
    </row>
    <row r="428">
      <c r="A428" t="n">
        <v>8011</v>
      </c>
      <c r="B428" t="inlineStr">
        <is>
          <t>cranberry walnut pumpkin loaves</t>
        </is>
      </c>
      <c r="C428" t="n">
        <v>56109</v>
      </c>
      <c r="D428" s="4" t="n">
        <v>1495</v>
      </c>
      <c r="E428" s="1" t="n">
        <v>37690</v>
      </c>
      <c r="F428" t="inlineStr">
        <is>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is>
      </c>
      <c r="G428" t="n">
        <v>13</v>
      </c>
      <c r="H428" t="n">
        <v>89700</v>
      </c>
      <c r="I428">
        <f>D428*60</f>
        <v/>
      </c>
      <c r="J428">
        <f>COUNTIF(Отзывы!$D:$D, 56109)</f>
        <v/>
      </c>
    </row>
    <row r="429">
      <c r="A429" t="n">
        <v>17627</v>
      </c>
      <c r="B429" t="inlineStr">
        <is>
          <t>middle eastern spice baked chicken breasts</t>
        </is>
      </c>
      <c r="C429" t="n">
        <v>165026</v>
      </c>
      <c r="D429" s="4" t="n">
        <v>70</v>
      </c>
      <c r="E429" s="1" t="n">
        <v>38827</v>
      </c>
      <c r="F429" t="inlineStr">
        <is>
          <t>from "a taste of milton" and submitted by zay foster.  just blend the spices with the butter and almonds, pour over chicken breasts and bake. serve with sliced tomatoes, cucumber and green onions; rice pilaf; warm pita bread and plain yogurt mixed with some cumin, salt and chopped green onions, to taste.</t>
        </is>
      </c>
      <c r="G429" t="n">
        <v>10</v>
      </c>
      <c r="H429" t="n">
        <v>4200</v>
      </c>
      <c r="I429">
        <f>D429*60</f>
        <v/>
      </c>
      <c r="J429">
        <f>COUNTIF(Отзывы!$D:$D, 165026)</f>
        <v/>
      </c>
    </row>
    <row r="430" ht="409.5" customHeight="1">
      <c r="A430" t="n">
        <v>22799</v>
      </c>
      <c r="B430" t="inlineStr">
        <is>
          <t>roasted peanut brownie recipe</t>
        </is>
      </c>
      <c r="C430" t="n">
        <v>443704</v>
      </c>
      <c r="D430" s="4" t="n">
        <v>30</v>
      </c>
      <c r="E430" s="1" t="n">
        <v>40518</v>
      </c>
      <c r="F430" s="2" t="inlineStr">
        <is>
          <t>peanut brownies were one of the all-time favorites._x000D_
mum used to cook these on a regular basis to help fill the school lunch box. because this recipe uses roasted peanuts they are much nicer. after they are roasted you can put them into a paper bag and press down with a rolling pin and break them into halves so you can gently blow away the shells.</t>
        </is>
      </c>
      <c r="G430" t="n">
        <v>7</v>
      </c>
      <c r="H430" t="n">
        <v>1800</v>
      </c>
      <c r="I430">
        <f>D430*60</f>
        <v/>
      </c>
      <c r="J430">
        <f>COUNTIF(Отзывы!$D:$D, 443704)</f>
        <v/>
      </c>
    </row>
    <row r="431">
      <c r="A431" t="n">
        <v>17992</v>
      </c>
      <c r="B431" t="inlineStr">
        <is>
          <t>mom s italian pork chops</t>
        </is>
      </c>
      <c r="C431" t="n">
        <v>26222</v>
      </c>
      <c r="D431" s="4" t="n">
        <v>60</v>
      </c>
      <c r="E431" s="1" t="n">
        <v>37370</v>
      </c>
      <c r="F431" t="inlineStr">
        <is>
          <t>my mom put this dish together so i guessed at some of the ingredient amounts. these are so tender and delicious too!</t>
        </is>
      </c>
      <c r="G431" t="n">
        <v>6</v>
      </c>
      <c r="H431" t="n">
        <v>3600</v>
      </c>
      <c r="I431">
        <f>D431*60</f>
        <v/>
      </c>
      <c r="J431">
        <f>COUNTIF(Отзывы!$D:$D, 26222)</f>
        <v/>
      </c>
    </row>
    <row r="432">
      <c r="A432" t="n">
        <v>20621</v>
      </c>
      <c r="B432" t="inlineStr">
        <is>
          <t>pesto mozzarella skewers</t>
        </is>
      </c>
      <c r="C432" t="n">
        <v>203322</v>
      </c>
      <c r="D432" s="4" t="n">
        <v>30</v>
      </c>
      <c r="E432" s="1" t="n">
        <v>39086</v>
      </c>
      <c r="F432" t="inlineStr">
        <is>
          <t>a beautiful and tasty way to use the widely available fresh mozarella balls.  i use homemade pesto, but you can find it in jars in the gourmet section.  arranged on toothpicks, these bite-size appetizers are festive and colorful.</t>
        </is>
      </c>
      <c r="G432" t="n">
        <v>8</v>
      </c>
      <c r="H432" t="n">
        <v>1800</v>
      </c>
      <c r="I432">
        <f>D432*60</f>
        <v/>
      </c>
      <c r="J432">
        <f>COUNTIF(Отзывы!$D:$D, 203322)</f>
        <v/>
      </c>
    </row>
    <row r="433">
      <c r="A433" t="n">
        <v>20149</v>
      </c>
      <c r="B433" t="inlineStr">
        <is>
          <t>peach yogurt soup</t>
        </is>
      </c>
      <c r="C433" t="n">
        <v>221706</v>
      </c>
      <c r="D433" s="6" t="n">
        <v>10</v>
      </c>
      <c r="E433" s="1" t="n">
        <v>39181</v>
      </c>
      <c r="F433" t="inlineStr">
        <is>
          <t>i thought this was a very yummy recipe. i tried this at our local farmers market. it is from the cornell cooperative extension. frozen peaches can be used as well as apricot juice.</t>
        </is>
      </c>
      <c r="G433" t="n">
        <v>7</v>
      </c>
      <c r="H433" t="n">
        <v>600</v>
      </c>
      <c r="I433">
        <f>D433*60</f>
        <v/>
      </c>
      <c r="J433">
        <f>COUNTIF(Отзывы!$D:$D, 221706)</f>
        <v/>
      </c>
    </row>
    <row r="434" ht="409.5" customHeight="1">
      <c r="A434" t="n">
        <v>21250</v>
      </c>
      <c r="B434" t="inlineStr">
        <is>
          <t>pork machaca  tender pulled mexican pork</t>
        </is>
      </c>
      <c r="C434" t="n">
        <v>172900</v>
      </c>
      <c r="D434" s="4" t="n">
        <v>260</v>
      </c>
      <c r="E434" s="1" t="n">
        <v>38884</v>
      </c>
      <c r="F434" s="2" t="inlineStr">
        <is>
          <t>this is used to make burritos, tacos, or even a mexican style pot roast. although it makes a lot, it freezes well; and the broth makes a nice base for posole soup. quantities are inexact but strict adherence to the recipe is not that crucial; i make this in restaurants and just "go by eye"._x000D_
props to gaylaj for shaming me into posting my first recipe here!</t>
        </is>
      </c>
      <c r="G434" t="n">
        <v>7</v>
      </c>
      <c r="H434" t="n">
        <v>15600</v>
      </c>
      <c r="I434">
        <f>D434*60</f>
        <v/>
      </c>
      <c r="J434">
        <f>COUNTIF(Отзывы!$D:$D, 172900)</f>
        <v/>
      </c>
    </row>
    <row r="435">
      <c r="A435" t="n">
        <v>16221</v>
      </c>
      <c r="B435" t="inlineStr">
        <is>
          <t>limeade screwdriver</t>
        </is>
      </c>
      <c r="C435" t="n">
        <v>473508</v>
      </c>
      <c r="D435" s="5" t="n">
        <v>1</v>
      </c>
      <c r="E435" s="1" t="n">
        <v>40941</v>
      </c>
      <c r="F435" t="inlineStr">
        <is>
          <t>i call this my taste of summer on a cold winter's day.</t>
        </is>
      </c>
      <c r="G435" t="n">
        <v>3</v>
      </c>
      <c r="H435" t="n">
        <v>60</v>
      </c>
      <c r="I435">
        <f>D435*60</f>
        <v/>
      </c>
      <c r="J435">
        <f>COUNTIF(Отзывы!$D:$D, 473508)</f>
        <v/>
      </c>
    </row>
    <row r="436">
      <c r="A436" t="n">
        <v>12216</v>
      </c>
      <c r="B436" t="inlineStr">
        <is>
          <t>golden chocolate cake</t>
        </is>
      </c>
      <c r="C436" t="n">
        <v>411261</v>
      </c>
      <c r="D436" s="4" t="n">
        <v>80</v>
      </c>
      <c r="E436" s="1" t="n">
        <v>40210</v>
      </c>
      <c r="F436" t="inlineStr">
        <is>
          <t>i love this one!   i don't make if often though - because i always eat too much of it!   i always  use hershey's chocolate bars in this one.  my sister made this years ago for a family dinner, it was the best part of the meal.  this one doesn't need a frosting to dress it up - it's great just as is.</t>
        </is>
      </c>
      <c r="G436" t="n">
        <v>10</v>
      </c>
      <c r="H436" t="n">
        <v>4800</v>
      </c>
      <c r="I436">
        <f>D436*60</f>
        <v/>
      </c>
      <c r="J436">
        <f>COUNTIF(Отзывы!$D:$D, 411261)</f>
        <v/>
      </c>
    </row>
    <row r="437">
      <c r="A437" t="n">
        <v>20723</v>
      </c>
      <c r="B437" t="inlineStr">
        <is>
          <t>pie shell</t>
        </is>
      </c>
      <c r="C437" t="n">
        <v>400309</v>
      </c>
      <c r="D437" s="6" t="n">
        <v>10</v>
      </c>
      <c r="E437" s="1" t="n">
        <v>40137</v>
      </c>
      <c r="F437" t="inlineStr">
        <is>
          <t>this was given to me by a mennonite friend (along with her recipe for apple dumplings).  wonderful and easy.</t>
        </is>
      </c>
      <c r="H437" t="n">
        <v>600</v>
      </c>
      <c r="I437">
        <f>D437*60</f>
        <v/>
      </c>
      <c r="J437">
        <f>COUNTIF(Отзывы!$D:$D, 400309)</f>
        <v/>
      </c>
    </row>
    <row r="438">
      <c r="A438" t="n">
        <v>29652</v>
      </c>
      <c r="B438" t="inlineStr">
        <is>
          <t>yeast free garlic rolls</t>
        </is>
      </c>
      <c r="C438" t="n">
        <v>428397</v>
      </c>
      <c r="D438" s="4" t="n">
        <v>40</v>
      </c>
      <c r="E438" s="1" t="n">
        <v>40332</v>
      </c>
      <c r="F438" t="inlineStr">
        <is>
          <t>i just came up with this one (literally like 3 hours ago) for the picnic tonight at a friends house and i have limited ingredients at home (as in i already used up the yeast we had earlier) and i only had/have a short amount of time to make them (yay procrastination!).  i modified a yeast free pizza dough recipe, and freshly made they are tasty and very similar to yeast rolls (not quite as chewy).  as i found it virtually impossible to find a more-than-basic-rolls recipe with my short amount of patience with internet searches, i decided to contribute to the world wide web of recipes for the other quickly bored friends out there.  i did this by hand (in a deep metal skillet, but that's beside the point) as well, so i don't know how it will translate to the mechanical world.  also i made 2 batches, so that's why the yield is a little weird and i can let you know that mixing the dry ingredients is not necessary but helps (i forgot the baking soda and salt at first on the second batch).</t>
        </is>
      </c>
      <c r="G438" t="n">
        <v>10</v>
      </c>
      <c r="H438" t="n">
        <v>2400</v>
      </c>
      <c r="I438">
        <f>D438*60</f>
        <v/>
      </c>
      <c r="J438">
        <f>COUNTIF(Отзывы!$D:$D, 428397)</f>
        <v/>
      </c>
    </row>
    <row r="439">
      <c r="A439" t="n">
        <v>6770</v>
      </c>
      <c r="B439" t="inlineStr">
        <is>
          <t>chocolate stout cake</t>
        </is>
      </c>
      <c r="C439" t="n">
        <v>36965</v>
      </c>
      <c r="D439" s="4" t="n">
        <v>65</v>
      </c>
      <c r="E439" s="1" t="n">
        <v>37481</v>
      </c>
      <c r="F439" t="inlineStr">
        <is>
          <t>i have not tried this recipe myself, but seeing all the guinness lovers here i thought i should post this. the stout gives this cake an intense, not-too-sweet flavor. from barrington's brewery in great barrington, massachusetts and bon appetit.</t>
        </is>
      </c>
      <c r="G439" t="n">
        <v>11</v>
      </c>
      <c r="H439" t="n">
        <v>3900</v>
      </c>
      <c r="I439">
        <f>D439*60</f>
        <v/>
      </c>
      <c r="J439">
        <f>COUNTIF(Отзывы!$D:$D, 36965)</f>
        <v/>
      </c>
    </row>
    <row r="440">
      <c r="A440" t="n">
        <v>17126</v>
      </c>
      <c r="B440" t="inlineStr">
        <is>
          <t>marvelous muesli</t>
        </is>
      </c>
      <c r="C440" t="n">
        <v>160904</v>
      </c>
      <c r="D440" s="4" t="n">
        <v>15</v>
      </c>
      <c r="E440" s="1" t="n">
        <v>38797</v>
      </c>
      <c r="F440" t="inlineStr">
        <is>
          <t>a healthy breakfast or snack food anytime.</t>
        </is>
      </c>
      <c r="G440" t="n">
        <v>7</v>
      </c>
      <c r="H440" t="n">
        <v>900</v>
      </c>
      <c r="I440">
        <f>D440*60</f>
        <v/>
      </c>
      <c r="J440">
        <f>COUNTIF(Отзывы!$D:$D, 160904)</f>
        <v/>
      </c>
    </row>
    <row r="441">
      <c r="A441" t="n">
        <v>1726</v>
      </c>
      <c r="B441" t="inlineStr">
        <is>
          <t>baja shrimp tacos  grilled corn salsa   chipotle yogurt  rsc</t>
        </is>
      </c>
      <c r="C441" t="n">
        <v>494956</v>
      </c>
      <c r="D441" s="4" t="n">
        <v>30</v>
      </c>
      <c r="E441" s="1" t="n">
        <v>41312</v>
      </c>
      <c r="F441" t="inlineStr">
        <is>
          <t>ready, set, cook! hidden valley contest entry.  transport yourself to baja with these easy and delicious shrimp tacos!</t>
        </is>
      </c>
      <c r="G441" t="n">
        <v>13</v>
      </c>
      <c r="H441" t="n">
        <v>1800</v>
      </c>
      <c r="I441">
        <f>D441*60</f>
        <v/>
      </c>
      <c r="J441">
        <f>COUNTIF(Отзывы!$D:$D, 494956)</f>
        <v/>
      </c>
    </row>
    <row r="442">
      <c r="A442" t="n">
        <v>2115</v>
      </c>
      <c r="B442" t="inlineStr">
        <is>
          <t>banana butterfinger pudding</t>
        </is>
      </c>
      <c r="C442" t="n">
        <v>78565</v>
      </c>
      <c r="D442" s="6" t="n">
        <v>10</v>
      </c>
      <c r="E442" s="1" t="n">
        <v>37966</v>
      </c>
      <c r="F442" t="inlineStr">
        <is>
          <t>this is a very easy and quick dessert to make...and the crushed butterfinger bars make this extra special....very yummy.</t>
        </is>
      </c>
      <c r="G442" t="n">
        <v>5</v>
      </c>
      <c r="H442" t="n">
        <v>600</v>
      </c>
      <c r="I442">
        <f>D442*60</f>
        <v/>
      </c>
      <c r="J442">
        <f>COUNTIF(Отзывы!$D:$D, 78565)</f>
        <v/>
      </c>
    </row>
    <row r="443">
      <c r="A443" t="n">
        <v>11257</v>
      </c>
      <c r="B443" t="inlineStr">
        <is>
          <t>french bread   10 grain</t>
        </is>
      </c>
      <c r="C443" t="n">
        <v>411799</v>
      </c>
      <c r="D443" s="4" t="n">
        <v>210</v>
      </c>
      <c r="E443" s="1" t="n">
        <v>40213</v>
      </c>
      <c r="F443" t="inlineStr">
        <is>
          <t>a healthy loaf of french bread that tastes wonderful! i use my bread machine on dough setting to mix and knead the dough then shape, rise again and finish it in the oven.</t>
        </is>
      </c>
      <c r="G443" t="n">
        <v>11</v>
      </c>
      <c r="H443" t="n">
        <v>12600</v>
      </c>
      <c r="I443">
        <f>D443*60</f>
        <v/>
      </c>
      <c r="J443">
        <f>COUNTIF(Отзывы!$D:$D, 411799)</f>
        <v/>
      </c>
    </row>
    <row r="444">
      <c r="A444" t="n">
        <v>24961</v>
      </c>
      <c r="B444" t="inlineStr">
        <is>
          <t>southern summer squash casserole</t>
        </is>
      </c>
      <c r="C444" t="n">
        <v>22704</v>
      </c>
      <c r="D444" s="4" t="n">
        <v>90</v>
      </c>
      <c r="E444" s="1" t="n">
        <v>37331</v>
      </c>
      <c r="F444" t="inlineStr">
        <is>
          <t>this side dish actually makes a great meal in itself...if you like squash. goes great with roast.</t>
        </is>
      </c>
      <c r="G444" t="n">
        <v>6</v>
      </c>
      <c r="H444" t="n">
        <v>5400</v>
      </c>
      <c r="I444">
        <f>D444*60</f>
        <v/>
      </c>
      <c r="J444">
        <f>COUNTIF(Отзывы!$D:$D, 22704)</f>
        <v/>
      </c>
    </row>
    <row r="445">
      <c r="A445" t="n">
        <v>29815</v>
      </c>
      <c r="B445" t="inlineStr">
        <is>
          <t>zebra icebox cookies</t>
        </is>
      </c>
      <c r="C445" t="n">
        <v>116007</v>
      </c>
      <c r="D445" s="4" t="n">
        <v>39</v>
      </c>
      <c r="E445" s="1" t="n">
        <v>38451</v>
      </c>
      <c r="F445" t="inlineStr">
        <is>
          <t>this was in my email as a local grocery store's "recipe of the day." chill time is not included.</t>
        </is>
      </c>
      <c r="G445" t="n">
        <v>8</v>
      </c>
      <c r="H445" t="n">
        <v>2340</v>
      </c>
      <c r="I445">
        <f>D445*60</f>
        <v/>
      </c>
      <c r="J445">
        <f>COUNTIF(Отзывы!$D:$D, 116007)</f>
        <v/>
      </c>
    </row>
    <row r="446" ht="409.5" customHeight="1">
      <c r="A446" t="n">
        <v>17220</v>
      </c>
      <c r="B446" t="inlineStr">
        <is>
          <t>mcdonald s big mac sauce copycat recipe</t>
        </is>
      </c>
      <c r="C446" t="n">
        <v>429438</v>
      </c>
      <c r="D446" s="6" t="n">
        <v>5</v>
      </c>
      <c r="E446" s="1" t="n">
        <v>40340</v>
      </c>
      <c r="F446" s="2" t="inlineStr">
        <is>
          <t>i found this in a copycat cookbook i got at the library. it is very nice._x000D_
this is what it says in the intro for this recipe "this fast food classic comes from a mcdonald's manager's handbook published in the late 1960s. the chain has since replaced the sauce with the more well-known "secret sauce." "</t>
        </is>
      </c>
      <c r="G446" t="n">
        <v>10</v>
      </c>
      <c r="H446" t="n">
        <v>300</v>
      </c>
      <c r="I446">
        <f>D446*60</f>
        <v/>
      </c>
      <c r="J446">
        <f>COUNTIF(Отзывы!$D:$D, 429438)</f>
        <v/>
      </c>
    </row>
    <row r="447">
      <c r="A447" t="n">
        <v>14578</v>
      </c>
      <c r="B447" t="inlineStr">
        <is>
          <t>island cheese ball</t>
        </is>
      </c>
      <c r="C447" t="n">
        <v>83598</v>
      </c>
      <c r="D447" s="6" t="n">
        <v>5</v>
      </c>
      <c r="E447" s="1" t="n">
        <v>38028</v>
      </c>
      <c r="F447" t="inlineStr">
        <is>
          <t>a very simple and tasty recipe to serve. even better if made the day before.</t>
        </is>
      </c>
      <c r="H447" t="n">
        <v>300</v>
      </c>
      <c r="I447">
        <f>D447*60</f>
        <v/>
      </c>
      <c r="J447">
        <f>COUNTIF(Отзывы!$D:$D, 83598)</f>
        <v/>
      </c>
    </row>
    <row r="448">
      <c r="A448" t="n">
        <v>28857</v>
      </c>
      <c r="B448" t="inlineStr">
        <is>
          <t>vichyssoise</t>
        </is>
      </c>
      <c r="C448" t="n">
        <v>373757</v>
      </c>
      <c r="D448" s="4" t="n">
        <v>65</v>
      </c>
      <c r="E448" s="1" t="n">
        <v>39955</v>
      </c>
      <c r="F448" t="inlineStr">
        <is>
          <t>this soup from vichy, france is usually served cold, but it also a hearty meal served with toasted buttered rye bread and sliced chilled tomatoes on the side.</t>
        </is>
      </c>
      <c r="G448" t="n">
        <v>9</v>
      </c>
      <c r="H448" t="n">
        <v>3900</v>
      </c>
      <c r="I448">
        <f>D448*60</f>
        <v/>
      </c>
      <c r="J448">
        <f>COUNTIF(Отзывы!$D:$D, 373757)</f>
        <v/>
      </c>
    </row>
    <row r="449">
      <c r="A449" t="n">
        <v>13279</v>
      </c>
      <c r="B449" t="inlineStr">
        <is>
          <t>hamburger bean soup</t>
        </is>
      </c>
      <c r="C449" t="n">
        <v>104368</v>
      </c>
      <c r="D449" s="4" t="n">
        <v>390</v>
      </c>
      <c r="E449" s="1" t="n">
        <v>38309</v>
      </c>
      <c r="F449" t="inlineStr">
        <is>
          <t>my mother's favorite soup. she got the recipe from a quilt guild she belongs to.</t>
        </is>
      </c>
      <c r="G449" t="n">
        <v>15</v>
      </c>
      <c r="H449" t="n">
        <v>23400</v>
      </c>
      <c r="I449">
        <f>D449*60</f>
        <v/>
      </c>
      <c r="J449">
        <f>COUNTIF(Отзывы!$D:$D, 104368)</f>
        <v/>
      </c>
    </row>
    <row r="450">
      <c r="A450" t="n">
        <v>22222</v>
      </c>
      <c r="B450" t="inlineStr">
        <is>
          <t>ratatouille meatballs</t>
        </is>
      </c>
      <c r="C450" t="n">
        <v>422765</v>
      </c>
      <c r="D450" s="4" t="n">
        <v>90</v>
      </c>
      <c r="E450" s="1" t="n">
        <v>40301</v>
      </c>
      <c r="F450" t="inlineStr">
        <is>
          <t>i made ratatouille for my dil the other night. she mentioned her mum used to make it with meatballs in it so this is my take on that recipe. i got further inspiration from **mandy**s recipe #220408. we usually eat most of the dish and then take the leftovers (cold) the following day for a picnic as we fish.</t>
        </is>
      </c>
      <c r="G450" t="n">
        <v>16</v>
      </c>
      <c r="H450" t="n">
        <v>5400</v>
      </c>
      <c r="I450">
        <f>D450*60</f>
        <v/>
      </c>
      <c r="J450">
        <f>COUNTIF(Отзывы!$D:$D, 422765)</f>
        <v/>
      </c>
    </row>
    <row r="451">
      <c r="A451" t="n">
        <v>9207</v>
      </c>
      <c r="B451" t="inlineStr">
        <is>
          <t>decadent brownie pie</t>
        </is>
      </c>
      <c r="C451" t="n">
        <v>164170</v>
      </c>
      <c r="D451" s="4" t="n">
        <v>75</v>
      </c>
      <c r="E451" s="1" t="n">
        <v>38819</v>
      </c>
      <c r="F451" t="inlineStr">
        <is>
          <t>from taste of home. they claim this is the richest brownie you'll ever taste. i'm not sure it is the richest, but it is way too good! garnish slices with andes mint candies, caramel ice cream topping, whipped cream, or whatever your heart desires! prep time does not include cooling time.</t>
        </is>
      </c>
      <c r="G451" t="n">
        <v>11</v>
      </c>
      <c r="H451" t="n">
        <v>4500</v>
      </c>
      <c r="I451">
        <f>D451*60</f>
        <v/>
      </c>
      <c r="J451">
        <f>COUNTIF(Отзывы!$D:$D, 164170)</f>
        <v/>
      </c>
    </row>
    <row r="452">
      <c r="A452" t="n">
        <v>19503</v>
      </c>
      <c r="B452" t="inlineStr">
        <is>
          <t>orzo greek pasta salad</t>
        </is>
      </c>
      <c r="C452" t="n">
        <v>159934</v>
      </c>
      <c r="D452" s="4" t="n">
        <v>55</v>
      </c>
      <c r="E452" s="1" t="n">
        <v>38790</v>
      </c>
      <c r="F452" t="inlineStr">
        <is>
          <t>a fresh tasting, light, lemony salad. i often use this as a meatless main dish for dinner! cook time is chill time.</t>
        </is>
      </c>
      <c r="G452" t="n">
        <v>12</v>
      </c>
      <c r="H452" t="n">
        <v>3300</v>
      </c>
      <c r="I452">
        <f>D452*60</f>
        <v/>
      </c>
      <c r="J452">
        <f>COUNTIF(Отзывы!$D:$D, 159934)</f>
        <v/>
      </c>
    </row>
    <row r="453" ht="409.5" customHeight="1">
      <c r="A453" t="n">
        <v>12077</v>
      </c>
      <c r="B453" t="inlineStr">
        <is>
          <t>gipsy cake</t>
        </is>
      </c>
      <c r="C453" t="n">
        <v>387138</v>
      </c>
      <c r="D453" s="4" t="n">
        <v>100</v>
      </c>
      <c r="E453" s="1" t="n">
        <v>40050</v>
      </c>
      <c r="F453" s="2" t="inlineStr">
        <is>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is>
      </c>
      <c r="H453" t="n">
        <v>6000</v>
      </c>
      <c r="I453">
        <f>D453*60</f>
        <v/>
      </c>
      <c r="J453">
        <f>COUNTIF(Отзывы!$D:$D, 387138)</f>
        <v/>
      </c>
    </row>
    <row r="454">
      <c r="A454" t="n">
        <v>23325</v>
      </c>
      <c r="B454" t="inlineStr">
        <is>
          <t>sandwich loaf</t>
        </is>
      </c>
      <c r="C454" t="n">
        <v>31864</v>
      </c>
      <c r="D454" s="4" t="n">
        <v>30</v>
      </c>
      <c r="E454" s="1" t="n">
        <v>37430</v>
      </c>
      <c r="F454" t="inlineStr">
        <is>
          <t>a festive way to serve party sandwiches. for baby and bridal showers, i add a bit of food coloring to match the theme and garnish the serving platter with fresh flowers. if you are making 2 loaves you can use one white and one wheat loaf and alternate the slices. the loaf can be made ahead of time. posted by request.</t>
        </is>
      </c>
      <c r="G454" t="n">
        <v>6</v>
      </c>
      <c r="H454" t="n">
        <v>1800</v>
      </c>
      <c r="I454">
        <f>D454*60</f>
        <v/>
      </c>
      <c r="J454">
        <f>COUNTIF(Отзывы!$D:$D, 31864)</f>
        <v/>
      </c>
    </row>
    <row r="455">
      <c r="A455" t="n">
        <v>24778</v>
      </c>
      <c r="B455" t="inlineStr">
        <is>
          <t>sonic onion rings</t>
        </is>
      </c>
      <c r="C455" t="n">
        <v>79540</v>
      </c>
      <c r="D455" s="6" t="n">
        <v>6</v>
      </c>
      <c r="E455" s="1" t="n">
        <v>37979</v>
      </c>
      <c r="F455" t="inlineStr">
        <is>
          <t>copykat.com, very good onion ring.</t>
        </is>
      </c>
      <c r="G455" t="n">
        <v>5</v>
      </c>
      <c r="H455" t="n">
        <v>360</v>
      </c>
      <c r="I455">
        <f>D455*60</f>
        <v/>
      </c>
      <c r="J455">
        <f>COUNTIF(Отзывы!$D:$D, 79540)</f>
        <v/>
      </c>
    </row>
    <row r="456">
      <c r="A456" t="n">
        <v>28480</v>
      </c>
      <c r="B456" t="inlineStr">
        <is>
          <t>v s mexican lasagna</t>
        </is>
      </c>
      <c r="C456" t="n">
        <v>187569</v>
      </c>
      <c r="D456" s="4" t="n">
        <v>65</v>
      </c>
      <c r="E456" s="1" t="n">
        <v>38986</v>
      </c>
      <c r="F456" t="inlineStr">
        <is>
          <t>i was going to make chicken enchiladas and realized i didn't have tortillas so i switched it up a bit and came up with a mexican lasagna instead. it's a big hit and always requested in my house. i was honored to have it published in septoct issue of taste of home simple &amp; delicious...pg 56!</t>
        </is>
      </c>
      <c r="G456" t="n">
        <v>11</v>
      </c>
      <c r="H456" t="n">
        <v>3900</v>
      </c>
      <c r="I456">
        <f>D456*60</f>
        <v/>
      </c>
      <c r="J456">
        <f>COUNTIF(Отзывы!$D:$D, 187569)</f>
        <v/>
      </c>
    </row>
    <row r="457">
      <c r="A457" t="n">
        <v>28173</v>
      </c>
      <c r="B457" t="inlineStr">
        <is>
          <t>turkey calabacitas</t>
        </is>
      </c>
      <c r="C457" t="n">
        <v>211687</v>
      </c>
      <c r="D457" s="4" t="n">
        <v>35</v>
      </c>
      <c r="E457" s="1" t="n">
        <v>39128</v>
      </c>
      <c r="F457" t="inlineStr">
        <is>
          <t>hatch chilies are a variety of green chile. they can be purchased online or you may substitute fresh poblano chilies.</t>
        </is>
      </c>
      <c r="H457" t="n">
        <v>2100</v>
      </c>
      <c r="I457">
        <f>D457*60</f>
        <v/>
      </c>
      <c r="J457">
        <f>COUNTIF(Отзывы!$D:$D, 211687)</f>
        <v/>
      </c>
    </row>
    <row r="458">
      <c r="A458" t="n">
        <v>24382</v>
      </c>
      <c r="B458" t="inlineStr">
        <is>
          <t>skillet meatball mushroom stroganoff</t>
        </is>
      </c>
      <c r="C458" t="n">
        <v>176719</v>
      </c>
      <c r="D458" s="4" t="n">
        <v>55</v>
      </c>
      <c r="E458" s="1" t="n">
        <v>38908</v>
      </c>
      <c r="F458" t="inlineStr">
        <is>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is>
      </c>
      <c r="G458" t="n">
        <v>13</v>
      </c>
      <c r="H458" t="n">
        <v>3300</v>
      </c>
      <c r="I458">
        <f>D458*60</f>
        <v/>
      </c>
      <c r="J458">
        <f>COUNTIF(Отзывы!$D:$D, 176719)</f>
        <v/>
      </c>
    </row>
    <row r="459" ht="390" customHeight="1">
      <c r="A459" t="n">
        <v>15021</v>
      </c>
      <c r="B459" t="inlineStr">
        <is>
          <t>joani s pasta sauce</t>
        </is>
      </c>
      <c r="C459" t="n">
        <v>146764</v>
      </c>
      <c r="D459" s="4" t="n">
        <v>30</v>
      </c>
      <c r="E459" s="1" t="n">
        <v>38685</v>
      </c>
      <c r="F459" s="2" t="inlineStr">
        <is>
          <t>i just made this tonight, and i think it's the best spaghetti sauce i've ever tasted. of course, i may be a bit biased. _x000D_
it's so good, i wasn't sure i wanted to contaminate it with the pasta. :d</t>
        </is>
      </c>
      <c r="H459" t="n">
        <v>1800</v>
      </c>
      <c r="I459">
        <f>D459*60</f>
        <v/>
      </c>
      <c r="J459">
        <f>COUNTIF(Отзывы!$D:$D, 146764)</f>
        <v/>
      </c>
    </row>
    <row r="460">
      <c r="A460" t="n">
        <v>13576</v>
      </c>
      <c r="B460" t="inlineStr">
        <is>
          <t>heavy on the garlic hummus</t>
        </is>
      </c>
      <c r="C460" t="n">
        <v>59552</v>
      </c>
      <c r="D460" s="4" t="n">
        <v>30</v>
      </c>
      <c r="E460" s="1" t="n">
        <v>37725</v>
      </c>
      <c r="F460" t="inlineStr">
        <is>
          <t>i was going through some old recipe files and came across this recipe from a local mediterranean restaurant no longer in business. i had never made it so i decided to give it a try and i'm glad i did.</t>
        </is>
      </c>
      <c r="H460" t="n">
        <v>1800</v>
      </c>
      <c r="I460">
        <f>D460*60</f>
        <v/>
      </c>
      <c r="J460">
        <f>COUNTIF(Отзывы!$D:$D, 59552)</f>
        <v/>
      </c>
    </row>
    <row r="461">
      <c r="A461" t="n">
        <v>26514</v>
      </c>
      <c r="B461" t="inlineStr">
        <is>
          <t>surprise french toast</t>
        </is>
      </c>
      <c r="C461" t="n">
        <v>31305</v>
      </c>
      <c r="D461" s="4" t="n">
        <v>40</v>
      </c>
      <c r="E461" s="1" t="n">
        <v>37424</v>
      </c>
      <c r="F461" t="inlineStr">
        <is>
          <t>this yummy breakfast treat will have you wanting breakfast for all 3 meals a day!</t>
        </is>
      </c>
      <c r="H461" t="n">
        <v>2400</v>
      </c>
      <c r="I461">
        <f>D461*60</f>
        <v/>
      </c>
      <c r="J461">
        <f>COUNTIF(Отзывы!$D:$D, 31305)</f>
        <v/>
      </c>
    </row>
    <row r="462">
      <c r="A462" t="n">
        <v>15293</v>
      </c>
      <c r="B462" t="inlineStr">
        <is>
          <t>keoke coffee</t>
        </is>
      </c>
      <c r="C462" t="n">
        <v>119735</v>
      </c>
      <c r="D462" s="6" t="n">
        <v>5</v>
      </c>
      <c r="E462" s="1" t="n">
        <v>38471</v>
      </c>
      <c r="F462" t="inlineStr">
        <is>
          <t>tasty coffee that packs a wallop!</t>
        </is>
      </c>
      <c r="G462" t="n">
        <v>4</v>
      </c>
      <c r="H462" t="n">
        <v>300</v>
      </c>
      <c r="I462">
        <f>D462*60</f>
        <v/>
      </c>
      <c r="J462">
        <f>COUNTIF(Отзывы!$D:$D, 119735)</f>
        <v/>
      </c>
    </row>
    <row r="463">
      <c r="A463" t="n">
        <v>23763</v>
      </c>
      <c r="B463" t="inlineStr">
        <is>
          <t>seafood magic seasoning copycat</t>
        </is>
      </c>
      <c r="C463" t="n">
        <v>250893</v>
      </c>
      <c r="D463" s="6" t="n">
        <v>10</v>
      </c>
      <c r="E463" s="1" t="n">
        <v>39329</v>
      </c>
      <c r="F463" t="inlineStr">
        <is>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is>
      </c>
      <c r="G463" t="n">
        <v>10</v>
      </c>
      <c r="H463" t="n">
        <v>600</v>
      </c>
      <c r="I463">
        <f>D463*60</f>
        <v/>
      </c>
      <c r="J463">
        <f>COUNTIF(Отзывы!$D:$D, 250893)</f>
        <v/>
      </c>
    </row>
    <row r="464">
      <c r="A464" t="n">
        <v>10003</v>
      </c>
      <c r="B464" t="inlineStr">
        <is>
          <t>easy flounder au gratin</t>
        </is>
      </c>
      <c r="C464" t="n">
        <v>121677</v>
      </c>
      <c r="D464" s="4" t="n">
        <v>25</v>
      </c>
      <c r="E464" s="1" t="n">
        <v>38484</v>
      </c>
      <c r="F464" t="inlineStr">
        <is>
          <t>don't know where i got this recipe.  found it in my fish recipes on a handwritten card.  i haven't tried this yet.</t>
        </is>
      </c>
      <c r="G464" t="n">
        <v>6</v>
      </c>
      <c r="H464" t="n">
        <v>1500</v>
      </c>
      <c r="I464">
        <f>D464*60</f>
        <v/>
      </c>
      <c r="J464">
        <f>COUNTIF(Отзывы!$D:$D, 121677)</f>
        <v/>
      </c>
    </row>
    <row r="465">
      <c r="A465" t="n">
        <v>12886</v>
      </c>
      <c r="B465" t="inlineStr">
        <is>
          <t>grilled flank steak with avocado relish</t>
        </is>
      </c>
      <c r="C465" t="n">
        <v>372814</v>
      </c>
      <c r="D465" s="4" t="n">
        <v>27</v>
      </c>
      <c r="E465" s="1" t="n">
        <v>39952</v>
      </c>
      <c r="F465" t="inlineStr">
        <is>
          <t>from cooking light...sounds great for summer.  extra virgin olive oil can be used in place of avocado oil.</t>
        </is>
      </c>
      <c r="G465" t="n">
        <v>13</v>
      </c>
      <c r="H465" t="n">
        <v>1620</v>
      </c>
      <c r="I465">
        <f>D465*60</f>
        <v/>
      </c>
      <c r="J465">
        <f>COUNTIF(Отзывы!$D:$D, 372814)</f>
        <v/>
      </c>
    </row>
    <row r="466">
      <c r="A466" t="n">
        <v>2535</v>
      </c>
      <c r="B466" t="inlineStr">
        <is>
          <t>bean and rice stuffed red bell peppers   crock pot</t>
        </is>
      </c>
      <c r="C466" t="n">
        <v>174693</v>
      </c>
      <c r="D466" s="4" t="n">
        <v>195</v>
      </c>
      <c r="E466" s="1" t="n">
        <v>38894</v>
      </c>
      <c r="F466" t="inlineStr">
        <is>
          <t>delicious and simple, make-ahead vegetarian meal.  this was made for our father's day dinner this year.  my father loves stuffed peppers, so my mother made this meatless version so i could eat them too! cook time depends on the heat level setting of your crock pot.</t>
        </is>
      </c>
      <c r="G466" t="n">
        <v>6</v>
      </c>
      <c r="H466" t="n">
        <v>11700</v>
      </c>
      <c r="I466">
        <f>D466*60</f>
        <v/>
      </c>
      <c r="J466">
        <f>COUNTIF(Отзывы!$D:$D, 174693)</f>
        <v/>
      </c>
    </row>
    <row r="467">
      <c r="A467" t="n">
        <v>6749</v>
      </c>
      <c r="B467" t="inlineStr">
        <is>
          <t>chocolate rum dessert</t>
        </is>
      </c>
      <c r="C467" t="n">
        <v>122777</v>
      </c>
      <c r="D467" s="4" t="n">
        <v>25</v>
      </c>
      <c r="E467" s="1" t="n">
        <v>38490</v>
      </c>
      <c r="F467" t="inlineStr">
        <is>
          <t>from southern living, this lavish dessert makes a beautiful presentation topped with whipped cream and chocolate curls and served in stemmed glasses.  similar to pudding, this dessert is richer with a delighful rum-laced flavor.  i had forgotten about this recipe until i was going through my magazines, but it's on the top of my list to make again soon.</t>
        </is>
      </c>
      <c r="G467" t="n">
        <v>7</v>
      </c>
      <c r="H467" t="n">
        <v>1500</v>
      </c>
      <c r="I467">
        <f>D467*60</f>
        <v/>
      </c>
      <c r="J467">
        <f>COUNTIF(Отзывы!$D:$D, 122777)</f>
        <v/>
      </c>
    </row>
    <row r="468">
      <c r="A468" t="n">
        <v>18807</v>
      </c>
      <c r="B468" t="inlineStr">
        <is>
          <t>nordic  stone age  nut and seed bread</t>
        </is>
      </c>
      <c r="C468" t="n">
        <v>530367</v>
      </c>
      <c r="D468" s="4" t="n">
        <v>65</v>
      </c>
      <c r="E468" s="1" t="n">
        <v>42780</v>
      </c>
      <c r="F468" t="inlineStr">
        <is>
          <t>combine nuts, seeds, olive oil, salt and eggs.  bake at 325 for 1 hour</t>
        </is>
      </c>
      <c r="G468" t="n">
        <v>9</v>
      </c>
      <c r="H468" t="n">
        <v>3900</v>
      </c>
      <c r="I468">
        <f>D468*60</f>
        <v/>
      </c>
      <c r="J468">
        <f>COUNTIF(Отзывы!$D:$D, 530367)</f>
        <v/>
      </c>
    </row>
    <row r="469">
      <c r="A469" t="n">
        <v>229</v>
      </c>
      <c r="B469" t="inlineStr">
        <is>
          <t>57 zesty honey chicken</t>
        </is>
      </c>
      <c r="C469" t="n">
        <v>151131</v>
      </c>
      <c r="D469" s="4" t="n">
        <v>25</v>
      </c>
      <c r="E469" s="1" t="n">
        <v>38727</v>
      </c>
      <c r="F469" t="inlineStr">
        <is>
          <t>this recipe is from tailgate cookin booklet from heinz kitchens.  it's really good!</t>
        </is>
      </c>
      <c r="H469" t="n">
        <v>1500</v>
      </c>
      <c r="I469">
        <f>D469*60</f>
        <v/>
      </c>
      <c r="J469">
        <f>COUNTIF(Отзывы!$D:$D, 151131)</f>
        <v/>
      </c>
    </row>
    <row r="470">
      <c r="A470" t="n">
        <v>4438</v>
      </c>
      <c r="B470" t="inlineStr">
        <is>
          <t>cake in a cup mix   cupcakes</t>
        </is>
      </c>
      <c r="C470" t="n">
        <v>46487</v>
      </c>
      <c r="D470" s="4" t="n">
        <v>32</v>
      </c>
      <c r="E470" s="1" t="n">
        <v>37577</v>
      </c>
      <c r="F470" t="inlineStr">
        <is>
          <t>great for college students or seniors--a sweet treat anytime. try different flavors of mixes. use large ceramic mugs with a design to fit the occasion.</t>
        </is>
      </c>
      <c r="H470" t="n">
        <v>1920</v>
      </c>
      <c r="I470">
        <f>D470*60</f>
        <v/>
      </c>
      <c r="J470">
        <f>COUNTIF(Отзывы!$D:$D, 46487)</f>
        <v/>
      </c>
    </row>
    <row r="471">
      <c r="A471" t="n">
        <v>29821</v>
      </c>
      <c r="B471" t="inlineStr">
        <is>
          <t>zesty baked parmesan chicken</t>
        </is>
      </c>
      <c r="C471" t="n">
        <v>86286</v>
      </c>
      <c r="D471" s="4" t="n">
        <v>40</v>
      </c>
      <c r="E471" s="1" t="n">
        <v>38057</v>
      </c>
      <c r="F471" t="inlineStr">
        <is>
          <t>this recipe is super easy and quick. you can use skinless breasts or skinless thighs. i cooked the thighs 10 minutes longer.</t>
        </is>
      </c>
      <c r="G471" t="n">
        <v>4</v>
      </c>
      <c r="H471" t="n">
        <v>2400</v>
      </c>
      <c r="I471">
        <f>D471*60</f>
        <v/>
      </c>
      <c r="J471">
        <f>COUNTIF(Отзывы!$D:$D, 86286)</f>
        <v/>
      </c>
    </row>
    <row r="472">
      <c r="A472" t="n">
        <v>27476</v>
      </c>
      <c r="B472" t="inlineStr">
        <is>
          <t>the perfect green smoothie</t>
        </is>
      </c>
      <c r="C472" t="n">
        <v>341677</v>
      </c>
      <c r="D472" s="6" t="n">
        <v>10</v>
      </c>
      <c r="E472" s="1" t="n">
        <v>39786</v>
      </c>
      <c r="F472" t="inlineStr">
        <is>
          <t>this is a wonderfully healthy smoothie that includes 5 servings of fruits and veggies! p.s.you can totally not taste the spinach at all-you can only taste the fruit,promise!!! :)</t>
        </is>
      </c>
      <c r="G472" t="n">
        <v>6</v>
      </c>
      <c r="H472" t="n">
        <v>600</v>
      </c>
      <c r="I472">
        <f>D472*60</f>
        <v/>
      </c>
      <c r="J472">
        <f>COUNTIF(Отзывы!$D:$D, 341677)</f>
        <v/>
      </c>
    </row>
    <row r="473" ht="375" customHeight="1">
      <c r="A473" t="n">
        <v>19721</v>
      </c>
      <c r="B473" t="inlineStr">
        <is>
          <t>pan broiled fillets</t>
        </is>
      </c>
      <c r="C473" t="n">
        <v>16868</v>
      </c>
      <c r="D473" s="4" t="n">
        <v>18</v>
      </c>
      <c r="E473" s="1" t="n">
        <v>37262</v>
      </c>
      <c r="F473" s="2" t="inlineStr">
        <is>
          <t xml:space="preserve">this can be done with pork tenderloin also, just cook 6 or 8 minutes, or until cooked through, when returning fillets to pan with sauce. delicious either way. from cooking light _x000D_
</t>
        </is>
      </c>
      <c r="G473" t="n">
        <v>9</v>
      </c>
      <c r="H473" t="n">
        <v>1080</v>
      </c>
      <c r="I473">
        <f>D473*60</f>
        <v/>
      </c>
      <c r="J473">
        <f>COUNTIF(Отзывы!$D:$D, 16868)</f>
        <v/>
      </c>
    </row>
    <row r="474">
      <c r="A474" t="n">
        <v>15688</v>
      </c>
      <c r="B474" t="inlineStr">
        <is>
          <t>layered orange salad</t>
        </is>
      </c>
      <c r="C474" t="n">
        <v>369967</v>
      </c>
      <c r="D474" s="6" t="n">
        <v>10</v>
      </c>
      <c r="E474" s="1" t="n">
        <v>39938</v>
      </c>
      <c r="F474" t="inlineStr">
        <is>
          <t>the crunch of the almonds and tang of the olives against the oranges is so refreshing.</t>
        </is>
      </c>
      <c r="H474" t="n">
        <v>600</v>
      </c>
      <c r="I474">
        <f>D474*60</f>
        <v/>
      </c>
      <c r="J474">
        <f>COUNTIF(Отзывы!$D:$D, 369967)</f>
        <v/>
      </c>
    </row>
    <row r="475">
      <c r="A475" t="n">
        <v>27236</v>
      </c>
      <c r="B475" t="inlineStr">
        <is>
          <t>thai corn cakes</t>
        </is>
      </c>
      <c r="C475" t="n">
        <v>399275</v>
      </c>
      <c r="D475" s="4" t="n">
        <v>31</v>
      </c>
      <c r="E475" s="1" t="n">
        <v>40130</v>
      </c>
      <c r="F475" t="inlineStr">
        <is>
          <t>received in email from gourmet_recipes_from_around_the _world. the email notes it was adapted from very simple food. very pretty with either fresh cut or sweet kernel canned corn - frozen doesn't work as well because the kernels skins get tough when frozen. the sweet chili sauce makes the meal - get it; it's cheap &amp; addictive.</t>
        </is>
      </c>
      <c r="G475" t="n">
        <v>13</v>
      </c>
      <c r="H475" t="n">
        <v>1860</v>
      </c>
      <c r="I475">
        <f>D475*60</f>
        <v/>
      </c>
      <c r="J475">
        <f>COUNTIF(Отзывы!$D:$D, 399275)</f>
        <v/>
      </c>
    </row>
    <row r="476">
      <c r="A476" t="n">
        <v>24373</v>
      </c>
      <c r="B476" t="inlineStr">
        <is>
          <t>skillet chicken with black beans and rice</t>
        </is>
      </c>
      <c r="C476" t="n">
        <v>215729</v>
      </c>
      <c r="D476" s="4" t="n">
        <v>28</v>
      </c>
      <c r="E476" s="1" t="n">
        <v>39150</v>
      </c>
      <c r="F476" t="inlineStr">
        <is>
          <t>i work long hours so i'm always looking for a good meal i can freeze and take to work as i need it.  this meal works great and the best part?  it's healthy too.</t>
        </is>
      </c>
      <c r="G476" t="n">
        <v>10</v>
      </c>
      <c r="H476" t="n">
        <v>1680</v>
      </c>
      <c r="I476">
        <f>D476*60</f>
        <v/>
      </c>
      <c r="J476">
        <f>COUNTIF(Отзывы!$D:$D, 215729)</f>
        <v/>
      </c>
    </row>
    <row r="477">
      <c r="A477" t="n">
        <v>11921</v>
      </c>
      <c r="B477" t="inlineStr">
        <is>
          <t>german nudelsalat  noodle salad</t>
        </is>
      </c>
      <c r="C477" t="n">
        <v>60624</v>
      </c>
      <c r="D477" s="4" t="n">
        <v>35</v>
      </c>
      <c r="E477" s="1" t="n">
        <v>37733</v>
      </c>
      <c r="F477" t="inlineStr">
        <is>
          <t>posted by request - instructions, american equivalents to german products and measurements by heatherfeather. thank you so much!</t>
        </is>
      </c>
      <c r="H477" t="n">
        <v>2100</v>
      </c>
      <c r="I477">
        <f>D477*60</f>
        <v/>
      </c>
      <c r="J477">
        <f>COUNTIF(Отзывы!$D:$D, 60624)</f>
        <v/>
      </c>
    </row>
    <row r="478">
      <c r="A478" t="n">
        <v>3652</v>
      </c>
      <c r="B478" t="inlineStr">
        <is>
          <t>brazilian vinaigrette</t>
        </is>
      </c>
      <c r="C478" t="n">
        <v>385892</v>
      </c>
      <c r="D478" s="6" t="n">
        <v>10</v>
      </c>
      <c r="E478" s="1" t="n">
        <v>40043</v>
      </c>
      <c r="F478" t="inlineStr">
        <is>
          <t>this can be used over meat, fish or chicken but i absolutely love to drizzle a little over white rice. it's great over salad too.</t>
        </is>
      </c>
      <c r="G478" t="n">
        <v>6</v>
      </c>
      <c r="H478" t="n">
        <v>600</v>
      </c>
      <c r="I478">
        <f>D478*60</f>
        <v/>
      </c>
      <c r="J478">
        <f>COUNTIF(Отзывы!$D:$D, 385892)</f>
        <v/>
      </c>
    </row>
    <row r="479">
      <c r="A479" t="n">
        <v>10348</v>
      </c>
      <c r="B479" t="inlineStr">
        <is>
          <t>egg mcmuffin</t>
        </is>
      </c>
      <c r="C479" t="n">
        <v>101647</v>
      </c>
      <c r="D479" s="6" t="n">
        <v>10</v>
      </c>
      <c r="E479" s="1" t="n">
        <v>38271</v>
      </c>
      <c r="F479" t="inlineStr">
        <is>
          <t>developed to have a breakfast sandwich that emulated an "eggs benedict" the mcmuffin has become the standard sando for breakfast. these are so quick n' easy to make with minimum clean up.</t>
        </is>
      </c>
      <c r="G479" t="n">
        <v>6</v>
      </c>
      <c r="H479" t="n">
        <v>600</v>
      </c>
      <c r="I479">
        <f>D479*60</f>
        <v/>
      </c>
      <c r="J479">
        <f>COUNTIF(Отзывы!$D:$D, 101647)</f>
        <v/>
      </c>
    </row>
    <row r="480">
      <c r="A480" t="n">
        <v>26210</v>
      </c>
      <c r="B480" t="inlineStr">
        <is>
          <t>stuffed veal</t>
        </is>
      </c>
      <c r="C480" t="n">
        <v>20985</v>
      </c>
      <c r="D480" s="4" t="n">
        <v>30</v>
      </c>
      <c r="E480" s="1" t="n">
        <v>37315</v>
      </c>
      <c r="F480" t="inlineStr">
        <is>
          <t xml:space="preserve">this recipie is from pol martin's modern american cooking. my husband loves it. my neighbor seems to always </t>
        </is>
      </c>
      <c r="G480" t="n">
        <v>10</v>
      </c>
      <c r="H480" t="n">
        <v>1800</v>
      </c>
      <c r="I480">
        <f>D480*60</f>
        <v/>
      </c>
      <c r="J480">
        <f>COUNTIF(Отзывы!$D:$D, 20985)</f>
        <v/>
      </c>
    </row>
    <row r="481">
      <c r="A481" t="n">
        <v>21271</v>
      </c>
      <c r="B481" t="inlineStr">
        <is>
          <t>pork sticks aka pig on a stick</t>
        </is>
      </c>
      <c r="C481" t="n">
        <v>9464</v>
      </c>
      <c r="D481" s="4" t="n">
        <v>110</v>
      </c>
      <c r="E481" s="1" t="n">
        <v>37057</v>
      </c>
      <c r="F481" t="inlineStr">
        <is>
          <t>so simple and very, very tasty. great football food!</t>
        </is>
      </c>
      <c r="H481" t="n">
        <v>6600</v>
      </c>
      <c r="I481">
        <f>D481*60</f>
        <v/>
      </c>
      <c r="J481">
        <f>COUNTIF(Отзывы!$D:$D, 9464)</f>
        <v/>
      </c>
    </row>
    <row r="482">
      <c r="A482" t="n">
        <v>17281</v>
      </c>
      <c r="B482" t="inlineStr">
        <is>
          <t>meatballs with dill sauce</t>
        </is>
      </c>
      <c r="C482" t="n">
        <v>34528</v>
      </c>
      <c r="D482" s="4" t="n">
        <v>25</v>
      </c>
      <c r="E482" s="1" t="n">
        <v>37454</v>
      </c>
      <c r="F482" t="inlineStr">
        <is>
          <t>these make teriffic appetizers. or serve them over rice for a meal.</t>
        </is>
      </c>
      <c r="G482" t="n">
        <v>12</v>
      </c>
      <c r="H482" t="n">
        <v>1500</v>
      </c>
      <c r="I482">
        <f>D482*60</f>
        <v/>
      </c>
      <c r="J482">
        <f>COUNTIF(Отзывы!$D:$D, 34528)</f>
        <v/>
      </c>
    </row>
    <row r="483" ht="409.5" customHeight="1">
      <c r="A483" t="n">
        <v>27122</v>
      </c>
      <c r="B483" t="inlineStr">
        <is>
          <t>teriyaki lemon chicken  quick and easy</t>
        </is>
      </c>
      <c r="C483" t="n">
        <v>399672</v>
      </c>
      <c r="D483" s="4" t="n">
        <v>35</v>
      </c>
      <c r="E483" s="1" t="n">
        <v>40133</v>
      </c>
      <c r="F483" s="2" t="inlineStr">
        <is>
          <t>teriyaki and lemon based chicken.  this recipe my mom used to make is to die for.  watch out - it's highly addictive!!  you are guaranteed to overeat!   :-)_x000D_
_x000D_
we always double the sauce amounts to make extra sauce (details below), and then thicken it with a little cornstarch._x000D_
_x000D_
wonderful served with sugar pea pods.  add pineapple for dessert!</t>
        </is>
      </c>
      <c r="G483" t="n">
        <v>9</v>
      </c>
      <c r="H483" t="n">
        <v>2100</v>
      </c>
      <c r="I483">
        <f>D483*60</f>
        <v/>
      </c>
      <c r="J483">
        <f>COUNTIF(Отзывы!$D:$D, 399672)</f>
        <v/>
      </c>
    </row>
    <row r="484">
      <c r="A484" t="n">
        <v>2364</v>
      </c>
      <c r="B484" t="inlineStr">
        <is>
          <t>basic barbecue rub</t>
        </is>
      </c>
      <c r="C484" t="n">
        <v>232463</v>
      </c>
      <c r="D484" s="6" t="n">
        <v>5</v>
      </c>
      <c r="E484" s="1" t="n">
        <v>39238</v>
      </c>
      <c r="F484" t="inlineStr">
        <is>
          <t>this is from the booklet the iga supermarket produced. it can be good on it's own or as a base for experimenting. there are variations to this recipe that i will include below.</t>
        </is>
      </c>
      <c r="H484" t="n">
        <v>300</v>
      </c>
      <c r="I484">
        <f>D484*60</f>
        <v/>
      </c>
      <c r="J484">
        <f>COUNTIF(Отзывы!$D:$D, 232463)</f>
        <v/>
      </c>
    </row>
    <row r="485">
      <c r="A485" t="n">
        <v>26969</v>
      </c>
      <c r="B485" t="inlineStr">
        <is>
          <t>tandoori prawn  shrimp  skewers</t>
        </is>
      </c>
      <c r="C485" t="n">
        <v>237324</v>
      </c>
      <c r="D485" s="4" t="n">
        <v>60</v>
      </c>
      <c r="E485" s="1" t="n">
        <v>39259</v>
      </c>
      <c r="F485" t="inlineStr">
        <is>
          <t>a quick cook meal for the bbq. the marinade is a simple one and prawns can be marinated for as little as 30 minutes or several hours. just marinate the prawns while you prepare a side dish of salad or rice</t>
        </is>
      </c>
      <c r="G485" t="n">
        <v>9</v>
      </c>
      <c r="H485" t="n">
        <v>3600</v>
      </c>
      <c r="I485">
        <f>D485*60</f>
        <v/>
      </c>
      <c r="J485">
        <f>COUNTIF(Отзывы!$D:$D, 237324)</f>
        <v/>
      </c>
    </row>
    <row r="486">
      <c r="A486" t="n">
        <v>28248</v>
      </c>
      <c r="B486" t="inlineStr">
        <is>
          <t>turmeric broth for sipping</t>
        </is>
      </c>
      <c r="C486" t="n">
        <v>355438</v>
      </c>
      <c r="D486" s="6" t="n">
        <v>10</v>
      </c>
      <c r="E486" s="1" t="n">
        <v>39856</v>
      </c>
      <c r="F486" t="inlineStr">
        <is>
          <t>i developed this recipe as a way to get tumeric into my diet daily.  for the maximum health benifits, i have read that it needs a little fat and black pepper.  i mix up a batch of this for the week and take 1/2 to 1cup a day and sip on it like tea.  i find it very comforting.</t>
        </is>
      </c>
      <c r="H486" t="n">
        <v>600</v>
      </c>
      <c r="I486">
        <f>D486*60</f>
        <v/>
      </c>
      <c r="J486">
        <f>COUNTIF(Отзывы!$D:$D, 355438)</f>
        <v/>
      </c>
    </row>
    <row r="487">
      <c r="A487" t="n">
        <v>10378</v>
      </c>
      <c r="B487" t="inlineStr">
        <is>
          <t>eggless coconut ice cream</t>
        </is>
      </c>
      <c r="C487" t="n">
        <v>185525</v>
      </c>
      <c r="D487" s="6" t="n">
        <v>5</v>
      </c>
      <c r="E487" s="1" t="n">
        <v>38971</v>
      </c>
      <c r="F487" t="inlineStr">
        <is>
          <t>creamy ice cream with a rich coconut flavor. a sweet treat that any coconut lover would enjoy. again you could adjust this to the size of your ice cream maker.  also, the "cooking" time depends on your ice cream maker.  you could use this recipe as a basic and add other flavors such as pureed fruits</t>
        </is>
      </c>
      <c r="G487" t="n">
        <v>4</v>
      </c>
      <c r="H487" t="n">
        <v>300</v>
      </c>
      <c r="I487">
        <f>D487*60</f>
        <v/>
      </c>
      <c r="J487">
        <f>COUNTIF(Отзывы!$D:$D, 185525)</f>
        <v/>
      </c>
    </row>
    <row r="488">
      <c r="A488" t="n">
        <v>12938</v>
      </c>
      <c r="B488" t="inlineStr">
        <is>
          <t>grilled nanners</t>
        </is>
      </c>
      <c r="C488" t="n">
        <v>62054</v>
      </c>
      <c r="D488" s="4" t="n">
        <v>22</v>
      </c>
      <c r="E488" s="1" t="n">
        <v>37753</v>
      </c>
      <c r="F488" t="inlineStr">
        <is>
          <t>when having a cookout, these are very popular since the grill is already hot after the burgers are cooked.  the kids think this is great fun to make.</t>
        </is>
      </c>
      <c r="H488" t="n">
        <v>1320</v>
      </c>
      <c r="I488">
        <f>D488*60</f>
        <v/>
      </c>
      <c r="J488">
        <f>COUNTIF(Отзывы!$D:$D, 62054)</f>
        <v/>
      </c>
    </row>
    <row r="489">
      <c r="A489" t="n">
        <v>25206</v>
      </c>
      <c r="B489" t="inlineStr">
        <is>
          <t>spice  a cocktail</t>
        </is>
      </c>
      <c r="C489" t="n">
        <v>314335</v>
      </c>
      <c r="D489" s="5" t="n">
        <v>3</v>
      </c>
      <c r="E489" s="1" t="n">
        <v>39646</v>
      </c>
      <c r="F489" t="inlineStr">
        <is>
          <t>this recipe is adapted from ryan magarian, the seattle-based cocktail consultant behind liquid kitchen (www.kathycasey.com/liquid_kitchen). this is a  bracingly sweet-tart drink. a sprinkle of nutmeg and a dash of cinnamony angostura bitters add layers of complexity to the cocktail.</t>
        </is>
      </c>
      <c r="G489" t="n">
        <v>6</v>
      </c>
      <c r="H489" t="n">
        <v>180</v>
      </c>
      <c r="I489">
        <f>D489*60</f>
        <v/>
      </c>
      <c r="J489">
        <f>COUNTIF(Отзывы!$D:$D, 314335)</f>
        <v/>
      </c>
    </row>
    <row r="490">
      <c r="A490" t="n">
        <v>6778</v>
      </c>
      <c r="B490" t="inlineStr">
        <is>
          <t>chocolate tapioca pudding</t>
        </is>
      </c>
      <c r="C490" t="n">
        <v>224</v>
      </c>
      <c r="D490" s="4" t="n">
        <v>50</v>
      </c>
      <c r="E490" s="1" t="n">
        <v>36386</v>
      </c>
      <c r="F490" t="inlineStr">
        <is>
          <t>yummy!</t>
        </is>
      </c>
      <c r="H490" t="n">
        <v>3000</v>
      </c>
      <c r="I490">
        <f>D490*60</f>
        <v/>
      </c>
      <c r="J490">
        <f>COUNTIF(Отзывы!$D:$D, 224)</f>
        <v/>
      </c>
    </row>
    <row r="491">
      <c r="A491" t="n">
        <v>7236</v>
      </c>
      <c r="B491" t="inlineStr">
        <is>
          <t>coca cola pork chops</t>
        </is>
      </c>
      <c r="C491" t="n">
        <v>19725</v>
      </c>
      <c r="D491" s="4" t="n">
        <v>65</v>
      </c>
      <c r="E491" s="1" t="n">
        <v>37302</v>
      </c>
      <c r="F491" t="inlineStr">
        <is>
          <t>the coke tenderizes the meat. once mixture has simmered down it will make a barbecue like sauce that is sensational and the pork chops will be so tender, they'll practically fall apart.</t>
        </is>
      </c>
      <c r="G491" t="n">
        <v>8</v>
      </c>
      <c r="H491" t="n">
        <v>3900</v>
      </c>
      <c r="I491">
        <f>D491*60</f>
        <v/>
      </c>
      <c r="J491">
        <f>COUNTIF(Отзывы!$D:$D, 19725)</f>
        <v/>
      </c>
    </row>
    <row r="492">
      <c r="A492" t="n">
        <v>13745</v>
      </c>
      <c r="B492" t="inlineStr">
        <is>
          <t>high roasted chicken and potatoes</t>
        </is>
      </c>
      <c r="C492" t="n">
        <v>23275</v>
      </c>
      <c r="D492" s="4" t="n">
        <v>90</v>
      </c>
      <c r="E492" s="1" t="n">
        <v>37343</v>
      </c>
      <c r="F492" t="inlineStr">
        <is>
          <t>perfect chicken every time - a terrific presentation for very small effort. very economical as well.  from cooks illustrated.</t>
        </is>
      </c>
      <c r="H492" t="n">
        <v>5400</v>
      </c>
      <c r="I492">
        <f>D492*60</f>
        <v/>
      </c>
      <c r="J492">
        <f>COUNTIF(Отзывы!$D:$D, 23275)</f>
        <v/>
      </c>
    </row>
    <row r="493">
      <c r="A493" t="n">
        <v>6363</v>
      </c>
      <c r="B493" t="inlineStr">
        <is>
          <t>chinese tea leaf eggs</t>
        </is>
      </c>
      <c r="C493" t="n">
        <v>288083</v>
      </c>
      <c r="D493" s="4" t="n">
        <v>200</v>
      </c>
      <c r="E493" s="1" t="n">
        <v>39501</v>
      </c>
      <c r="F493" t="inlineStr">
        <is>
          <t>one of my favorite dishes combines hard-boiled eggs with the subtle flavor of anise and the deep brown hues of black tea and soy. the cracked patterns from the broken shells make these quite attractive! i eat these sliced in quarters and chilled as a side dish, appetizer, or snack.</t>
        </is>
      </c>
      <c r="H493" t="n">
        <v>12000</v>
      </c>
      <c r="I493">
        <f>D493*60</f>
        <v/>
      </c>
      <c r="J493">
        <f>COUNTIF(Отзывы!$D:$D, 288083)</f>
        <v/>
      </c>
    </row>
    <row r="494">
      <c r="A494" t="n">
        <v>24647</v>
      </c>
      <c r="B494" t="inlineStr">
        <is>
          <t>smoky tempeh bacon</t>
        </is>
      </c>
      <c r="C494" t="n">
        <v>422858</v>
      </c>
      <c r="D494" s="4" t="n">
        <v>40</v>
      </c>
      <c r="E494" s="1" t="n">
        <v>40301</v>
      </c>
      <c r="F494" t="inlineStr">
        <is>
          <t>this easy  recipe can be assembled the night before and prepared in the morning for a weekend breakfast or brunch. great as a blt. the tempeh strips can be left marinating in the fridge 2 to 3 days. just be sure to eat the bacon as soon as it’s cooked—otherwise, it may lose its crispness.  adapted from vegetarian times(april 2008).</t>
        </is>
      </c>
      <c r="G494" t="n">
        <v>9</v>
      </c>
      <c r="H494" t="n">
        <v>2400</v>
      </c>
      <c r="I494">
        <f>D494*60</f>
        <v/>
      </c>
      <c r="J494">
        <f>COUNTIF(Отзывы!$D:$D, 422858)</f>
        <v/>
      </c>
    </row>
    <row r="495">
      <c r="A495" t="n">
        <v>17673</v>
      </c>
      <c r="B495" t="inlineStr">
        <is>
          <t>millet loaf</t>
        </is>
      </c>
      <c r="C495" t="n">
        <v>4876</v>
      </c>
      <c r="D495" s="4" t="n">
        <v>90</v>
      </c>
      <c r="E495" s="1" t="n">
        <v>36488</v>
      </c>
      <c r="F495" t="inlineStr">
        <is>
          <t>this recipe serves a crowd and can be halved.</t>
        </is>
      </c>
      <c r="G495" t="n">
        <v>12</v>
      </c>
      <c r="H495" t="n">
        <v>5400</v>
      </c>
      <c r="I495">
        <f>D495*60</f>
        <v/>
      </c>
      <c r="J495">
        <f>COUNTIF(Отзывы!$D:$D, 4876)</f>
        <v/>
      </c>
    </row>
    <row r="496">
      <c r="A496" t="n">
        <v>29945</v>
      </c>
      <c r="B496" t="inlineStr">
        <is>
          <t>zucchini mandarin orange bread</t>
        </is>
      </c>
      <c r="C496" t="n">
        <v>94694</v>
      </c>
      <c r="D496" s="4" t="n">
        <v>75</v>
      </c>
      <c r="E496" s="1" t="n">
        <v>38168</v>
      </c>
      <c r="F496" t="inlineStr">
        <is>
          <t>delicious recipe i got from my cousin. very moist and flavorful. i like it warm with butter or whipped cream cheese. another great way to use zucchini.</t>
        </is>
      </c>
      <c r="G496" t="n">
        <v>11</v>
      </c>
      <c r="H496" t="n">
        <v>4500</v>
      </c>
      <c r="I496">
        <f>D496*60</f>
        <v/>
      </c>
      <c r="J496">
        <f>COUNTIF(Отзывы!$D:$D, 94694)</f>
        <v/>
      </c>
    </row>
    <row r="497">
      <c r="A497" t="n">
        <v>3537</v>
      </c>
      <c r="B497" t="inlineStr">
        <is>
          <t>boston creams cookies</t>
        </is>
      </c>
      <c r="C497" t="n">
        <v>269705</v>
      </c>
      <c r="D497" s="4" t="n">
        <v>22</v>
      </c>
      <c r="E497" s="1" t="n">
        <v>39420</v>
      </c>
      <c r="F497" t="inlineStr">
        <is>
          <t>this recipe is from recipegoldmine.com. i have had it hanging around for a long time but haven't tried it yet.</t>
        </is>
      </c>
      <c r="G497" t="n">
        <v>9</v>
      </c>
      <c r="H497" t="n">
        <v>1320</v>
      </c>
      <c r="I497">
        <f>D497*60</f>
        <v/>
      </c>
      <c r="J497">
        <f>COUNTIF(Отзывы!$D:$D, 269705)</f>
        <v/>
      </c>
    </row>
    <row r="498">
      <c r="A498" t="n">
        <v>16204</v>
      </c>
      <c r="B498" t="inlineStr">
        <is>
          <t>lime marinated pork tenderloin</t>
        </is>
      </c>
      <c r="C498" t="n">
        <v>67429</v>
      </c>
      <c r="D498" s="4" t="n">
        <v>30</v>
      </c>
      <c r="E498" s="1" t="n">
        <v>37826</v>
      </c>
      <c r="F498" t="inlineStr">
        <is>
          <t>i don't remember where we got this recipe but it is really good. it's amazing how much flavor the pork picks up in such a short marinating time!</t>
        </is>
      </c>
      <c r="G498" t="n">
        <v>6</v>
      </c>
      <c r="H498" t="n">
        <v>1800</v>
      </c>
      <c r="I498">
        <f>D498*60</f>
        <v/>
      </c>
      <c r="J498">
        <f>COUNTIF(Отзывы!$D:$D, 67429)</f>
        <v/>
      </c>
    </row>
    <row r="499">
      <c r="A499" t="n">
        <v>28875</v>
      </c>
      <c r="B499" t="inlineStr">
        <is>
          <t>viennese tarts</t>
        </is>
      </c>
      <c r="C499" t="n">
        <v>164678</v>
      </c>
      <c r="D499" s="4" t="n">
        <v>20</v>
      </c>
      <c r="E499" s="1" t="n">
        <v>38824</v>
      </c>
      <c r="F499" t="inlineStr">
        <is>
          <t>these are light and delicious crumbly little cakes that kids just love (grown ups too) comes from a hand written recipe book of my grandmothers that she started during the second world war. really simple recipe but great result</t>
        </is>
      </c>
      <c r="G499" t="n">
        <v>3</v>
      </c>
      <c r="H499" t="n">
        <v>1200</v>
      </c>
      <c r="I499">
        <f>D499*60</f>
        <v/>
      </c>
      <c r="J499">
        <f>COUNTIF(Отзывы!$D:$D, 164678)</f>
        <v/>
      </c>
    </row>
    <row r="500">
      <c r="A500" t="n">
        <v>22251</v>
      </c>
      <c r="B500" t="inlineStr">
        <is>
          <t>raw spaghetti with marinara sauce</t>
        </is>
      </c>
      <c r="C500" t="n">
        <v>305528</v>
      </c>
      <c r="D500" s="4" t="n">
        <v>140</v>
      </c>
      <c r="E500" s="1" t="n">
        <v>39596</v>
      </c>
      <c r="F500" t="inlineStr">
        <is>
          <t>another raw main dish from my friend.</t>
        </is>
      </c>
      <c r="H500" t="n">
        <v>8400</v>
      </c>
      <c r="I500">
        <f>D500*60</f>
        <v/>
      </c>
      <c r="J500">
        <f>COUNTIF(Отзывы!$D:$D, 305528)</f>
        <v/>
      </c>
    </row>
    <row r="501">
      <c r="A501" t="n">
        <v>26729</v>
      </c>
      <c r="B501" t="inlineStr">
        <is>
          <t>sweet potato cheesecake with praline topping</t>
        </is>
      </c>
      <c r="C501" t="n">
        <v>216501</v>
      </c>
      <c r="D501" s="4" t="n">
        <v>85</v>
      </c>
      <c r="E501" s="1" t="n">
        <v>39154</v>
      </c>
      <c r="F501" t="inlineStr">
        <is>
          <t>this is a recipe that i came across while browsing the december issue of essence magazine. sounds like a lot of steps but very easy to make. it's an exciting twist to ordinary cheesecake, even if you are not a big sweet potato fan.</t>
        </is>
      </c>
      <c r="H501" t="n">
        <v>5100</v>
      </c>
      <c r="I501">
        <f>D501*60</f>
        <v/>
      </c>
      <c r="J501">
        <f>COUNTIF(Отзывы!$D:$D, 216501)</f>
        <v/>
      </c>
    </row>
    <row r="502">
      <c r="A502" t="n">
        <v>16418</v>
      </c>
      <c r="B502" t="inlineStr">
        <is>
          <t>low carb fauxtatoes</t>
        </is>
      </c>
      <c r="C502" t="n">
        <v>109146</v>
      </c>
      <c r="D502" s="4" t="n">
        <v>20</v>
      </c>
      <c r="E502" s="1" t="n">
        <v>38374</v>
      </c>
      <c r="F502" t="inlineStr">
        <is>
          <t>another variation on a cauliflower for potatoes recipe. we really like the flavor of the cream cheese and touch of garlic. you can also use this instead of mashed potatoes for shepherd's pie - it's really good this way!</t>
        </is>
      </c>
      <c r="H502" t="n">
        <v>1200</v>
      </c>
      <c r="I502">
        <f>D502*60</f>
        <v/>
      </c>
      <c r="J502">
        <f>COUNTIF(Отзывы!$D:$D, 109146)</f>
        <v/>
      </c>
    </row>
    <row r="503" ht="409.5" customHeight="1">
      <c r="A503" t="n">
        <v>21571</v>
      </c>
      <c r="B503" t="inlineStr">
        <is>
          <t>princeling s summer salad</t>
        </is>
      </c>
      <c r="C503" t="n">
        <v>471702</v>
      </c>
      <c r="D503" s="4" t="n">
        <v>32</v>
      </c>
      <c r="E503" s="1" t="n">
        <v>40918</v>
      </c>
      <c r="F503" s="2" t="inlineStr">
        <is>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_x000D_
by the way, i didn't count the cooling time for the pasta in the prep time.  you can cool it under running water or stick it overnight in the refrigerator.</t>
        </is>
      </c>
      <c r="G503" t="n">
        <v>14</v>
      </c>
      <c r="H503" t="n">
        <v>1920</v>
      </c>
      <c r="I503">
        <f>D503*60</f>
        <v/>
      </c>
      <c r="J503">
        <f>COUNTIF(Отзывы!$D:$D, 471702)</f>
        <v/>
      </c>
    </row>
    <row r="504">
      <c r="A504" t="n">
        <v>19162</v>
      </c>
      <c r="B504" t="inlineStr">
        <is>
          <t>one bowl eggless white cake</t>
        </is>
      </c>
      <c r="C504" t="n">
        <v>139749</v>
      </c>
      <c r="D504" s="4" t="n">
        <v>45</v>
      </c>
      <c r="E504" s="1" t="n">
        <v>38628</v>
      </c>
      <c r="F504" t="inlineStr">
        <is>
          <t>this is almost as easy as making a cake mix, and has the advantage of using no eggs.</t>
        </is>
      </c>
      <c r="H504" t="n">
        <v>2700</v>
      </c>
      <c r="I504">
        <f>D504*60</f>
        <v/>
      </c>
      <c r="J504">
        <f>COUNTIF(Отзывы!$D:$D, 139749)</f>
        <v/>
      </c>
    </row>
    <row r="505">
      <c r="A505" t="n">
        <v>4105</v>
      </c>
      <c r="B505" t="inlineStr">
        <is>
          <t>bun cha  vietnamese pork meatball and noodle salad</t>
        </is>
      </c>
      <c r="C505" t="n">
        <v>501240</v>
      </c>
      <c r="D505" s="4" t="n">
        <v>100</v>
      </c>
      <c r="E505" s="1" t="n">
        <v>41426</v>
      </c>
      <c r="F505" t="inlineStr">
        <is>
          <t>hanoi street food, adapted from a recipe by lauren shockey in "four kitchens" (grand central publishing, 2011), published in saveur. shockey likes this dish for breakfast on the weekend.</t>
        </is>
      </c>
      <c r="G505" t="n">
        <v>13</v>
      </c>
      <c r="H505" t="n">
        <v>6000</v>
      </c>
      <c r="I505">
        <f>D505*60</f>
        <v/>
      </c>
      <c r="J505">
        <f>COUNTIF(Отзывы!$D:$D, 501240)</f>
        <v/>
      </c>
    </row>
    <row r="506" ht="409.5" customHeight="1">
      <c r="A506" t="n">
        <v>22334</v>
      </c>
      <c r="B506" t="inlineStr">
        <is>
          <t>red lobster biscuits</t>
        </is>
      </c>
      <c r="C506" t="n">
        <v>422216</v>
      </c>
      <c r="D506" s="4" t="n">
        <v>45</v>
      </c>
      <c r="E506" s="1" t="n">
        <v>40297</v>
      </c>
      <c r="F506" s="2" t="inlineStr">
        <is>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is>
      </c>
      <c r="G506" t="n">
        <v>6</v>
      </c>
      <c r="H506" t="n">
        <v>2700</v>
      </c>
      <c r="I506">
        <f>D506*60</f>
        <v/>
      </c>
      <c r="J506">
        <f>COUNTIF(Отзывы!$D:$D, 422216)</f>
        <v/>
      </c>
    </row>
    <row r="507">
      <c r="A507" t="n">
        <v>797</v>
      </c>
      <c r="B507" t="inlineStr">
        <is>
          <t>apple   pecan sticky buns</t>
        </is>
      </c>
      <c r="C507" t="n">
        <v>327588</v>
      </c>
      <c r="D507" s="4" t="n">
        <v>85</v>
      </c>
      <c r="E507" s="1" t="n">
        <v>39718</v>
      </c>
      <c r="F507" t="inlineStr">
        <is>
          <t>from rachel ray magazine,  october 2008. i have not tried this recipe, but i put it here because it was different than the other cinnamon bun recipes.</t>
        </is>
      </c>
      <c r="H507" t="n">
        <v>5100</v>
      </c>
      <c r="I507">
        <f>D507*60</f>
        <v/>
      </c>
      <c r="J507">
        <f>COUNTIF(Отзывы!$D:$D, 327588)</f>
        <v/>
      </c>
    </row>
    <row r="508">
      <c r="A508" t="n">
        <v>6664</v>
      </c>
      <c r="B508" t="inlineStr">
        <is>
          <t>chocolate mint brownie cookies</t>
        </is>
      </c>
      <c r="C508" t="n">
        <v>29043</v>
      </c>
      <c r="D508" s="4" t="n">
        <v>35</v>
      </c>
      <c r="E508" s="1" t="n">
        <v>37397</v>
      </c>
      <c r="F508" t="inlineStr">
        <is>
          <t xml:space="preserve">i love these minty cookies! they are soooo good, are deliciously moist and melt in your mouth. the recipe is originally from toll house's </t>
        </is>
      </c>
      <c r="G508" t="n">
        <v>10</v>
      </c>
      <c r="H508" t="n">
        <v>2100</v>
      </c>
      <c r="I508">
        <f>D508*60</f>
        <v/>
      </c>
      <c r="J508">
        <f>COUNTIF(Отзывы!$D:$D, 29043)</f>
        <v/>
      </c>
    </row>
    <row r="509">
      <c r="A509" t="n">
        <v>6481</v>
      </c>
      <c r="B509" t="inlineStr">
        <is>
          <t>chocolate caramel layer brownies</t>
        </is>
      </c>
      <c r="C509" t="n">
        <v>426936</v>
      </c>
      <c r="D509" s="4" t="n">
        <v>50</v>
      </c>
      <c r="E509" s="1" t="n">
        <v>40322</v>
      </c>
      <c r="F509" t="inlineStr">
        <is>
          <t>this melt in your mouth, super sweet, delicious dessert is not for the faint of heart!  if you love rich, chocolate sweets this is for you.</t>
        </is>
      </c>
      <c r="H509" t="n">
        <v>3000</v>
      </c>
      <c r="I509">
        <f>D509*60</f>
        <v/>
      </c>
      <c r="J509">
        <f>COUNTIF(Отзывы!$D:$D, 426936)</f>
        <v/>
      </c>
    </row>
    <row r="510">
      <c r="A510" t="n">
        <v>27823</v>
      </c>
      <c r="B510" t="inlineStr">
        <is>
          <t>tomato  basil    american cheese sandwich</t>
        </is>
      </c>
      <c r="C510" t="n">
        <v>101339</v>
      </c>
      <c r="D510" s="6" t="n">
        <v>5</v>
      </c>
      <c r="E510" s="1" t="n">
        <v>38266</v>
      </c>
      <c r="F510" t="inlineStr">
        <is>
          <t>a good old sandwich that's comforting, quick, easy, fresh, simple, out of the garden and delish.</t>
        </is>
      </c>
      <c r="G510" t="n">
        <v>6</v>
      </c>
      <c r="H510" t="n">
        <v>300</v>
      </c>
      <c r="I510">
        <f>D510*60</f>
        <v/>
      </c>
      <c r="J510">
        <f>COUNTIF(Отзывы!$D:$D, 101339)</f>
        <v/>
      </c>
    </row>
    <row r="511">
      <c r="A511" t="n">
        <v>28732</v>
      </c>
      <c r="B511" t="inlineStr">
        <is>
          <t>vegetarian mixed rice</t>
        </is>
      </c>
      <c r="C511" t="n">
        <v>488613</v>
      </c>
      <c r="D511" s="4" t="n">
        <v>59</v>
      </c>
      <c r="E511" s="1" t="n">
        <v>41196</v>
      </c>
      <c r="F511" t="inlineStr">
        <is>
          <t>being on a budget doesn't limit one to deprive himself of delicious meals. this is a healthy tweak on fried rice, but without any meat. initially suspicious that i would miss the meat, the contrary was proven! this recipe can also be transformed into a vegan-friendly version by simply substituting the chicken stock for vegetable stock. enjoy!</t>
        </is>
      </c>
      <c r="G511" t="n">
        <v>14</v>
      </c>
      <c r="H511" t="n">
        <v>3540</v>
      </c>
      <c r="I511">
        <f>D511*60</f>
        <v/>
      </c>
      <c r="J511">
        <f>COUNTIF(Отзывы!$D:$D, 488613)</f>
        <v/>
      </c>
    </row>
    <row r="512">
      <c r="A512" t="n">
        <v>19679</v>
      </c>
      <c r="B512" t="inlineStr">
        <is>
          <t>pacific rim honey grilled fish</t>
        </is>
      </c>
      <c r="C512" t="n">
        <v>54617</v>
      </c>
      <c r="D512" s="4" t="n">
        <v>35</v>
      </c>
      <c r="E512" s="1" t="n">
        <v>37675</v>
      </c>
      <c r="F512" t="inlineStr">
        <is>
          <t>from the national honey board. delicious. marinate time is 1 hour.</t>
        </is>
      </c>
      <c r="H512" t="n">
        <v>2100</v>
      </c>
      <c r="I512">
        <f>D512*60</f>
        <v/>
      </c>
      <c r="J512">
        <f>COUNTIF(Отзывы!$D:$D, 54617)</f>
        <v/>
      </c>
    </row>
    <row r="513">
      <c r="A513" t="n">
        <v>11361</v>
      </c>
      <c r="B513" t="inlineStr">
        <is>
          <t>fresh energy slice</t>
        </is>
      </c>
      <c r="C513" t="n">
        <v>387105</v>
      </c>
      <c r="D513" s="4" t="n">
        <v>40</v>
      </c>
      <c r="E513" s="1" t="n">
        <v>40050</v>
      </c>
      <c r="F513" t="inlineStr">
        <is>
          <t>taken from an advertising feature for pecans. i am unsure how much this recipe yields so have just roughly estimated.</t>
        </is>
      </c>
      <c r="H513" t="n">
        <v>2400</v>
      </c>
      <c r="I513">
        <f>D513*60</f>
        <v/>
      </c>
      <c r="J513">
        <f>COUNTIF(Отзывы!$D:$D, 387105)</f>
        <v/>
      </c>
    </row>
    <row r="514">
      <c r="A514" t="n">
        <v>7737</v>
      </c>
      <c r="B514" t="inlineStr">
        <is>
          <t>country ribs with sauerkraut</t>
        </is>
      </c>
      <c r="C514" t="n">
        <v>467299</v>
      </c>
      <c r="D514" s="4" t="n">
        <v>185</v>
      </c>
      <c r="E514" s="1" t="n">
        <v>40849</v>
      </c>
      <c r="F514" t="inlineStr">
        <is>
          <t>just put it in the oven or a crock pot and let the magic happen! i either serve these with mashed potatoes or you can throw some cubed potatoes and carrots in with it in the last 30 min. of cook time.</t>
        </is>
      </c>
      <c r="H514" t="n">
        <v>11100</v>
      </c>
      <c r="I514">
        <f>D514*60</f>
        <v/>
      </c>
      <c r="J514">
        <f>COUNTIF(Отзывы!$D:$D, 467299)</f>
        <v/>
      </c>
    </row>
    <row r="515">
      <c r="A515" t="n">
        <v>2735</v>
      </c>
      <c r="B515" t="inlineStr">
        <is>
          <t>beer bread  easy peasy</t>
        </is>
      </c>
      <c r="C515" t="n">
        <v>179885</v>
      </c>
      <c r="D515" s="4" t="n">
        <v>55</v>
      </c>
      <c r="E515" s="1" t="n">
        <v>38929</v>
      </c>
      <c r="F515" t="inlineStr">
        <is>
          <t>this has to be the easiest bread in the world to make. three ingredients thats it!! it is wonderful. you can change the flavor by using different beers.</t>
        </is>
      </c>
      <c r="H515" t="n">
        <v>3300</v>
      </c>
      <c r="I515">
        <f>D515*60</f>
        <v/>
      </c>
      <c r="J515">
        <f>COUNTIF(Отзывы!$D:$D, 179885)</f>
        <v/>
      </c>
    </row>
    <row r="516">
      <c r="A516" t="n">
        <v>17987</v>
      </c>
      <c r="B516" t="inlineStr">
        <is>
          <t>mom s grilled chicken  aka chicken delicious</t>
        </is>
      </c>
      <c r="C516" t="n">
        <v>360259</v>
      </c>
      <c r="D516" s="4" t="n">
        <v>20</v>
      </c>
      <c r="E516" s="1" t="n">
        <v>39883</v>
      </c>
      <c r="F516" t="inlineStr">
        <is>
          <t>another winner from my mother, whom i believe is the greatest cook ever :-) my mother makes this every weekend and my 4-year old asks to go to my mother's to have some of what he calls "chicken delicious". prep time does not include marination time. i have never measured ingredients when i make this so increase the spices if you wish. source: mom.</t>
        </is>
      </c>
      <c r="G516" t="n">
        <v>14</v>
      </c>
      <c r="H516" t="n">
        <v>1200</v>
      </c>
      <c r="I516">
        <f>D516*60</f>
        <v/>
      </c>
      <c r="J516">
        <f>COUNTIF(Отзывы!$D:$D, 360259)</f>
        <v/>
      </c>
    </row>
    <row r="517">
      <c r="A517" t="n">
        <v>19619</v>
      </c>
      <c r="B517" t="inlineStr">
        <is>
          <t>oven baked zucchini and tomato  tian from provence</t>
        </is>
      </c>
      <c r="C517" t="n">
        <v>483662</v>
      </c>
      <c r="D517" s="4" t="n">
        <v>75</v>
      </c>
      <c r="E517" s="1" t="n">
        <v>41107</v>
      </c>
      <c r="F517" t="inlineStr">
        <is>
          <t>from: http://www.gourmed.com</t>
        </is>
      </c>
      <c r="G517" t="n">
        <v>5</v>
      </c>
      <c r="H517" t="n">
        <v>4500</v>
      </c>
      <c r="I517">
        <f>D517*60</f>
        <v/>
      </c>
      <c r="J517">
        <f>COUNTIF(Отзывы!$D:$D, 483662)</f>
        <v/>
      </c>
    </row>
    <row r="518" ht="409.5" customHeight="1">
      <c r="A518" t="n">
        <v>23779</v>
      </c>
      <c r="B518" t="inlineStr">
        <is>
          <t>seared duck breast with plums and port</t>
        </is>
      </c>
      <c r="C518" t="n">
        <v>444315</v>
      </c>
      <c r="D518" s="4" t="n">
        <v>60</v>
      </c>
      <c r="E518" s="1" t="n">
        <v>40528</v>
      </c>
      <c r="F518" s="2" t="inlineStr">
        <is>
          <t>this recipe is from "bistro cooking at home" by gordon hamersley. it is an excellent way to prepare duck, and it is not very difficult. an excellent main course for a holiday meal or for a dinner party._x000D_
this pairs very nicely with a zinfandel, a syrah or a shiraz.</t>
        </is>
      </c>
      <c r="G518" t="n">
        <v>12</v>
      </c>
      <c r="H518" t="n">
        <v>3600</v>
      </c>
      <c r="I518">
        <f>D518*60</f>
        <v/>
      </c>
      <c r="J518">
        <f>COUNTIF(Отзывы!$D:$D, 444315)</f>
        <v/>
      </c>
    </row>
    <row r="519">
      <c r="A519" t="n">
        <v>18558</v>
      </c>
      <c r="B519" t="inlineStr">
        <is>
          <t>navy beans and bacon chowder</t>
        </is>
      </c>
      <c r="C519" t="n">
        <v>188211</v>
      </c>
      <c r="D519" s="4" t="n">
        <v>430</v>
      </c>
      <c r="E519" s="1" t="n">
        <v>38987</v>
      </c>
      <c r="F519" t="inlineStr">
        <is>
          <t>slow cooker and ww core soup</t>
        </is>
      </c>
      <c r="G519" t="n">
        <v>10</v>
      </c>
      <c r="H519" t="n">
        <v>25800</v>
      </c>
      <c r="I519">
        <f>D519*60</f>
        <v/>
      </c>
      <c r="J519">
        <f>COUNTIF(Отзывы!$D:$D, 188211)</f>
        <v/>
      </c>
    </row>
    <row r="520">
      <c r="A520" t="n">
        <v>25926</v>
      </c>
      <c r="B520" t="inlineStr">
        <is>
          <t>stir fried broccoli with thai oyster sauce</t>
        </is>
      </c>
      <c r="C520" t="n">
        <v>236965</v>
      </c>
      <c r="D520" s="4" t="n">
        <v>30</v>
      </c>
      <c r="E520" s="1" t="n">
        <v>39258</v>
      </c>
      <c r="F520" t="inlineStr">
        <is>
          <t>broccoli pad nahm man hoi. an authentic thai dish from cooking instructor, kasma loha-unchit clark, www.thaifoodandtravel.com.</t>
        </is>
      </c>
      <c r="G520" t="n">
        <v>7</v>
      </c>
      <c r="H520" t="n">
        <v>1800</v>
      </c>
      <c r="I520">
        <f>D520*60</f>
        <v/>
      </c>
      <c r="J520">
        <f>COUNTIF(Отзывы!$D:$D, 236965)</f>
        <v/>
      </c>
    </row>
    <row r="521">
      <c r="A521" t="n">
        <v>24304</v>
      </c>
      <c r="B521" t="inlineStr">
        <is>
          <t>simple wine biscuits</t>
        </is>
      </c>
      <c r="C521" t="n">
        <v>201284</v>
      </c>
      <c r="D521" s="4" t="n">
        <v>40</v>
      </c>
      <c r="E521" s="1" t="n">
        <v>39071</v>
      </c>
      <c r="F521" t="inlineStr">
        <is>
          <t>these are great for holiday parties. also, good for left over wine, if you ever have any.</t>
        </is>
      </c>
      <c r="G521" t="n">
        <v>6</v>
      </c>
      <c r="H521" t="n">
        <v>2400</v>
      </c>
      <c r="I521">
        <f>D521*60</f>
        <v/>
      </c>
      <c r="J521">
        <f>COUNTIF(Отзывы!$D:$D, 201284)</f>
        <v/>
      </c>
    </row>
    <row r="522">
      <c r="A522" t="n">
        <v>6631</v>
      </c>
      <c r="B522" t="inlineStr">
        <is>
          <t>chocolate gugelhupf</t>
        </is>
      </c>
      <c r="C522" t="n">
        <v>144914</v>
      </c>
      <c r="D522" s="4" t="n">
        <v>75</v>
      </c>
      <c r="E522" s="1" t="n">
        <v>38669</v>
      </c>
      <c r="F522" t="inlineStr">
        <is>
          <t>a delicious variation.</t>
        </is>
      </c>
      <c r="H522" t="n">
        <v>4500</v>
      </c>
      <c r="I522">
        <f>D522*60</f>
        <v/>
      </c>
      <c r="J522">
        <f>COUNTIF(Отзывы!$D:$D, 144914)</f>
        <v/>
      </c>
    </row>
    <row r="523">
      <c r="A523" t="n">
        <v>28644</v>
      </c>
      <c r="B523" t="inlineStr">
        <is>
          <t>vegetable and tomato casserole</t>
        </is>
      </c>
      <c r="C523" t="n">
        <v>399360</v>
      </c>
      <c r="D523" s="4" t="n">
        <v>55</v>
      </c>
      <c r="E523" s="1" t="n">
        <v>40132</v>
      </c>
      <c r="F523" t="inlineStr">
        <is>
          <t>taken from a heinz promo.</t>
        </is>
      </c>
      <c r="G523" t="n">
        <v>11</v>
      </c>
      <c r="H523" t="n">
        <v>3300</v>
      </c>
      <c r="I523">
        <f>D523*60</f>
        <v/>
      </c>
      <c r="J523">
        <f>COUNTIF(Отзывы!$D:$D, 399360)</f>
        <v/>
      </c>
    </row>
    <row r="524">
      <c r="A524" t="n">
        <v>19329</v>
      </c>
      <c r="B524" t="inlineStr">
        <is>
          <t>orange five spice roasted chicken</t>
        </is>
      </c>
      <c r="C524" t="n">
        <v>478398</v>
      </c>
      <c r="D524" s="4" t="n">
        <v>70</v>
      </c>
      <c r="E524" s="1" t="n">
        <v>41022</v>
      </c>
      <c r="F524" t="inlineStr">
        <is>
          <t>another low-carb recipe from one of my cookbooks. a nice combination of asian and orange flavors.  have not tried this yet, but plan to soon.</t>
        </is>
      </c>
      <c r="G524" t="n">
        <v>8</v>
      </c>
      <c r="H524" t="n">
        <v>4200</v>
      </c>
      <c r="I524">
        <f>D524*60</f>
        <v/>
      </c>
      <c r="J524">
        <f>COUNTIF(Отзывы!$D:$D, 478398)</f>
        <v/>
      </c>
    </row>
    <row r="525">
      <c r="A525" t="n">
        <v>13130</v>
      </c>
      <c r="B525" t="inlineStr">
        <is>
          <t>gugelhupf   kuglof   kugelhopf   german hungarian coffee cake</t>
        </is>
      </c>
      <c r="C525" t="n">
        <v>422753</v>
      </c>
      <c r="D525" s="4" t="n">
        <v>2955</v>
      </c>
      <c r="E525" s="1" t="n">
        <v>40301</v>
      </c>
      <c r="F525" t="inlineStr">
        <is>
          <t>however you spell it, it's a rolled coffee cake made from a raised dough that has a walnut/chocolate swirl inside.  this recipe was given to me by both my aunt (in-law) and mother-in-law.  the family always enjoy it during every holiday/family gathering and since i've been successful at making it, that job seems to have been past on to me- the tradition shall continue.  yay!</t>
        </is>
      </c>
      <c r="H525" t="n">
        <v>177300</v>
      </c>
      <c r="I525">
        <f>D525*60</f>
        <v/>
      </c>
      <c r="J525">
        <f>COUNTIF(Отзывы!$D:$D, 422753)</f>
        <v/>
      </c>
    </row>
    <row r="526">
      <c r="A526" t="n">
        <v>17751</v>
      </c>
      <c r="B526" t="inlineStr">
        <is>
          <t>mini quiches</t>
        </is>
      </c>
      <c r="C526" t="n">
        <v>269993</v>
      </c>
      <c r="D526" s="4" t="n">
        <v>25</v>
      </c>
      <c r="E526" s="1" t="n">
        <v>39421</v>
      </c>
      <c r="F526" t="inlineStr">
        <is>
          <t>quick and easy quiches that are great to eat the day you make them or to freeze for lunch boxes. you can add what ever filling you want i usually have ham and onion, i have done with tomato and grated cheese or even spinach--play around and enjoy.</t>
        </is>
      </c>
      <c r="G526" t="n">
        <v>6</v>
      </c>
      <c r="H526" t="n">
        <v>1500</v>
      </c>
      <c r="I526">
        <f>D526*60</f>
        <v/>
      </c>
      <c r="J526">
        <f>COUNTIF(Отзывы!$D:$D, 269993)</f>
        <v/>
      </c>
    </row>
    <row r="527">
      <c r="A527" t="n">
        <v>21001</v>
      </c>
      <c r="B527" t="inlineStr">
        <is>
          <t>plum delicious chicken</t>
        </is>
      </c>
      <c r="C527" t="n">
        <v>54775</v>
      </c>
      <c r="D527" s="4" t="n">
        <v>20</v>
      </c>
      <c r="E527" s="1" t="n">
        <v>37676</v>
      </c>
      <c r="H527" t="n">
        <v>1200</v>
      </c>
      <c r="I527">
        <f>D527*60</f>
        <v/>
      </c>
      <c r="J527">
        <f>COUNTIF(Отзывы!$D:$D, 54775)</f>
        <v/>
      </c>
    </row>
    <row r="528">
      <c r="A528" t="n">
        <v>10870</v>
      </c>
      <c r="B528" t="inlineStr">
        <is>
          <t>featherweight buttermilk biscuits</t>
        </is>
      </c>
      <c r="C528" t="n">
        <v>19517</v>
      </c>
      <c r="D528" s="4" t="n">
        <v>27</v>
      </c>
      <c r="E528" s="1" t="n">
        <v>37299</v>
      </c>
      <c r="F528" t="inlineStr">
        <is>
          <t>very light and delicious! try with your next breakfast or ham dinner!</t>
        </is>
      </c>
      <c r="H528" t="n">
        <v>1620</v>
      </c>
      <c r="I528">
        <f>D528*60</f>
        <v/>
      </c>
      <c r="J528">
        <f>COUNTIF(Отзывы!$D:$D, 19517)</f>
        <v/>
      </c>
    </row>
    <row r="529">
      <c r="A529" t="n">
        <v>21154</v>
      </c>
      <c r="B529" t="inlineStr">
        <is>
          <t>porcupine beef</t>
        </is>
      </c>
      <c r="C529" t="n">
        <v>379658</v>
      </c>
      <c r="D529" s="4" t="n">
        <v>70</v>
      </c>
      <c r="E529" s="1" t="n">
        <v>39994</v>
      </c>
      <c r="F529" t="inlineStr">
        <is>
          <t>from towns, trails and special times.  not your everyday meatballs!</t>
        </is>
      </c>
      <c r="G529" t="n">
        <v>9</v>
      </c>
      <c r="H529" t="n">
        <v>4200</v>
      </c>
      <c r="I529">
        <f>D529*60</f>
        <v/>
      </c>
      <c r="J529">
        <f>COUNTIF(Отзывы!$D:$D, 379658)</f>
        <v/>
      </c>
    </row>
    <row r="530">
      <c r="A530" t="n">
        <v>25567</v>
      </c>
      <c r="B530" t="inlineStr">
        <is>
          <t>spinach   ground beef lasagna</t>
        </is>
      </c>
      <c r="C530" t="n">
        <v>221944</v>
      </c>
      <c r="D530" s="4" t="n">
        <v>80</v>
      </c>
      <c r="E530" s="1" t="n">
        <v>39183</v>
      </c>
      <c r="F530" t="inlineStr">
        <is>
          <t>simple recipe i created based on inspiration from other pasta recipes i've tried. it's a huge hit with my family and even with kids!</t>
        </is>
      </c>
      <c r="G530" t="n">
        <v>8</v>
      </c>
      <c r="H530" t="n">
        <v>4800</v>
      </c>
      <c r="I530">
        <f>D530*60</f>
        <v/>
      </c>
      <c r="J530">
        <f>COUNTIF(Отзывы!$D:$D, 221944)</f>
        <v/>
      </c>
    </row>
    <row r="531">
      <c r="A531" t="n">
        <v>8136</v>
      </c>
      <c r="B531" t="inlineStr">
        <is>
          <t>creamed chicken or turkey</t>
        </is>
      </c>
      <c r="C531" t="n">
        <v>71218</v>
      </c>
      <c r="D531" s="4" t="n">
        <v>25</v>
      </c>
      <c r="E531" s="1" t="n">
        <v>37876</v>
      </c>
      <c r="F531" t="inlineStr">
        <is>
          <t>here is a great recipe to use up any leftover chicken or turkey. it is great served over egg noodles or rice, i have even topped this on a puff pastry shell, when i have had company over for dinner, and added some cooked mushrooms and peas to the creamed mixture, very easy to prepare and tastes so good, this will be a recipe that you will make time and again.</t>
        </is>
      </c>
      <c r="H531" t="n">
        <v>1500</v>
      </c>
      <c r="I531">
        <f>D531*60</f>
        <v/>
      </c>
      <c r="J531">
        <f>COUNTIF(Отзывы!$D:$D, 71218)</f>
        <v/>
      </c>
    </row>
    <row r="532">
      <c r="A532" t="n">
        <v>14264</v>
      </c>
      <c r="B532" t="inlineStr">
        <is>
          <t>how to blanch almonds</t>
        </is>
      </c>
      <c r="C532" t="n">
        <v>451094</v>
      </c>
      <c r="D532" s="6" t="n">
        <v>10</v>
      </c>
      <c r="E532" s="1" t="n">
        <v>40620</v>
      </c>
      <c r="F532" t="inlineStr">
        <is>
          <t>some recipes call for blanched almonds (almonds with their skins removed).  this is a quick and easy way to do this, about 5 minutes.  afterward, you can prepare them as you like, whole, halved, or slivered.</t>
        </is>
      </c>
      <c r="G532" t="n">
        <v>3</v>
      </c>
      <c r="H532" t="n">
        <v>600</v>
      </c>
      <c r="I532">
        <f>D532*60</f>
        <v/>
      </c>
      <c r="J532">
        <f>COUNTIF(Отзывы!$D:$D, 451094)</f>
        <v/>
      </c>
    </row>
    <row r="533" ht="409.5" customHeight="1">
      <c r="A533" t="n">
        <v>15498</v>
      </c>
      <c r="B533" t="inlineStr">
        <is>
          <t>korean sesame seed cookies</t>
        </is>
      </c>
      <c r="C533" t="n">
        <v>412058</v>
      </c>
      <c r="D533" s="4" t="n">
        <v>30</v>
      </c>
      <c r="E533" s="1" t="n">
        <v>40217</v>
      </c>
      <c r="F533" s="2" t="inlineStr">
        <is>
          <t>i got several recipes from a korean friend at the university. this is one of the few sweets recipes - a no bake gluten free candylike cookie which looks quite pretty._x000D_
for the syrup i've so far used molasses, agave and rice syrup successfully._x000D_
cooking time doesn't include cooling time.</t>
        </is>
      </c>
      <c r="G533" t="n">
        <v>4</v>
      </c>
      <c r="H533" t="n">
        <v>1800</v>
      </c>
      <c r="I533">
        <f>D533*60</f>
        <v/>
      </c>
      <c r="J533">
        <f>COUNTIF(Отзывы!$D:$D, 412058)</f>
        <v/>
      </c>
    </row>
    <row r="534">
      <c r="A534" t="n">
        <v>9773</v>
      </c>
      <c r="B534" t="inlineStr">
        <is>
          <t>easy  creme  pie</t>
        </is>
      </c>
      <c r="C534" t="n">
        <v>20822</v>
      </c>
      <c r="D534" s="6" t="n">
        <v>10</v>
      </c>
      <c r="E534" s="1" t="n">
        <v>37313</v>
      </c>
      <c r="F534" t="inlineStr">
        <is>
          <t xml:space="preserve">a wonderfully light and </t>
        </is>
      </c>
      <c r="G534" t="n">
        <v>3</v>
      </c>
      <c r="H534" t="n">
        <v>600</v>
      </c>
      <c r="I534">
        <f>D534*60</f>
        <v/>
      </c>
      <c r="J534">
        <f>COUNTIF(Отзывы!$D:$D, 20822)</f>
        <v/>
      </c>
    </row>
    <row r="535">
      <c r="A535" t="n">
        <v>12068</v>
      </c>
      <c r="B535" t="inlineStr">
        <is>
          <t>gingersnap crusted ham with apricot mustard sauce</t>
        </is>
      </c>
      <c r="C535" t="n">
        <v>491681</v>
      </c>
      <c r="D535" s="4" t="n">
        <v>75</v>
      </c>
      <c r="E535" s="1" t="n">
        <v>41255</v>
      </c>
      <c r="F535" t="inlineStr">
        <is>
          <t>cooking light. dec 2003</t>
        </is>
      </c>
      <c r="G535" t="n">
        <v>7</v>
      </c>
      <c r="H535" t="n">
        <v>4500</v>
      </c>
      <c r="I535">
        <f>D535*60</f>
        <v/>
      </c>
      <c r="J535">
        <f>COUNTIF(Отзывы!$D:$D, 491681)</f>
        <v/>
      </c>
    </row>
    <row r="536">
      <c r="A536" t="n">
        <v>28970</v>
      </c>
      <c r="B536" t="inlineStr">
        <is>
          <t>walnut delights  koeka</t>
        </is>
      </c>
      <c r="C536" t="n">
        <v>428200</v>
      </c>
      <c r="D536" s="4" t="n">
        <v>35</v>
      </c>
      <c r="E536" s="1" t="n">
        <v>40331</v>
      </c>
      <c r="F536" t="inlineStr">
        <is>
          <t>for zwt6.  from larousse treasury of country cooking.  denmark.</t>
        </is>
      </c>
      <c r="G536" t="n">
        <v>7</v>
      </c>
      <c r="H536" t="n">
        <v>2100</v>
      </c>
      <c r="I536">
        <f>D536*60</f>
        <v/>
      </c>
      <c r="J536">
        <f>COUNTIF(Отзывы!$D:$D, 428200)</f>
        <v/>
      </c>
    </row>
    <row r="537">
      <c r="A537" t="n">
        <v>561</v>
      </c>
      <c r="B537" t="inlineStr">
        <is>
          <t>almost core chicken biryani</t>
        </is>
      </c>
      <c r="C537" t="n">
        <v>161604</v>
      </c>
      <c r="D537" s="4" t="n">
        <v>60</v>
      </c>
      <c r="E537" s="1" t="n">
        <v>38803</v>
      </c>
      <c r="F537" t="inlineStr">
        <is>
          <t>indian dish of rice and chicken. from the food &amp; wine website, slightly altered.</t>
        </is>
      </c>
      <c r="G537" t="n">
        <v>22</v>
      </c>
      <c r="H537" t="n">
        <v>3600</v>
      </c>
      <c r="I537">
        <f>D537*60</f>
        <v/>
      </c>
      <c r="J537">
        <f>COUNTIF(Отзывы!$D:$D, 161604)</f>
        <v/>
      </c>
    </row>
    <row r="538">
      <c r="A538" t="n">
        <v>11310</v>
      </c>
      <c r="B538" t="inlineStr">
        <is>
          <t>french toast cupcakes</t>
        </is>
      </c>
      <c r="C538" t="n">
        <v>260305</v>
      </c>
      <c r="D538" s="4" t="n">
        <v>40</v>
      </c>
      <c r="E538" s="1" t="n">
        <v>39374</v>
      </c>
      <c r="F538" t="inlineStr">
        <is>
          <t>an amazing recipe from recipe from julie hasson's 125 best cupcake recipes</t>
        </is>
      </c>
      <c r="G538" t="n">
        <v>12</v>
      </c>
      <c r="H538" t="n">
        <v>2400</v>
      </c>
      <c r="I538">
        <f>D538*60</f>
        <v/>
      </c>
      <c r="J538">
        <f>COUNTIF(Отзывы!$D:$D, 260305)</f>
        <v/>
      </c>
    </row>
    <row r="539">
      <c r="A539" t="n">
        <v>13865</v>
      </c>
      <c r="B539" t="inlineStr">
        <is>
          <t>homemade hershey s chocolate syrup</t>
        </is>
      </c>
      <c r="C539" t="n">
        <v>329804</v>
      </c>
      <c r="D539" s="4" t="n">
        <v>20</v>
      </c>
      <c r="E539" s="1" t="n">
        <v>39731</v>
      </c>
      <c r="F539" t="inlineStr">
        <is>
          <t>i started making this to use in my daughter's chocolate milk, since i am not a fan of hfcs, and a teeny bottle of organic chocolate syrup was over $4.   i double the batch and store in a 32 oz rubbermaid "chug" bottle.  you can store this in the fridge in any clean container with a spout for several months.</t>
        </is>
      </c>
      <c r="H539" t="n">
        <v>1200</v>
      </c>
      <c r="I539">
        <f>D539*60</f>
        <v/>
      </c>
      <c r="J539">
        <f>COUNTIF(Отзывы!$D:$D, 329804)</f>
        <v/>
      </c>
    </row>
    <row r="540">
      <c r="A540" t="n">
        <v>23609</v>
      </c>
      <c r="B540" t="inlineStr">
        <is>
          <t>savory stuffed bell peppers</t>
        </is>
      </c>
      <c r="C540" t="n">
        <v>13492</v>
      </c>
      <c r="D540" s="4" t="n">
        <v>75</v>
      </c>
      <c r="E540" s="1" t="n">
        <v>37194</v>
      </c>
      <c r="F540" t="inlineStr">
        <is>
          <t>i made this recipe for a potluck and all of my friends loved it. the variety of colors, from the peppers to the stuffing, makes this dish beautiful and appetizing! also, it is quite easy to make and, even though it is low fat, it is very filling. i recommend accompanying this entree with a light salad and a grain other than rice. this recipe came from one of my favorite cookbooks,</t>
        </is>
      </c>
      <c r="H540" t="n">
        <v>4500</v>
      </c>
      <c r="I540">
        <f>D540*60</f>
        <v/>
      </c>
      <c r="J540">
        <f>COUNTIF(Отзывы!$D:$D, 13492)</f>
        <v/>
      </c>
    </row>
    <row r="541">
      <c r="A541" t="n">
        <v>21546</v>
      </c>
      <c r="B541" t="inlineStr">
        <is>
          <t>pressure cooker risotto with vegetables du jour</t>
        </is>
      </c>
      <c r="C541" t="n">
        <v>241083</v>
      </c>
      <c r="D541" s="4" t="n">
        <v>15</v>
      </c>
      <c r="E541" s="1" t="n">
        <v>39280</v>
      </c>
      <c r="F541" t="inlineStr">
        <is>
          <t>this is a good recipe to use up those extra vegetables you have in your fridge at the end of a long week.  it's super fast and always gives good results.  the long way is better (isn't it always?), but this method will work in a pinch.  one word of caution: i have tried being super lazy and putting raw veggies in the cooker with the rice initially but the results are pretty mushy.  it's definitely worth the extra effort to steam the veggies in the microwave or steamer and add them when the rice is done.</t>
        </is>
      </c>
      <c r="G541" t="n">
        <v>12</v>
      </c>
      <c r="H541" t="n">
        <v>900</v>
      </c>
      <c r="I541">
        <f>D541*60</f>
        <v/>
      </c>
      <c r="J541">
        <f>COUNTIF(Отзывы!$D:$D, 241083)</f>
        <v/>
      </c>
    </row>
    <row r="542">
      <c r="A542" t="n">
        <v>25180</v>
      </c>
      <c r="B542" t="inlineStr">
        <is>
          <t>spectacular shrimp spread</t>
        </is>
      </c>
      <c r="C542" t="n">
        <v>87252</v>
      </c>
      <c r="D542" s="4" t="n">
        <v>30</v>
      </c>
      <c r="E542" s="1" t="n">
        <v>38068</v>
      </c>
      <c r="F542" t="inlineStr">
        <is>
          <t>this is another recipe i found in a pamphlet from the grocery store. i love this served with crackers. i've also served this in a bread bowl with chunks of bread for dipping.</t>
        </is>
      </c>
      <c r="H542" t="n">
        <v>1800</v>
      </c>
      <c r="I542">
        <f>D542*60</f>
        <v/>
      </c>
      <c r="J542">
        <f>COUNTIF(Отзывы!$D:$D, 87252)</f>
        <v/>
      </c>
    </row>
    <row r="543">
      <c r="A543" t="n">
        <v>14813</v>
      </c>
      <c r="B543" t="inlineStr">
        <is>
          <t>jalapeos rellenos  stuffed jalapenos</t>
        </is>
      </c>
      <c r="C543" t="n">
        <v>138699</v>
      </c>
      <c r="D543" s="4" t="n">
        <v>20</v>
      </c>
      <c r="E543" s="1" t="n">
        <v>38618</v>
      </c>
      <c r="F543" t="inlineStr">
        <is>
          <t>soledad díaz of oaxaca’s el topil restaurant serves these with mezcal. for those that love hot peppers!! the heat is wonderful in this dish and the stuffing aids in cooling it down. oh yum! posted for the zaar world tour 2005.</t>
        </is>
      </c>
      <c r="H543" t="n">
        <v>1200</v>
      </c>
      <c r="I543">
        <f>D543*60</f>
        <v/>
      </c>
      <c r="J543">
        <f>COUNTIF(Отзывы!$D:$D, 138699)</f>
        <v/>
      </c>
    </row>
    <row r="544">
      <c r="A544" t="n">
        <v>11536</v>
      </c>
      <c r="B544" t="inlineStr">
        <is>
          <t>frosty fruit smoothies</t>
        </is>
      </c>
      <c r="C544" t="n">
        <v>121235</v>
      </c>
      <c r="D544" s="5" t="n">
        <v>3</v>
      </c>
      <c r="E544" s="1" t="n">
        <v>38481</v>
      </c>
      <c r="F544" t="inlineStr">
        <is>
          <t>"because it's loaded with orange juice and banana, this fruit beverage is especially rich in viatmin c and potassium" good stuff!</t>
        </is>
      </c>
      <c r="H544" t="n">
        <v>180</v>
      </c>
      <c r="I544">
        <f>D544*60</f>
        <v/>
      </c>
      <c r="J544">
        <f>COUNTIF(Отзывы!$D:$D, 121235)</f>
        <v/>
      </c>
    </row>
    <row r="545">
      <c r="A545" t="n">
        <v>6914</v>
      </c>
      <c r="B545" t="inlineStr">
        <is>
          <t>chuckwagon beef stew</t>
        </is>
      </c>
      <c r="C545" t="n">
        <v>22341</v>
      </c>
      <c r="D545" s="4" t="n">
        <v>195</v>
      </c>
      <c r="E545" s="1" t="n">
        <v>37329</v>
      </c>
      <c r="F545" t="inlineStr">
        <is>
          <t>hadn't made this stew in a while, but when i came across the recipe, i remembered that it was delicious and very easy to make.</t>
        </is>
      </c>
      <c r="G545" t="n">
        <v>18</v>
      </c>
      <c r="H545" t="n">
        <v>11700</v>
      </c>
      <c r="I545">
        <f>D545*60</f>
        <v/>
      </c>
      <c r="J545">
        <f>COUNTIF(Отзывы!$D:$D, 22341)</f>
        <v/>
      </c>
    </row>
    <row r="546">
      <c r="A546" t="n">
        <v>820</v>
      </c>
      <c r="B546" t="inlineStr">
        <is>
          <t>apple blossom coffee cake</t>
        </is>
      </c>
      <c r="C546" t="n">
        <v>507760</v>
      </c>
      <c r="D546" s="4" t="n">
        <v>65</v>
      </c>
      <c r="E546" s="1" t="n">
        <v>41559</v>
      </c>
      <c r="F546" t="inlineStr">
        <is>
          <t>although not listed in the ingredients, my mom has been known to mix up a glaze with confectionary sugar to drizzle over this.  she has a slight sweet tooth!</t>
        </is>
      </c>
      <c r="H546" t="n">
        <v>3900</v>
      </c>
      <c r="I546">
        <f>D546*60</f>
        <v/>
      </c>
      <c r="J546">
        <f>COUNTIF(Отзывы!$D:$D, 507760)</f>
        <v/>
      </c>
    </row>
    <row r="547">
      <c r="A547" t="n">
        <v>19297</v>
      </c>
      <c r="B547" t="inlineStr">
        <is>
          <t>orange carrot cake ii</t>
        </is>
      </c>
      <c r="C547" t="n">
        <v>127481</v>
      </c>
      <c r="D547" s="4" t="n">
        <v>55</v>
      </c>
      <c r="E547" s="1" t="n">
        <v>38528</v>
      </c>
      <c r="F547" t="inlineStr">
        <is>
          <t>once again, i love anything with citrus..i think even better than chocolate!</t>
        </is>
      </c>
      <c r="G547" t="n">
        <v>16</v>
      </c>
      <c r="H547" t="n">
        <v>3300</v>
      </c>
      <c r="I547">
        <f>D547*60</f>
        <v/>
      </c>
      <c r="J547">
        <f>COUNTIF(Отзывы!$D:$D, 127481)</f>
        <v/>
      </c>
    </row>
    <row r="548">
      <c r="A548" t="n">
        <v>26085</v>
      </c>
      <c r="B548" t="inlineStr">
        <is>
          <t>strawberry salsa</t>
        </is>
      </c>
      <c r="C548" t="n">
        <v>61642</v>
      </c>
      <c r="D548" s="6" t="n">
        <v>10</v>
      </c>
      <c r="E548" s="1" t="n">
        <v>37748</v>
      </c>
      <c r="F548" t="inlineStr">
        <is>
          <t>something a little different for grilled chicken, fish or pork. add a little diced jalapeno for some extra bite.</t>
        </is>
      </c>
      <c r="H548" t="n">
        <v>600</v>
      </c>
      <c r="I548">
        <f>D548*60</f>
        <v/>
      </c>
      <c r="J548">
        <f>COUNTIF(Отзывы!$D:$D, 61642)</f>
        <v/>
      </c>
    </row>
    <row r="549">
      <c r="A549" t="n">
        <v>375</v>
      </c>
      <c r="B549" t="inlineStr">
        <is>
          <t>african pineapple peanut stew</t>
        </is>
      </c>
      <c r="C549" t="n">
        <v>184074</v>
      </c>
      <c r="D549" s="4" t="n">
        <v>30</v>
      </c>
      <c r="E549" s="1" t="n">
        <v>38960</v>
      </c>
      <c r="F549" t="inlineStr">
        <is>
          <t>goes surprisingly well with noodles</t>
        </is>
      </c>
      <c r="G549" t="n">
        <v>8</v>
      </c>
      <c r="H549" t="n">
        <v>1800</v>
      </c>
      <c r="I549">
        <f>D549*60</f>
        <v/>
      </c>
      <c r="J549">
        <f>COUNTIF(Отзывы!$D:$D, 184074)</f>
        <v/>
      </c>
    </row>
    <row r="550">
      <c r="A550" t="n">
        <v>10422</v>
      </c>
      <c r="B550" t="inlineStr">
        <is>
          <t>eggplant  aubergine  tagine   low fat</t>
        </is>
      </c>
      <c r="C550" t="n">
        <v>169865</v>
      </c>
      <c r="D550" s="4" t="n">
        <v>25</v>
      </c>
      <c r="E550" s="1" t="n">
        <v>38862</v>
      </c>
      <c r="F550" t="inlineStr">
        <is>
          <t>my dh loves eggplant and this is a great low fat version. from delicious magazine. serve with brown rice or couscous. modified to suit our tastes.</t>
        </is>
      </c>
      <c r="H550" t="n">
        <v>1500</v>
      </c>
      <c r="I550">
        <f>D550*60</f>
        <v/>
      </c>
      <c r="J550">
        <f>COUNTIF(Отзывы!$D:$D, 169865)</f>
        <v/>
      </c>
    </row>
    <row r="551">
      <c r="A551" t="n">
        <v>26708</v>
      </c>
      <c r="B551" t="inlineStr">
        <is>
          <t>sweet peas and mushrooms</t>
        </is>
      </c>
      <c r="C551" t="n">
        <v>188755</v>
      </c>
      <c r="D551" s="4" t="n">
        <v>30</v>
      </c>
      <c r="E551" s="1" t="n">
        <v>38993</v>
      </c>
      <c r="F551" t="inlineStr">
        <is>
          <t>this recipe is so simply and so yummy!  i make it to go with traditional family dinners and my kids and dh love it.  my kids pick out the onions and mushrooms (hey you can't win them all, right?), but like the flavor of the sweet peas.  this is originally from a taste of home yearbook.</t>
        </is>
      </c>
      <c r="G551" t="n">
        <v>7</v>
      </c>
      <c r="H551" t="n">
        <v>1800</v>
      </c>
      <c r="I551">
        <f>D551*60</f>
        <v/>
      </c>
      <c r="J551">
        <f>COUNTIF(Отзывы!$D:$D, 188755)</f>
        <v/>
      </c>
    </row>
    <row r="552">
      <c r="A552" t="n">
        <v>2550</v>
      </c>
      <c r="B552" t="inlineStr">
        <is>
          <t>bean  potato and sauerkraut soup</t>
        </is>
      </c>
      <c r="C552" t="n">
        <v>141362</v>
      </c>
      <c r="D552" s="4" t="n">
        <v>150</v>
      </c>
      <c r="E552" s="1" t="n">
        <v>38639</v>
      </c>
      <c r="F552" t="inlineStr">
        <is>
          <t>raining 6 days straight here in the northeast and suddenly i'm thinking about warm comforting soups as a way to warm from the inside out.  after pulling out one of my soup cookbooks and came across this one and decided to post it for the zaar world tour.  you can make this vegetarian by omitting the prosciutto. i have not tried this one so please feel free to share your comments and sugeestions.</t>
        </is>
      </c>
      <c r="G552" t="n">
        <v>13</v>
      </c>
      <c r="H552" t="n">
        <v>9000</v>
      </c>
      <c r="I552">
        <f>D552*60</f>
        <v/>
      </c>
      <c r="J552">
        <f>COUNTIF(Отзывы!$D:$D, 141362)</f>
        <v/>
      </c>
    </row>
    <row r="553">
      <c r="A553" t="n">
        <v>4252</v>
      </c>
      <c r="B553" t="inlineStr">
        <is>
          <t>butternut squash stuffed shells</t>
        </is>
      </c>
      <c r="C553" t="n">
        <v>390305</v>
      </c>
      <c r="D553" s="4" t="n">
        <v>50</v>
      </c>
      <c r="E553" s="1" t="n">
        <v>40070</v>
      </c>
      <c r="F553" t="inlineStr">
        <is>
          <t>we love this dish for fall dinners.  it is very good and a good use for squash. i tried to make sure it isn't already on recipezaar. i didn't want anyone to miss having a chance to enjoy this dish during autumn. sometimes i add some sliced black olives to the sauce. my family loves black olives. this is from my notebook of very old recipes that i am trying to put on recipezaar for safe keeping, so i don't know where it originally came from.</t>
        </is>
      </c>
      <c r="H553" t="n">
        <v>3000</v>
      </c>
      <c r="I553">
        <f>D553*60</f>
        <v/>
      </c>
      <c r="J553">
        <f>COUNTIF(Отзывы!$D:$D, 390305)</f>
        <v/>
      </c>
    </row>
    <row r="554">
      <c r="A554" t="n">
        <v>24147</v>
      </c>
      <c r="B554" t="inlineStr">
        <is>
          <t>sichuan pepper chicken</t>
        </is>
      </c>
      <c r="C554" t="n">
        <v>351415</v>
      </c>
      <c r="D554" s="4" t="n">
        <v>45</v>
      </c>
      <c r="E554" s="1" t="n">
        <v>39835</v>
      </c>
      <c r="F554" t="inlineStr">
        <is>
          <t>this tasty recipe is from a sichuan restaurant in anshan, china where i taught esl to chinese children.</t>
        </is>
      </c>
      <c r="G554" t="n">
        <v>19</v>
      </c>
      <c r="H554" t="n">
        <v>2700</v>
      </c>
      <c r="I554">
        <f>D554*60</f>
        <v/>
      </c>
      <c r="J554">
        <f>COUNTIF(Отзывы!$D:$D, 351415)</f>
        <v/>
      </c>
    </row>
    <row r="555" ht="409.5" customHeight="1">
      <c r="A555" t="n">
        <v>14278</v>
      </c>
      <c r="B555" t="inlineStr">
        <is>
          <t>how to sprout lentils</t>
        </is>
      </c>
      <c r="C555" t="n">
        <v>204489</v>
      </c>
      <c r="D555" s="4" t="n">
        <v>4325</v>
      </c>
      <c r="E555" s="1" t="n">
        <v>39091</v>
      </c>
      <c r="F555" s="2" t="inlineStr">
        <is>
          <t>these are so easy to make and are so good for you! lentil sprouts contain vitamins: a, b1, b2, b3, b5, b6, b12, b15, b17, c, k,  choline, folic acid, inositol, paba_x000D_
_x000D_
_x000D_
  minerals: boron, calcium, chlorine, copper, iron,  magnesium, molybdenum, phosphorus, potassium,  selenium, sodium, sulphur, zinc_x000D_
_x000D_
the amounts are loosely given. i love them over salads, but are good snacks on their own. cook time is sprouting time.</t>
        </is>
      </c>
      <c r="G555" t="n">
        <v>2</v>
      </c>
      <c r="H555" t="n">
        <v>259500</v>
      </c>
      <c r="I555">
        <f>D555*60</f>
        <v/>
      </c>
      <c r="J555">
        <f>COUNTIF(Отзывы!$D:$D, 204489)</f>
        <v/>
      </c>
    </row>
    <row r="556">
      <c r="A556" t="n">
        <v>21016</v>
      </c>
      <c r="B556" t="inlineStr">
        <is>
          <t>poached chicken portuguese</t>
        </is>
      </c>
      <c r="C556" t="n">
        <v>296946</v>
      </c>
      <c r="D556" s="4" t="n">
        <v>45</v>
      </c>
      <c r="E556" s="1" t="n">
        <v>39545</v>
      </c>
      <c r="F556" t="inlineStr">
        <is>
          <t>from 365 ways to cook chicken.</t>
        </is>
      </c>
      <c r="G556" t="n">
        <v>12</v>
      </c>
      <c r="H556" t="n">
        <v>2700</v>
      </c>
      <c r="I556">
        <f>D556*60</f>
        <v/>
      </c>
      <c r="J556">
        <f>COUNTIF(Отзывы!$D:$D, 296946)</f>
        <v/>
      </c>
    </row>
    <row r="557">
      <c r="A557" t="n">
        <v>24424</v>
      </c>
      <c r="B557" t="inlineStr">
        <is>
          <t>sliced tomato salad</t>
        </is>
      </c>
      <c r="C557" t="n">
        <v>197017</v>
      </c>
      <c r="D557" s="6" t="n">
        <v>10</v>
      </c>
      <c r="E557" s="1" t="n">
        <v>39042</v>
      </c>
      <c r="F557" t="inlineStr">
        <is>
          <t>this salad is a true culinary delight because of its simplicity and taste. it will turn tomato haters to tomato lovers!</t>
        </is>
      </c>
      <c r="G557" t="n">
        <v>6</v>
      </c>
      <c r="H557" t="n">
        <v>600</v>
      </c>
      <c r="I557">
        <f>D557*60</f>
        <v/>
      </c>
      <c r="J557">
        <f>COUNTIF(Отзывы!$D:$D, 197017)</f>
        <v/>
      </c>
    </row>
    <row r="558">
      <c r="A558" t="n">
        <v>28720</v>
      </c>
      <c r="B558" t="inlineStr">
        <is>
          <t>vegetarian fried vermicelli  fried bee hoon</t>
        </is>
      </c>
      <c r="C558" t="n">
        <v>180004</v>
      </c>
      <c r="D558" s="4" t="n">
        <v>25</v>
      </c>
      <c r="E558" s="1" t="n">
        <v>38929</v>
      </c>
      <c r="F558" t="inlineStr">
        <is>
          <t>this is a really good one dish meal and is popular in singapore.</t>
        </is>
      </c>
      <c r="G558" t="n">
        <v>7</v>
      </c>
      <c r="H558" t="n">
        <v>1500</v>
      </c>
      <c r="I558">
        <f>D558*60</f>
        <v/>
      </c>
      <c r="J558">
        <f>COUNTIF(Отзывы!$D:$D, 180004)</f>
        <v/>
      </c>
    </row>
    <row r="559">
      <c r="A559" t="n">
        <v>29327</v>
      </c>
      <c r="B559" t="inlineStr">
        <is>
          <t>whitley   goose</t>
        </is>
      </c>
      <c r="C559" t="n">
        <v>124419</v>
      </c>
      <c r="D559" s="4" t="n">
        <v>60</v>
      </c>
      <c r="E559" s="1" t="n">
        <v>38505</v>
      </c>
      <c r="F559" t="inlineStr">
        <is>
          <t>this, quite simply, is baked onions, cheese and cream. nothing to do with goose at all! a traditional dish from whitley bay, on the coast near newcastle-upon-tyne, i have no idea how it got its name. never mind - it's good english "tucker" as we aussies say, just the thing on a cold winter's night. i like it a bit more 'cheesey', so feel free to add some extra if you do too. from 'the foody'.</t>
        </is>
      </c>
      <c r="G559" t="n">
        <v>6</v>
      </c>
      <c r="H559" t="n">
        <v>3600</v>
      </c>
      <c r="I559">
        <f>D559*60</f>
        <v/>
      </c>
      <c r="J559">
        <f>COUNTIF(Отзывы!$D:$D, 124419)</f>
        <v/>
      </c>
    </row>
    <row r="560">
      <c r="A560" t="n">
        <v>6566</v>
      </c>
      <c r="B560" t="inlineStr">
        <is>
          <t>chocolate covered cherry latte</t>
        </is>
      </c>
      <c r="C560" t="n">
        <v>257710</v>
      </c>
      <c r="D560" s="5" t="n">
        <v>2</v>
      </c>
      <c r="E560" s="1" t="n">
        <v>39363</v>
      </c>
      <c r="F560" t="inlineStr">
        <is>
          <t>another flavoured coffee from davinci, the cherry, chocolate &amp; coffee mix quite well.</t>
        </is>
      </c>
      <c r="G560" t="n">
        <v>4</v>
      </c>
      <c r="H560" t="n">
        <v>120</v>
      </c>
      <c r="I560">
        <f>D560*60</f>
        <v/>
      </c>
      <c r="J560">
        <f>COUNTIF(Отзывы!$D:$D, 257710)</f>
        <v/>
      </c>
    </row>
    <row r="561">
      <c r="A561" t="n">
        <v>26794</v>
      </c>
      <c r="B561" t="inlineStr">
        <is>
          <t>sweet vanilla soymilk</t>
        </is>
      </c>
      <c r="C561" t="n">
        <v>221261</v>
      </c>
      <c r="D561" s="5" t="n">
        <v>2</v>
      </c>
      <c r="E561" s="1" t="n">
        <v>39179</v>
      </c>
      <c r="F561" t="inlineStr">
        <is>
          <t>this is what i created for when i don't have ready-made storebought vanilla soymilk. it is so easy to mix up and just keep a bottle handy in the fridge for chai tea, pouring on cereal, etc. i also use this in my muesli recipes here on zaar.</t>
        </is>
      </c>
      <c r="G561" t="n">
        <v>4</v>
      </c>
      <c r="H561" t="n">
        <v>120</v>
      </c>
      <c r="I561">
        <f>D561*60</f>
        <v/>
      </c>
      <c r="J561">
        <f>COUNTIF(Отзывы!$D:$D, 221261)</f>
        <v/>
      </c>
    </row>
    <row r="562">
      <c r="A562" t="n">
        <v>29437</v>
      </c>
      <c r="B562" t="inlineStr">
        <is>
          <t>wild rice with mild curried spinach</t>
        </is>
      </c>
      <c r="C562" t="n">
        <v>272064</v>
      </c>
      <c r="D562" s="4" t="n">
        <v>65</v>
      </c>
      <c r="E562" s="1" t="n">
        <v>39431</v>
      </c>
      <c r="F562" t="inlineStr">
        <is>
          <t>well, this was what i threw together tonight after looking through the pantry.  luckily, the flavors went together really well, and it's worth saving the recipe to make again!  just a note about the spices:  this is purposely very mildly spiced (good for kids!) but for all the grownups who like stronger flavors (myself included!)  you might want to double the spices (or as one reviewer did, triple them.)</t>
        </is>
      </c>
      <c r="G562" t="n">
        <v>11</v>
      </c>
      <c r="H562" t="n">
        <v>3900</v>
      </c>
      <c r="I562">
        <f>D562*60</f>
        <v/>
      </c>
      <c r="J562">
        <f>COUNTIF(Отзывы!$D:$D, 272064)</f>
        <v/>
      </c>
    </row>
    <row r="563">
      <c r="A563" t="n">
        <v>21369</v>
      </c>
      <c r="B563" t="inlineStr">
        <is>
          <t>pot sticker chicken egg drop soup</t>
        </is>
      </c>
      <c r="C563" t="n">
        <v>52050</v>
      </c>
      <c r="D563" s="4" t="n">
        <v>40</v>
      </c>
      <c r="E563" s="1" t="n">
        <v>37642</v>
      </c>
      <c r="F563" t="inlineStr">
        <is>
          <t>i was looking for an easy way to use up some frozen potstickers, and decided to pair this with a fast chicken soup for a winter's night mainstay. this has quickly become a favorite for us!</t>
        </is>
      </c>
      <c r="G563" t="n">
        <v>12</v>
      </c>
      <c r="H563" t="n">
        <v>2400</v>
      </c>
      <c r="I563">
        <f>D563*60</f>
        <v/>
      </c>
      <c r="J563">
        <f>COUNTIF(Отзывы!$D:$D, 52050)</f>
        <v/>
      </c>
    </row>
    <row r="564">
      <c r="A564" t="n">
        <v>27536</v>
      </c>
      <c r="B564" t="inlineStr">
        <is>
          <t>the world s fastest chocolate sour cream cake    maybe the best</t>
        </is>
      </c>
      <c r="C564" t="n">
        <v>410482</v>
      </c>
      <c r="D564" s="4" t="n">
        <v>30</v>
      </c>
      <c r="E564" s="1" t="n">
        <v>40204</v>
      </c>
      <c r="F564" t="inlineStr">
        <is>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is>
      </c>
      <c r="H564" t="n">
        <v>1800</v>
      </c>
      <c r="I564">
        <f>D564*60</f>
        <v/>
      </c>
      <c r="J564">
        <f>COUNTIF(Отзывы!$D:$D, 410482)</f>
        <v/>
      </c>
    </row>
    <row r="565">
      <c r="A565" t="n">
        <v>13550</v>
      </c>
      <c r="B565" t="inlineStr">
        <is>
          <t>hearty turkey and vegetable soup</t>
        </is>
      </c>
      <c r="C565" t="n">
        <v>376002</v>
      </c>
      <c r="D565" s="4" t="n">
        <v>220</v>
      </c>
      <c r="E565" s="1" t="n">
        <v>39971</v>
      </c>
      <c r="F565" t="inlineStr">
        <is>
          <t>save the carcass,pan juices and any leftover gravy from your next turkey for the broth for this soup. if you wish, a turkey breast and 2 drumsticks can be substituted for the turkey carcass. after simmering broth, reserve meat for soup. the recipe is from an october 1985 issue of bon appetit that featured a menu and recipes for "a soup and bread supper".</t>
        </is>
      </c>
      <c r="G565" t="n">
        <v>18</v>
      </c>
      <c r="H565" t="n">
        <v>13200</v>
      </c>
      <c r="I565">
        <f>D565*60</f>
        <v/>
      </c>
      <c r="J565">
        <f>COUNTIF(Отзывы!$D:$D, 376002)</f>
        <v/>
      </c>
    </row>
    <row r="566">
      <c r="A566" t="n">
        <v>3149</v>
      </c>
      <c r="B566" t="inlineStr">
        <is>
          <t>black bean  corn  and tomato salad with lime</t>
        </is>
      </c>
      <c r="C566" t="n">
        <v>182723</v>
      </c>
      <c r="D566" s="4" t="n">
        <v>70</v>
      </c>
      <c r="E566" s="1" t="n">
        <v>38953</v>
      </c>
      <c r="F566" t="inlineStr">
        <is>
          <t>this is a great salad! i developed it while in phase 1 of the fat smash diet, developed by dr. ian smith. the diet is featured on vh1's celebrity fit club. i am so addicted to this show! hope you enjoy the salad. prep time is how long it takes to chop, mix, etc. cook time is chill time.</t>
        </is>
      </c>
      <c r="G566" t="n">
        <v>6</v>
      </c>
      <c r="H566" t="n">
        <v>4200</v>
      </c>
      <c r="I566">
        <f>D566*60</f>
        <v/>
      </c>
      <c r="J566">
        <f>COUNTIF(Отзывы!$D:$D, 182723)</f>
        <v/>
      </c>
    </row>
    <row r="567">
      <c r="A567" t="n">
        <v>3559</v>
      </c>
      <c r="B567" t="inlineStr">
        <is>
          <t>bourbon  brandy or rum balls</t>
        </is>
      </c>
      <c r="C567" t="n">
        <v>147972</v>
      </c>
      <c r="D567" s="6" t="n">
        <v>10</v>
      </c>
      <c r="E567" s="1" t="n">
        <v>38698</v>
      </c>
      <c r="F567" t="inlineStr">
        <is>
          <t>this delicious addition to holiday festivities uses an entire box of nilla wafers. we keep these on our coffee table during holiday entertaining.</t>
        </is>
      </c>
      <c r="G567" t="n">
        <v>6</v>
      </c>
      <c r="H567" t="n">
        <v>600</v>
      </c>
      <c r="I567">
        <f>D567*60</f>
        <v/>
      </c>
      <c r="J567">
        <f>COUNTIF(Отзывы!$D:$D, 147972)</f>
        <v/>
      </c>
    </row>
    <row r="568">
      <c r="A568" t="n">
        <v>8813</v>
      </c>
      <c r="B568" t="inlineStr">
        <is>
          <t>crunchy deep fried chicken wings</t>
        </is>
      </c>
      <c r="C568" t="n">
        <v>158043</v>
      </c>
      <c r="D568" s="4" t="n">
        <v>50</v>
      </c>
      <c r="E568" s="1" t="n">
        <v>38776</v>
      </c>
      <c r="F568" t="inlineStr">
        <is>
          <t>these chicken wings remind me of kfc extra crispy chicken! a crunchy outside coating makes them great with or without sauce. i serve them "naked" with sauces on the side.</t>
        </is>
      </c>
      <c r="H568" t="n">
        <v>3000</v>
      </c>
      <c r="I568">
        <f>D568*60</f>
        <v/>
      </c>
      <c r="J568">
        <f>COUNTIF(Отзывы!$D:$D, 158043)</f>
        <v/>
      </c>
    </row>
    <row r="569">
      <c r="A569" t="n">
        <v>27163</v>
      </c>
      <c r="B569" t="inlineStr">
        <is>
          <t>tex mex egg burritos</t>
        </is>
      </c>
      <c r="C569" t="n">
        <v>100924</v>
      </c>
      <c r="D569" s="4" t="n">
        <v>25</v>
      </c>
      <c r="E569" s="1" t="n">
        <v>38260</v>
      </c>
      <c r="F569" t="inlineStr">
        <is>
          <t>this is a quick filling for breakfast burritos that our whole family loves. we sometimes have them for dinner too. hope you enjoy.</t>
        </is>
      </c>
      <c r="G569" t="n">
        <v>6</v>
      </c>
      <c r="H569" t="n">
        <v>1500</v>
      </c>
      <c r="I569">
        <f>D569*60</f>
        <v/>
      </c>
      <c r="J569">
        <f>COUNTIF(Отзывы!$D:$D, 100924)</f>
        <v/>
      </c>
    </row>
    <row r="570">
      <c r="A570" t="n">
        <v>427</v>
      </c>
      <c r="B570" t="inlineStr">
        <is>
          <t>alex s lemon shake</t>
        </is>
      </c>
      <c r="C570" t="n">
        <v>303710</v>
      </c>
      <c r="D570" s="6" t="n">
        <v>5</v>
      </c>
      <c r="E570" s="1" t="n">
        <v>39583</v>
      </c>
      <c r="F570" t="inlineStr">
        <is>
          <t>here is the story of this recipe in alex's own words, but mom's punctuation. "alex was playing on webkinz world and his mother went out shopping. when she came back, alex asked if she got the ingredients for a webkinz food. she didn't.  so that's why he invented something new!"</t>
        </is>
      </c>
      <c r="G570" t="n">
        <v>5</v>
      </c>
      <c r="H570" t="n">
        <v>300</v>
      </c>
      <c r="I570">
        <f>D570*60</f>
        <v/>
      </c>
      <c r="J570">
        <f>COUNTIF(Отзывы!$D:$D, 303710)</f>
        <v/>
      </c>
    </row>
    <row r="571">
      <c r="A571" t="n">
        <v>188</v>
      </c>
      <c r="B571" t="inlineStr">
        <is>
          <t>30 minute lemon meringue pie</t>
        </is>
      </c>
      <c r="C571" t="n">
        <v>100633</v>
      </c>
      <c r="D571" s="4" t="n">
        <v>30</v>
      </c>
      <c r="E571" s="1" t="n">
        <v>38257</v>
      </c>
      <c r="F571" t="inlineStr">
        <is>
          <t>for a quick and easy lemon meringue pie</t>
        </is>
      </c>
      <c r="G571" t="n">
        <v>7</v>
      </c>
      <c r="H571" t="n">
        <v>1800</v>
      </c>
      <c r="I571">
        <f>D571*60</f>
        <v/>
      </c>
      <c r="J571">
        <f>COUNTIF(Отзывы!$D:$D, 100633)</f>
        <v/>
      </c>
    </row>
    <row r="572">
      <c r="A572" t="n">
        <v>13204</v>
      </c>
      <c r="B572" t="inlineStr">
        <is>
          <t>ham   white cheddar dip baked in a bread bowl</t>
        </is>
      </c>
      <c r="C572" t="n">
        <v>401455</v>
      </c>
      <c r="D572" s="4" t="n">
        <v>75</v>
      </c>
      <c r="E572" s="1" t="n">
        <v>40145</v>
      </c>
      <c r="F572" t="inlineStr">
        <is>
          <t>just a nice twist on ham and cheese. simple to throw together and baked right in a pumpernickel bread bowl. now, you could use rye, whole wheat, but the pumpernickel just tastes the best to me. just a nice change for a party dip.</t>
        </is>
      </c>
      <c r="H572" t="n">
        <v>4500</v>
      </c>
      <c r="I572">
        <f>D572*60</f>
        <v/>
      </c>
      <c r="J572">
        <f>COUNTIF(Отзывы!$D:$D, 401455)</f>
        <v/>
      </c>
    </row>
    <row r="573">
      <c r="A573" t="n">
        <v>25308</v>
      </c>
      <c r="B573" t="inlineStr">
        <is>
          <t>spicy beef burritos</t>
        </is>
      </c>
      <c r="C573" t="n">
        <v>360920</v>
      </c>
      <c r="D573" s="4" t="n">
        <v>45</v>
      </c>
      <c r="E573" s="1" t="n">
        <v>39887</v>
      </c>
      <c r="F573" t="inlineStr">
        <is>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is>
      </c>
      <c r="G573" t="n">
        <v>8</v>
      </c>
      <c r="H573" t="n">
        <v>2700</v>
      </c>
      <c r="I573">
        <f>D573*60</f>
        <v/>
      </c>
      <c r="J573">
        <f>COUNTIF(Отзывы!$D:$D, 360920)</f>
        <v/>
      </c>
    </row>
    <row r="574">
      <c r="A574" t="n">
        <v>18417</v>
      </c>
      <c r="B574" t="inlineStr">
        <is>
          <t>my favorite frosting</t>
        </is>
      </c>
      <c r="C574" t="n">
        <v>164362</v>
      </c>
      <c r="D574" s="6" t="n">
        <v>10</v>
      </c>
      <c r="E574" s="1" t="n">
        <v>38821</v>
      </c>
      <c r="F574" t="inlineStr">
        <is>
          <t>very easy...white &amp; fluffy</t>
        </is>
      </c>
      <c r="H574" t="n">
        <v>600</v>
      </c>
      <c r="I574">
        <f>D574*60</f>
        <v/>
      </c>
      <c r="J574">
        <f>COUNTIF(Отзывы!$D:$D, 164362)</f>
        <v/>
      </c>
    </row>
    <row r="575" ht="409.5" customHeight="1">
      <c r="A575" t="n">
        <v>1482</v>
      </c>
      <c r="B575" t="inlineStr">
        <is>
          <t>avocado butter with baby shrimp sandwiches</t>
        </is>
      </c>
      <c r="C575" t="n">
        <v>211407</v>
      </c>
      <c r="D575" s="4" t="n">
        <v>30</v>
      </c>
      <c r="E575" s="1" t="n">
        <v>39126</v>
      </c>
      <c r="F575" s="2" t="inlineStr">
        <is>
          <t>the easiest way to prepare this sandwich is to buy frozen cooked baby shrimp. defrost them in the refrigerator overnight and drain before marinating. the cucumber slices are salted before using to draw out their juices, which would otherwise make the sandwich soggy._x000D_
by lucy waverman for food and drink._x000D_
cook time is "resting" time for cucumbers.</t>
        </is>
      </c>
      <c r="H575" t="n">
        <v>1800</v>
      </c>
      <c r="I575">
        <f>D575*60</f>
        <v/>
      </c>
      <c r="J575">
        <f>COUNTIF(Отзывы!$D:$D, 211407)</f>
        <v/>
      </c>
    </row>
    <row r="576">
      <c r="A576" t="n">
        <v>12343</v>
      </c>
      <c r="B576" t="inlineStr">
        <is>
          <t>gramma s apple bread pudding</t>
        </is>
      </c>
      <c r="C576" t="n">
        <v>395706</v>
      </c>
      <c r="D576" s="4" t="n">
        <v>60</v>
      </c>
      <c r="E576" s="1" t="n">
        <v>40107</v>
      </c>
      <c r="F576" t="inlineStr">
        <is>
          <t>meshel</t>
        </is>
      </c>
      <c r="H576" t="n">
        <v>3600</v>
      </c>
      <c r="I576">
        <f>D576*60</f>
        <v/>
      </c>
      <c r="J576">
        <f>COUNTIF(Отзывы!$D:$D, 395706)</f>
        <v/>
      </c>
    </row>
    <row r="577">
      <c r="A577" t="n">
        <v>16979</v>
      </c>
      <c r="B577" t="inlineStr">
        <is>
          <t>maple cream apple pie</t>
        </is>
      </c>
      <c r="C577" t="n">
        <v>192023</v>
      </c>
      <c r="D577" s="4" t="n">
        <v>45</v>
      </c>
      <c r="E577" s="1" t="n">
        <v>39014</v>
      </c>
      <c r="F577" t="inlineStr">
        <is>
          <t>i haven't tried this yet, but it sounds delicious and seeings as how it comes from toh, i believe it to be a sure bet!   prep and cooking times don't include cooling periods.</t>
        </is>
      </c>
      <c r="H577" t="n">
        <v>2700</v>
      </c>
      <c r="I577">
        <f>D577*60</f>
        <v/>
      </c>
      <c r="J577">
        <f>COUNTIF(Отзывы!$D:$D, 192023)</f>
        <v/>
      </c>
    </row>
    <row r="578">
      <c r="A578" t="n">
        <v>3469</v>
      </c>
      <c r="B578" t="inlineStr">
        <is>
          <t>bob s white chili</t>
        </is>
      </c>
      <c r="C578" t="n">
        <v>21084</v>
      </c>
      <c r="D578" s="4" t="n">
        <v>90</v>
      </c>
      <c r="E578" s="1" t="n">
        <v>37316</v>
      </c>
      <c r="F578" t="inlineStr">
        <is>
          <t>i don't know who bob is and i haven't tried this; it was emailed to me by my sil. sounds good!</t>
        </is>
      </c>
      <c r="G578" t="n">
        <v>12</v>
      </c>
      <c r="H578" t="n">
        <v>5400</v>
      </c>
      <c r="I578">
        <f>D578*60</f>
        <v/>
      </c>
      <c r="J578">
        <f>COUNTIF(Отзывы!$D:$D, 21084)</f>
        <v/>
      </c>
    </row>
    <row r="579">
      <c r="A579" t="n">
        <v>19733</v>
      </c>
      <c r="B579" t="inlineStr">
        <is>
          <t>pan seared herbed salmon</t>
        </is>
      </c>
      <c r="C579" t="n">
        <v>226157</v>
      </c>
      <c r="D579" s="4" t="n">
        <v>15</v>
      </c>
      <c r="E579" s="1" t="n">
        <v>39205</v>
      </c>
      <c r="F579" t="inlineStr">
        <is>
          <t>this is a quick and simple dish that my husband loves.</t>
        </is>
      </c>
      <c r="H579" t="n">
        <v>900</v>
      </c>
      <c r="I579">
        <f>D579*60</f>
        <v/>
      </c>
      <c r="J579">
        <f>COUNTIF(Отзывы!$D:$D, 226157)</f>
        <v/>
      </c>
    </row>
    <row r="580">
      <c r="A580" t="n">
        <v>7452</v>
      </c>
      <c r="B580" t="inlineStr">
        <is>
          <t>company s comin  breakfast casserole</t>
        </is>
      </c>
      <c r="C580" t="n">
        <v>21642</v>
      </c>
      <c r="D580" s="4" t="n">
        <v>75</v>
      </c>
      <c r="E580" s="1" t="n">
        <v>37320</v>
      </c>
      <c r="F580" t="inlineStr">
        <is>
          <t>this makes a scrumptious breakfast.  serve with toast and jelly, hash browns and juice.  you will get rave reviews.</t>
        </is>
      </c>
      <c r="G580" t="n">
        <v>8</v>
      </c>
      <c r="H580" t="n">
        <v>4500</v>
      </c>
      <c r="I580">
        <f>D580*60</f>
        <v/>
      </c>
      <c r="J580">
        <f>COUNTIF(Отзывы!$D:$D, 21642)</f>
        <v/>
      </c>
    </row>
    <row r="581">
      <c r="A581" t="n">
        <v>27074</v>
      </c>
      <c r="B581" t="inlineStr">
        <is>
          <t>tater dipped veggies from the oven</t>
        </is>
      </c>
      <c r="C581" t="n">
        <v>26824</v>
      </c>
      <c r="D581" s="4" t="n">
        <v>37</v>
      </c>
      <c r="E581" s="1" t="n">
        <v>37375</v>
      </c>
      <c r="F581" t="inlineStr">
        <is>
          <t>crisp fried veggies, without the oil or the mess. great appetizers!</t>
        </is>
      </c>
      <c r="G581" t="n">
        <v>6</v>
      </c>
      <c r="H581" t="n">
        <v>2220</v>
      </c>
      <c r="I581">
        <f>D581*60</f>
        <v/>
      </c>
      <c r="J581">
        <f>COUNTIF(Отзывы!$D:$D, 26824)</f>
        <v/>
      </c>
    </row>
    <row r="582">
      <c r="A582" t="n">
        <v>559</v>
      </c>
      <c r="B582" t="inlineStr">
        <is>
          <t>almost authentic cincinnati chili</t>
        </is>
      </c>
      <c r="C582" t="n">
        <v>12441</v>
      </c>
      <c r="D582" s="4" t="n">
        <v>210</v>
      </c>
      <c r="E582" s="1" t="n">
        <v>37169</v>
      </c>
      <c r="F582" t="inlineStr">
        <is>
          <t>9_x000C_@ from cincinnati and suffers pangs of withdrawal. his favorite is skyline (personally when i've visited i preferred goldstar, but that's heresy so don't tell nick).   i've played around with the recipe--it's still not quite perfected, but this is a version we enjoy. the best thing is that it is open to interpretation. best served over pasta and topped with shredded cheese.</t>
        </is>
      </c>
      <c r="G582" t="n">
        <v>14</v>
      </c>
      <c r="H582" t="n">
        <v>12600</v>
      </c>
      <c r="I582">
        <f>D582*60</f>
        <v/>
      </c>
      <c r="J582">
        <f>COUNTIF(Отзывы!$D:$D, 12441)</f>
        <v/>
      </c>
    </row>
    <row r="583">
      <c r="A583" t="n">
        <v>10913</v>
      </c>
      <c r="B583" t="inlineStr">
        <is>
          <t>feta  lentil   cilantro salad</t>
        </is>
      </c>
      <c r="C583" t="n">
        <v>362641</v>
      </c>
      <c r="D583" s="4" t="n">
        <v>30</v>
      </c>
      <c r="E583" s="1" t="n">
        <v>39896</v>
      </c>
      <c r="F583" t="inlineStr">
        <is>
          <t>the lentils in this dish soak up the delicious flavours of cheese, lemon, garlic and cilantro.</t>
        </is>
      </c>
      <c r="H583" t="n">
        <v>1800</v>
      </c>
      <c r="I583">
        <f>D583*60</f>
        <v/>
      </c>
      <c r="J583">
        <f>COUNTIF(Отзывы!$D:$D, 362641)</f>
        <v/>
      </c>
    </row>
    <row r="584">
      <c r="A584" t="n">
        <v>14826</v>
      </c>
      <c r="B584" t="inlineStr">
        <is>
          <t>jalapeno lime dressing</t>
        </is>
      </c>
      <c r="C584" t="n">
        <v>65991</v>
      </c>
      <c r="D584" s="6" t="n">
        <v>10</v>
      </c>
      <c r="E584" s="1" t="n">
        <v>37805</v>
      </c>
      <c r="F584" t="inlineStr">
        <is>
          <t>posted by request. can be used either as a salad dressing or a dip for tortilla chips or vegetables.</t>
        </is>
      </c>
      <c r="H584" t="n">
        <v>600</v>
      </c>
      <c r="I584">
        <f>D584*60</f>
        <v/>
      </c>
      <c r="J584">
        <f>COUNTIF(Отзывы!$D:$D, 65991)</f>
        <v/>
      </c>
    </row>
    <row r="585">
      <c r="A585" t="n">
        <v>9397</v>
      </c>
      <c r="B585" t="inlineStr">
        <is>
          <t>diabetic applesauce brownies</t>
        </is>
      </c>
      <c r="C585" t="n">
        <v>377531</v>
      </c>
      <c r="D585" s="4" t="n">
        <v>30</v>
      </c>
      <c r="E585" s="1" t="n">
        <v>39981</v>
      </c>
      <c r="F585" t="inlineStr">
        <is>
          <t>delicious brownies for those who are diabetic.</t>
        </is>
      </c>
      <c r="G585" t="n">
        <v>10</v>
      </c>
      <c r="H585" t="n">
        <v>1800</v>
      </c>
      <c r="I585">
        <f>D585*60</f>
        <v/>
      </c>
      <c r="J585">
        <f>COUNTIF(Отзывы!$D:$D, 377531)</f>
        <v/>
      </c>
    </row>
    <row r="586">
      <c r="A586" t="n">
        <v>27330</v>
      </c>
      <c r="B586" t="inlineStr">
        <is>
          <t>the best beef brisket</t>
        </is>
      </c>
      <c r="C586" t="n">
        <v>44574</v>
      </c>
      <c r="D586" s="4" t="n">
        <v>210</v>
      </c>
      <c r="E586" s="1" t="n">
        <v>37558</v>
      </c>
      <c r="F586" t="inlineStr">
        <is>
          <t>this recipe was given to me by my mother in law. it is by far the best brisket/sauce that i have ever tried!</t>
        </is>
      </c>
      <c r="G586" t="n">
        <v>11</v>
      </c>
      <c r="H586" t="n">
        <v>12600</v>
      </c>
      <c r="I586">
        <f>D586*60</f>
        <v/>
      </c>
      <c r="J586">
        <f>COUNTIF(Отзывы!$D:$D, 44574)</f>
        <v/>
      </c>
    </row>
    <row r="587">
      <c r="A587" t="n">
        <v>22442</v>
      </c>
      <c r="B587" t="inlineStr">
        <is>
          <t>restaurant style spinach artichoke dip</t>
        </is>
      </c>
      <c r="C587" t="n">
        <v>128814</v>
      </c>
      <c r="D587" s="4" t="n">
        <v>45</v>
      </c>
      <c r="E587" s="1" t="n">
        <v>38539</v>
      </c>
      <c r="F587" t="inlineStr">
        <is>
          <t>this is absolutely the best recipe! i catered my own wedding and served this - it was the first dish to go &amp; many guests asked for the recipe.  you can also serve this as a side dish.  enjoy!!!!!!</t>
        </is>
      </c>
      <c r="G587" t="n">
        <v>7</v>
      </c>
      <c r="H587" t="n">
        <v>2700</v>
      </c>
      <c r="I587">
        <f>D587*60</f>
        <v/>
      </c>
      <c r="J587">
        <f>COUNTIF(Отзывы!$D:$D, 128814)</f>
        <v/>
      </c>
    </row>
    <row r="588">
      <c r="A588" t="n">
        <v>27640</v>
      </c>
      <c r="B588" t="inlineStr">
        <is>
          <t>tippys shepherds pie yum  comfort food</t>
        </is>
      </c>
      <c r="C588" t="n">
        <v>393028</v>
      </c>
      <c r="D588" s="4" t="n">
        <v>62</v>
      </c>
      <c r="E588" s="1" t="n">
        <v>40091</v>
      </c>
      <c r="F588" t="inlineStr">
        <is>
          <t>good ole comfort food at it's best.no canned tomatoes in this recipe cause they're nasty. nothing fancy, just plain yummy! enjoy!</t>
        </is>
      </c>
      <c r="H588" t="n">
        <v>3720</v>
      </c>
      <c r="I588">
        <f>D588*60</f>
        <v/>
      </c>
      <c r="J588">
        <f>COUNTIF(Отзывы!$D:$D, 393028)</f>
        <v/>
      </c>
    </row>
    <row r="589">
      <c r="A589" t="n">
        <v>16505</v>
      </c>
      <c r="B589" t="inlineStr">
        <is>
          <t>low fat spinach dip potato salad</t>
        </is>
      </c>
      <c r="C589" t="n">
        <v>402877</v>
      </c>
      <c r="D589" s="4" t="n">
        <v>50</v>
      </c>
      <c r="E589" s="1" t="n">
        <v>40155</v>
      </c>
      <c r="F589" t="inlineStr">
        <is>
          <t>i came up with this recipe when i was asked to review a brand of greek yogurt for my weekend carnivore (http://weekendcarnivore.com) cooking blog. i figured that i enjoy both spinach dip and potato salad. so, why not combine the two?  cooking time doesn't include the chilling time since it is up to you how long you chill it.</t>
        </is>
      </c>
      <c r="H589" t="n">
        <v>3000</v>
      </c>
      <c r="I589">
        <f>D589*60</f>
        <v/>
      </c>
      <c r="J589">
        <f>COUNTIF(Отзывы!$D:$D, 402877)</f>
        <v/>
      </c>
    </row>
    <row r="590">
      <c r="A590" t="n">
        <v>16081</v>
      </c>
      <c r="B590" t="inlineStr">
        <is>
          <t>lentil sausage gumbo</t>
        </is>
      </c>
      <c r="C590" t="n">
        <v>343245</v>
      </c>
      <c r="D590" s="4" t="n">
        <v>70</v>
      </c>
      <c r="E590" s="1" t="n">
        <v>39795</v>
      </c>
      <c r="F590" t="inlineStr">
        <is>
          <t>this is my son's favorite gumbo recipe. he made this when he was cooking at a little neighborhood tavern. he sold out of it every time he made it.</t>
        </is>
      </c>
      <c r="G590" t="n">
        <v>12</v>
      </c>
      <c r="H590" t="n">
        <v>4200</v>
      </c>
      <c r="I590">
        <f>D590*60</f>
        <v/>
      </c>
      <c r="J590">
        <f>COUNTIF(Отзывы!$D:$D, 343245)</f>
        <v/>
      </c>
    </row>
    <row r="591" ht="390" customHeight="1">
      <c r="A591" t="n">
        <v>20629</v>
      </c>
      <c r="B591" t="inlineStr">
        <is>
          <t>pesto presto chicken  rachael ray</t>
        </is>
      </c>
      <c r="C591" t="n">
        <v>445091</v>
      </c>
      <c r="D591" s="4" t="n">
        <v>45</v>
      </c>
      <c r="E591" s="1" t="n">
        <v>40541</v>
      </c>
      <c r="F591" s="2" t="inlineStr">
        <is>
          <t>this is one of her recipes taken from her new book "look + cook" with a slight modification. _x000D_
i was unable to get the boursin cheese at our local store, so used_x000D_
recipe #80675</t>
        </is>
      </c>
      <c r="G591" t="n">
        <v>8</v>
      </c>
      <c r="H591" t="n">
        <v>2700</v>
      </c>
      <c r="I591">
        <f>D591*60</f>
        <v/>
      </c>
      <c r="J591">
        <f>COUNTIF(Отзывы!$D:$D, 445091)</f>
        <v/>
      </c>
    </row>
    <row r="592">
      <c r="A592" t="n">
        <v>9810</v>
      </c>
      <c r="B592" t="inlineStr">
        <is>
          <t>easy awesome musthrooms</t>
        </is>
      </c>
      <c r="C592" t="n">
        <v>389466</v>
      </c>
      <c r="D592" s="4" t="n">
        <v>13</v>
      </c>
      <c r="E592" s="1" t="n">
        <v>40065</v>
      </c>
      <c r="F592" t="inlineStr">
        <is>
          <t>i came up with this recipe because i love mushrooms and wanted to intensify the flavor.</t>
        </is>
      </c>
      <c r="G592" t="n">
        <v>8</v>
      </c>
      <c r="H592" t="n">
        <v>780</v>
      </c>
      <c r="I592">
        <f>D592*60</f>
        <v/>
      </c>
      <c r="J592">
        <f>COUNTIF(Отзывы!$D:$D, 389466)</f>
        <v/>
      </c>
    </row>
    <row r="593">
      <c r="A593" t="n">
        <v>14718</v>
      </c>
      <c r="B593" t="inlineStr">
        <is>
          <t>italian sausage and vegetables with gorgonzola cream sauce</t>
        </is>
      </c>
      <c r="C593" t="n">
        <v>82743</v>
      </c>
      <c r="D593" s="4" t="n">
        <v>80</v>
      </c>
      <c r="E593" s="1" t="n">
        <v>38018</v>
      </c>
      <c r="F593" t="inlineStr">
        <is>
          <t>inspired by mean-chef's gorgonzola sauce recipe (only easier) and a dish i had at a great little italian restaurant in albany, ny.</t>
        </is>
      </c>
      <c r="G593" t="n">
        <v>17</v>
      </c>
      <c r="H593" t="n">
        <v>4800</v>
      </c>
      <c r="I593">
        <f>D593*60</f>
        <v/>
      </c>
      <c r="J593">
        <f>COUNTIF(Отзывы!$D:$D, 82743)</f>
        <v/>
      </c>
    </row>
    <row r="594">
      <c r="A594" t="n">
        <v>4448</v>
      </c>
      <c r="B594" t="inlineStr">
        <is>
          <t>calabacitas cheese soup</t>
        </is>
      </c>
      <c r="C594" t="n">
        <v>203337</v>
      </c>
      <c r="D594" s="4" t="n">
        <v>35</v>
      </c>
      <c r="E594" s="1" t="n">
        <v>39086</v>
      </c>
      <c r="F594" t="inlineStr">
        <is>
          <t>i've also prepared this in my crock pot, add everything except the velveeta and cilantro.  cook on low for 4-5 hours adding the velveeta and cilantro during the last 30 minutes so it has a chance to melt.  you can also substitute a can of rotel tomatoes for the stewed tomatoes if you prefer it spicy.</t>
        </is>
      </c>
      <c r="G594" t="n">
        <v>14</v>
      </c>
      <c r="H594" t="n">
        <v>2100</v>
      </c>
      <c r="I594">
        <f>D594*60</f>
        <v/>
      </c>
      <c r="J594">
        <f>COUNTIF(Отзывы!$D:$D, 203337)</f>
        <v/>
      </c>
    </row>
    <row r="595">
      <c r="A595" t="n">
        <v>5684</v>
      </c>
      <c r="B595" t="inlineStr">
        <is>
          <t>chicken breasts with herb butter</t>
        </is>
      </c>
      <c r="C595" t="n">
        <v>53858</v>
      </c>
      <c r="D595" s="4" t="n">
        <v>55</v>
      </c>
      <c r="E595" s="1" t="n">
        <v>37664</v>
      </c>
      <c r="F595" t="inlineStr">
        <is>
          <t>i got this recipe from woman's world. it is a quick and tasty way to add a little something to plain chicken breasts.</t>
        </is>
      </c>
      <c r="G595" t="n">
        <v>8</v>
      </c>
      <c r="H595" t="n">
        <v>3300</v>
      </c>
      <c r="I595">
        <f>D595*60</f>
        <v/>
      </c>
      <c r="J595">
        <f>COUNTIF(Отзывы!$D:$D, 53858)</f>
        <v/>
      </c>
    </row>
    <row r="596">
      <c r="A596" t="n">
        <v>24369</v>
      </c>
      <c r="B596" t="inlineStr">
        <is>
          <t>skiiers french toast</t>
        </is>
      </c>
      <c r="C596" t="n">
        <v>207748</v>
      </c>
      <c r="D596" s="4" t="n">
        <v>55</v>
      </c>
      <c r="E596" s="1" t="n">
        <v>39108</v>
      </c>
      <c r="F596" t="inlineStr">
        <is>
          <t>a tasty breakfast treat that is made the day before and thrown in the oven when you all start thinking of breakfast.</t>
        </is>
      </c>
      <c r="H596" t="n">
        <v>3300</v>
      </c>
      <c r="I596">
        <f>D596*60</f>
        <v/>
      </c>
      <c r="J596">
        <f>COUNTIF(Отзывы!$D:$D, 207748)</f>
        <v/>
      </c>
    </row>
    <row r="597">
      <c r="A597" t="n">
        <v>22680</v>
      </c>
      <c r="B597" t="inlineStr">
        <is>
          <t>roast kumara salad</t>
        </is>
      </c>
      <c r="C597" t="n">
        <v>474048</v>
      </c>
      <c r="D597" s="4" t="n">
        <v>50</v>
      </c>
      <c r="E597" s="1" t="n">
        <v>40953</v>
      </c>
      <c r="F597" t="inlineStr">
        <is>
          <t>love kumara and sweet potato and this sounds like a very flavoursome recipe from recipe+  as we are not fond of coriander i would use sweet basil.</t>
        </is>
      </c>
      <c r="G597" t="n">
        <v>7</v>
      </c>
      <c r="H597" t="n">
        <v>3000</v>
      </c>
      <c r="I597">
        <f>D597*60</f>
        <v/>
      </c>
      <c r="J597">
        <f>COUNTIF(Отзывы!$D:$D, 474048)</f>
        <v/>
      </c>
    </row>
    <row r="598">
      <c r="A598" t="n">
        <v>9786</v>
      </c>
      <c r="B598" t="inlineStr">
        <is>
          <t>easy  yet awesome  chicken empanadas</t>
        </is>
      </c>
      <c r="C598" t="n">
        <v>445956</v>
      </c>
      <c r="D598" s="4" t="n">
        <v>49</v>
      </c>
      <c r="E598" s="1" t="n">
        <v>40550</v>
      </c>
      <c r="F598" t="inlineStr">
        <is>
          <t>i came up with this recipe by mixing a few different ones that i have used. i think it's awesome and has great flavor. i like to put cholula hot sauce on mine and dip in sour cream. hope you like it!</t>
        </is>
      </c>
      <c r="G598" t="n">
        <v>17</v>
      </c>
      <c r="H598" t="n">
        <v>2940</v>
      </c>
      <c r="I598">
        <f>D598*60</f>
        <v/>
      </c>
      <c r="J598">
        <f>COUNTIF(Отзывы!$D:$D, 445956)</f>
        <v/>
      </c>
    </row>
    <row r="599">
      <c r="A599" t="n">
        <v>23231</v>
      </c>
      <c r="B599" t="inlineStr">
        <is>
          <t>salmon rollups with lime butter sauce</t>
        </is>
      </c>
      <c r="C599" t="n">
        <v>235991</v>
      </c>
      <c r="D599" s="4" t="n">
        <v>18</v>
      </c>
      <c r="E599" s="1" t="n">
        <v>39253</v>
      </c>
      <c r="F599" t="inlineStr">
        <is>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is>
      </c>
      <c r="G599" t="n">
        <v>10</v>
      </c>
      <c r="H599" t="n">
        <v>1080</v>
      </c>
      <c r="I599">
        <f>D599*60</f>
        <v/>
      </c>
      <c r="J599">
        <f>COUNTIF(Отзывы!$D:$D, 235991)</f>
        <v/>
      </c>
    </row>
    <row r="600">
      <c r="A600" t="n">
        <v>20691</v>
      </c>
      <c r="B600" t="inlineStr">
        <is>
          <t>pickled beets  for canning</t>
        </is>
      </c>
      <c r="C600" t="n">
        <v>177650</v>
      </c>
      <c r="D600" s="4" t="n">
        <v>60</v>
      </c>
      <c r="E600" s="1" t="n">
        <v>38912</v>
      </c>
      <c r="F600" t="inlineStr">
        <is>
          <t>a wonderful combination of sweet and sour, you won't be sorry if you try this recipe! this recipe can also be made using about 15-18 larger beets.</t>
        </is>
      </c>
      <c r="H600" t="n">
        <v>3600</v>
      </c>
      <c r="I600">
        <f>D600*60</f>
        <v/>
      </c>
      <c r="J600">
        <f>COUNTIF(Отзывы!$D:$D, 177650)</f>
        <v/>
      </c>
    </row>
    <row r="601">
      <c r="A601" t="n">
        <v>16571</v>
      </c>
      <c r="B601" t="inlineStr">
        <is>
          <t>low fat vegan cookie dough</t>
        </is>
      </c>
      <c r="C601" t="n">
        <v>346438</v>
      </c>
      <c r="D601" s="4" t="n">
        <v>20</v>
      </c>
      <c r="E601" s="1" t="n">
        <v>39814</v>
      </c>
      <c r="F601" t="inlineStr">
        <is>
          <t>i got this from http://www.fatfreevegan.com</t>
        </is>
      </c>
      <c r="H601" t="n">
        <v>1200</v>
      </c>
      <c r="I601">
        <f>D601*60</f>
        <v/>
      </c>
      <c r="J601">
        <f>COUNTIF(Отзывы!$D:$D, 346438)</f>
        <v/>
      </c>
    </row>
    <row r="602">
      <c r="A602" t="n">
        <v>28387</v>
      </c>
      <c r="B602" t="inlineStr">
        <is>
          <t>ultimate killer cookies</t>
        </is>
      </c>
      <c r="C602" t="n">
        <v>82797</v>
      </c>
      <c r="D602" s="4" t="n">
        <v>45</v>
      </c>
      <c r="E602" s="1" t="n">
        <v>38019</v>
      </c>
      <c r="F602" t="inlineStr">
        <is>
          <t>i found this recipe on the internet but i cannot remember where. i swear it is the absolute best cookies you will ever eat. they are sweet, chewy and you cannot eat just one. i promise if you try them, they will be a favorite.</t>
        </is>
      </c>
      <c r="H602" t="n">
        <v>2700</v>
      </c>
      <c r="I602">
        <f>D602*60</f>
        <v/>
      </c>
      <c r="J602">
        <f>COUNTIF(Отзывы!$D:$D, 82797)</f>
        <v/>
      </c>
    </row>
    <row r="603">
      <c r="A603" t="n">
        <v>1320</v>
      </c>
      <c r="B603" t="inlineStr">
        <is>
          <t>asparagus with raspberry vinaigrette</t>
        </is>
      </c>
      <c r="C603" t="n">
        <v>125341</v>
      </c>
      <c r="D603" s="4" t="n">
        <v>23</v>
      </c>
      <c r="E603" s="1" t="n">
        <v>38512</v>
      </c>
      <c r="F603" t="inlineStr">
        <is>
          <t>in the spring time, savor fresh asparagus with this dressing. this is low in fat too.</t>
        </is>
      </c>
      <c r="G603" t="n">
        <v>7</v>
      </c>
      <c r="H603" t="n">
        <v>1380</v>
      </c>
      <c r="I603">
        <f>D603*60</f>
        <v/>
      </c>
      <c r="J603">
        <f>COUNTIF(Отзывы!$D:$D, 125341)</f>
        <v/>
      </c>
    </row>
    <row r="604">
      <c r="A604" t="n">
        <v>23304</v>
      </c>
      <c r="B604" t="inlineStr">
        <is>
          <t>salvadorean rice</t>
        </is>
      </c>
      <c r="C604" t="n">
        <v>292770</v>
      </c>
      <c r="D604" s="4" t="n">
        <v>50</v>
      </c>
      <c r="E604" s="1" t="n">
        <v>39526</v>
      </c>
      <c r="F604" t="inlineStr">
        <is>
          <t>this rice dish is served alongside beans with every evening meal in el salvador.  i actually prefer it over spanish rice now as it has more veggies and more flavor!</t>
        </is>
      </c>
      <c r="H604" t="n">
        <v>3000</v>
      </c>
      <c r="I604">
        <f>D604*60</f>
        <v/>
      </c>
      <c r="J604">
        <f>COUNTIF(Отзывы!$D:$D, 292770)</f>
        <v/>
      </c>
    </row>
    <row r="605">
      <c r="A605" t="n">
        <v>13036</v>
      </c>
      <c r="B605" t="inlineStr">
        <is>
          <t>grilled swai</t>
        </is>
      </c>
      <c r="C605" t="n">
        <v>479696</v>
      </c>
      <c r="D605" s="4" t="n">
        <v>147</v>
      </c>
      <c r="E605" s="1" t="n">
        <v>41050</v>
      </c>
      <c r="F605" t="inlineStr">
        <is>
          <t>this recipe came from sparkrecipes, however i added butter. turned our very good. highly recommended!</t>
        </is>
      </c>
      <c r="H605" t="n">
        <v>8820</v>
      </c>
      <c r="I605">
        <f>D605*60</f>
        <v/>
      </c>
      <c r="J605">
        <f>COUNTIF(Отзывы!$D:$D, 479696)</f>
        <v/>
      </c>
    </row>
    <row r="606">
      <c r="A606" t="n">
        <v>18362</v>
      </c>
      <c r="B606" t="inlineStr">
        <is>
          <t>mustard basil baked chicken</t>
        </is>
      </c>
      <c r="C606" t="n">
        <v>282413</v>
      </c>
      <c r="D606" s="4" t="n">
        <v>45</v>
      </c>
      <c r="E606" s="1" t="n">
        <v>39476</v>
      </c>
      <c r="F606" t="inlineStr">
        <is>
          <t>a nice way to liven up chicken.  prep time does not include time to marinate.</t>
        </is>
      </c>
      <c r="H606" t="n">
        <v>2700</v>
      </c>
      <c r="I606">
        <f>D606*60</f>
        <v/>
      </c>
      <c r="J606">
        <f>COUNTIF(Отзывы!$D:$D, 282413)</f>
        <v/>
      </c>
    </row>
    <row r="607">
      <c r="A607" t="n">
        <v>25731</v>
      </c>
      <c r="B607" t="inlineStr">
        <is>
          <t>split pea soup with pancetta</t>
        </is>
      </c>
      <c r="C607" t="n">
        <v>290631</v>
      </c>
      <c r="D607" s="4" t="n">
        <v>60</v>
      </c>
      <c r="E607" s="1" t="n">
        <v>39514</v>
      </c>
      <c r="F607" t="inlineStr">
        <is>
          <t>pancetta is an italian bacon.  this also adds fresh spinach.  this recipe is from"turn up the heat" by garvin</t>
        </is>
      </c>
      <c r="H607" t="n">
        <v>3600</v>
      </c>
      <c r="I607">
        <f>D607*60</f>
        <v/>
      </c>
      <c r="J607">
        <f>COUNTIF(Отзывы!$D:$D, 290631)</f>
        <v/>
      </c>
    </row>
    <row r="608">
      <c r="A608" t="n">
        <v>21763</v>
      </c>
      <c r="B608" t="inlineStr">
        <is>
          <t>pumpkin spice cupcakes</t>
        </is>
      </c>
      <c r="C608" t="n">
        <v>393409</v>
      </c>
      <c r="D608" s="4" t="n">
        <v>41</v>
      </c>
      <c r="E608" s="1" t="n">
        <v>40092</v>
      </c>
      <c r="F608" t="inlineStr">
        <is>
          <t>i got this recipe from family circle magazine and they are delicious, i altered it slightly to make it lighter.  the frosting can be substituted with vanilla frosting too.</t>
        </is>
      </c>
      <c r="H608" t="n">
        <v>2460</v>
      </c>
      <c r="I608">
        <f>D608*60</f>
        <v/>
      </c>
      <c r="J608">
        <f>COUNTIF(Отзывы!$D:$D, 393409)</f>
        <v/>
      </c>
    </row>
    <row r="609">
      <c r="A609" t="n">
        <v>12922</v>
      </c>
      <c r="B609" t="inlineStr">
        <is>
          <t>grilled lemon herb shrimp</t>
        </is>
      </c>
      <c r="C609" t="n">
        <v>232556</v>
      </c>
      <c r="D609" s="6" t="n">
        <v>10</v>
      </c>
      <c r="E609" s="1" t="n">
        <v>39238</v>
      </c>
      <c r="F609" t="inlineStr">
        <is>
          <t>a fresh and delicious addition to your summer grilling menu. got the recipe from a former co-worker; thanks kevin! (does not include marinating time.)</t>
        </is>
      </c>
      <c r="G609" t="n">
        <v>8</v>
      </c>
      <c r="H609" t="n">
        <v>600</v>
      </c>
      <c r="I609">
        <f>D609*60</f>
        <v/>
      </c>
      <c r="J609">
        <f>COUNTIF(Отзывы!$D:$D, 232556)</f>
        <v/>
      </c>
    </row>
    <row r="610">
      <c r="A610" t="n">
        <v>1155</v>
      </c>
      <c r="B610" t="inlineStr">
        <is>
          <t>artichoke and ripe olive tuna salad</t>
        </is>
      </c>
      <c r="C610" t="n">
        <v>376844</v>
      </c>
      <c r="D610" s="4" t="n">
        <v>15</v>
      </c>
      <c r="E610" s="1" t="n">
        <v>39975</v>
      </c>
      <c r="F610" t="inlineStr">
        <is>
          <t>an unusual and rich flavor combination! serve this salad with sliced tomato on a bed of lettuce or on french bread. adapted from delish on msn.</t>
        </is>
      </c>
      <c r="H610" t="n">
        <v>900</v>
      </c>
      <c r="I610">
        <f>D610*60</f>
        <v/>
      </c>
      <c r="J610">
        <f>COUNTIF(Отзывы!$D:$D, 376844)</f>
        <v/>
      </c>
    </row>
    <row r="611">
      <c r="A611" t="n">
        <v>21068</v>
      </c>
      <c r="B611" t="inlineStr">
        <is>
          <t>polish reuben casserole</t>
        </is>
      </c>
      <c r="C611" t="n">
        <v>20277</v>
      </c>
      <c r="D611" s="4" t="n">
        <v>70</v>
      </c>
      <c r="E611" s="1" t="n">
        <v>37308</v>
      </c>
      <c r="F611" t="inlineStr">
        <is>
          <t>if you like reuben sandwiches, you will love this casserole. got it out of one of those small cookbooks you see in line at the grocery store, a few years ago.</t>
        </is>
      </c>
      <c r="G611" t="n">
        <v>10</v>
      </c>
      <c r="H611" t="n">
        <v>4200</v>
      </c>
      <c r="I611">
        <f>D611*60</f>
        <v/>
      </c>
      <c r="J611">
        <f>COUNTIF(Отзывы!$D:$D, 20277)</f>
        <v/>
      </c>
    </row>
    <row r="612">
      <c r="A612" t="n">
        <v>8944</v>
      </c>
      <c r="B612" t="inlineStr">
        <is>
          <t>cunetto s spaghetti con broccoli  actual recipe</t>
        </is>
      </c>
      <c r="C612" t="n">
        <v>353741</v>
      </c>
      <c r="D612" s="4" t="n">
        <v>30</v>
      </c>
      <c r="E612" s="1" t="n">
        <v>39847</v>
      </c>
      <c r="F612" t="inlineStr">
        <is>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is>
      </c>
      <c r="G612" t="n">
        <v>10</v>
      </c>
      <c r="H612" t="n">
        <v>1800</v>
      </c>
      <c r="I612">
        <f>D612*60</f>
        <v/>
      </c>
      <c r="J612">
        <f>COUNTIF(Отзывы!$D:$D, 353741)</f>
        <v/>
      </c>
    </row>
    <row r="613" ht="135" customHeight="1">
      <c r="A613" t="n">
        <v>8045</v>
      </c>
      <c r="B613" t="inlineStr">
        <is>
          <t>cream cheese banana cranberry bread</t>
        </is>
      </c>
      <c r="C613" t="n">
        <v>334652</v>
      </c>
      <c r="D613" s="4" t="n">
        <v>105</v>
      </c>
      <c r="E613" s="1" t="n">
        <v>39755</v>
      </c>
      <c r="F613" s="2" t="inlineStr">
        <is>
          <t>from group recipes.com_x000D_
altered a little to make it a little healthier</t>
        </is>
      </c>
      <c r="G613" t="n">
        <v>12</v>
      </c>
      <c r="H613" t="n">
        <v>6300</v>
      </c>
      <c r="I613">
        <f>D613*60</f>
        <v/>
      </c>
      <c r="J613">
        <f>COUNTIF(Отзывы!$D:$D, 334652)</f>
        <v/>
      </c>
    </row>
    <row r="614">
      <c r="A614" t="n">
        <v>14782</v>
      </c>
      <c r="B614" t="inlineStr">
        <is>
          <t>italian style vegetable soup</t>
        </is>
      </c>
      <c r="C614" t="n">
        <v>7076</v>
      </c>
      <c r="D614" s="4" t="n">
        <v>75</v>
      </c>
      <c r="E614" s="1" t="n">
        <v>36591</v>
      </c>
      <c r="F614" t="inlineStr">
        <is>
          <t>there are as many versions of vegetable soup in italy as there there are cooks.  pancetta - pancetta is the same cut of pork as bacon.  it is cured with salt and is not smoked.  it comes rolled up like a large salami.  widely used in italian cooking, especially in emilia-romagna, it is vital to many dishes.  if available, buy a large quantity.  cut into several pieces and freeze it.  you can substitute domestic bacon for pancetta.  it must be blanched in boiling water for two three minutes to reduce the smoky flavour.  fresh side pork can also be used.</t>
        </is>
      </c>
      <c r="H614" t="n">
        <v>4500</v>
      </c>
      <c r="I614">
        <f>D614*60</f>
        <v/>
      </c>
      <c r="J614">
        <f>COUNTIF(Отзывы!$D:$D, 7076)</f>
        <v/>
      </c>
    </row>
    <row r="615">
      <c r="A615" t="n">
        <v>15258</v>
      </c>
      <c r="B615" t="inlineStr">
        <is>
          <t>keftaides me saltsa  meatballs in sauce</t>
        </is>
      </c>
      <c r="C615" t="n">
        <v>207236</v>
      </c>
      <c r="D615" s="4" t="n">
        <v>30</v>
      </c>
      <c r="E615" s="1" t="n">
        <v>39105</v>
      </c>
      <c r="F615" t="inlineStr">
        <is>
          <t>i came across this recipe in the most serendipitous manner...on my way to work going 50mph i saw some trash blowing across the road...it got stuck to my car and i could hear it fluttering all the way to work. when i got out of my car i found a piece of newspaper stuck to my front grill. i took it off and what was it? a torn out page from a week old newspaper that has 4 yummy sounding recipes! wow. i feel obligated to post them now.</t>
        </is>
      </c>
      <c r="G615" t="n">
        <v>13</v>
      </c>
      <c r="H615" t="n">
        <v>1800</v>
      </c>
      <c r="I615">
        <f>D615*60</f>
        <v/>
      </c>
      <c r="J615">
        <f>COUNTIF(Отзывы!$D:$D, 207236)</f>
        <v/>
      </c>
    </row>
    <row r="616">
      <c r="A616" t="n">
        <v>9450</v>
      </c>
      <c r="B616" t="inlineStr">
        <is>
          <t>dijon pork chops with red wine vinegar and herbs</t>
        </is>
      </c>
      <c r="C616" t="n">
        <v>142655</v>
      </c>
      <c r="D616" s="4" t="n">
        <v>30</v>
      </c>
      <c r="E616" s="1" t="n">
        <v>38650</v>
      </c>
      <c r="F616" t="inlineStr">
        <is>
          <t>for the broiler from a food emporium recipe card. these can also be grilled.</t>
        </is>
      </c>
      <c r="G616" t="n">
        <v>7</v>
      </c>
      <c r="H616" t="n">
        <v>1800</v>
      </c>
      <c r="I616">
        <f>D616*60</f>
        <v/>
      </c>
      <c r="J616">
        <f>COUNTIF(Отзывы!$D:$D, 142655)</f>
        <v/>
      </c>
    </row>
    <row r="617">
      <c r="A617" t="n">
        <v>12159</v>
      </c>
      <c r="B617" t="inlineStr">
        <is>
          <t>gluten free chocolate no bake cookies</t>
        </is>
      </c>
      <c r="C617" t="n">
        <v>321889</v>
      </c>
      <c r="D617" s="4" t="n">
        <v>15</v>
      </c>
      <c r="E617" s="1" t="n">
        <v>39688</v>
      </c>
      <c r="F617" t="inlineStr">
        <is>
          <t>gluten-free version of a childhood favorite.  if you can get gluten-free oats go ahead and use them instead of the quinoa flakes if you prefer.  i am just guessing at the servings, you can make the cookies as large or small as you like, the number you get depends on the size you make.</t>
        </is>
      </c>
      <c r="G617" t="n">
        <v>7</v>
      </c>
      <c r="H617" t="n">
        <v>900</v>
      </c>
      <c r="I617">
        <f>D617*60</f>
        <v/>
      </c>
      <c r="J617">
        <f>COUNTIF(Отзывы!$D:$D, 321889)</f>
        <v/>
      </c>
    </row>
    <row r="618">
      <c r="A618" t="n">
        <v>7123</v>
      </c>
      <c r="B618" t="inlineStr">
        <is>
          <t>citrus salad dressing by dr andrew weil</t>
        </is>
      </c>
      <c r="C618" t="n">
        <v>217117</v>
      </c>
      <c r="D618" s="5" t="n">
        <v>3</v>
      </c>
      <c r="E618" s="1" t="n">
        <v>39157</v>
      </c>
      <c r="F618" t="inlineStr">
        <is>
          <t>from his website. he writes, "this tart, sweet salad dressing is wonderful on dark, leafy salad greens like romaine or leaf lettuce tossed with orange segments, black olives and red onion slivers."</t>
        </is>
      </c>
      <c r="H618" t="n">
        <v>180</v>
      </c>
      <c r="I618">
        <f>D618*60</f>
        <v/>
      </c>
      <c r="J618">
        <f>COUNTIF(Отзывы!$D:$D, 217117)</f>
        <v/>
      </c>
    </row>
    <row r="619">
      <c r="A619" t="n">
        <v>27824</v>
      </c>
      <c r="B619" t="inlineStr">
        <is>
          <t>tomato  basil  and cheese baked pasta rachael ray</t>
        </is>
      </c>
      <c r="C619" t="n">
        <v>218872</v>
      </c>
      <c r="D619" s="4" t="n">
        <v>30</v>
      </c>
      <c r="E619" s="1" t="n">
        <v>39167</v>
      </c>
      <c r="F619" t="inlineStr">
        <is>
          <t>this is a great family meal</t>
        </is>
      </c>
      <c r="H619" t="n">
        <v>1800</v>
      </c>
      <c r="I619">
        <f>D619*60</f>
        <v/>
      </c>
      <c r="J619">
        <f>COUNTIF(Отзывы!$D:$D, 218872)</f>
        <v/>
      </c>
    </row>
    <row r="620">
      <c r="A620" t="n">
        <v>25393</v>
      </c>
      <c r="B620" t="inlineStr">
        <is>
          <t>spicy grilled caribbean tuna</t>
        </is>
      </c>
      <c r="C620" t="n">
        <v>229647</v>
      </c>
      <c r="D620" s="4" t="n">
        <v>15</v>
      </c>
      <c r="E620" s="1" t="n">
        <v>39225</v>
      </c>
      <c r="F620" t="inlineStr">
        <is>
          <t>a quick weeknight grill recipe with a taste of the islands.</t>
        </is>
      </c>
      <c r="G620" t="n">
        <v>8</v>
      </c>
      <c r="H620" t="n">
        <v>900</v>
      </c>
      <c r="I620">
        <f>D620*60</f>
        <v/>
      </c>
      <c r="J620">
        <f>COUNTIF(Отзывы!$D:$D, 229647)</f>
        <v/>
      </c>
    </row>
    <row r="621">
      <c r="A621" t="n">
        <v>27288</v>
      </c>
      <c r="B621" t="inlineStr">
        <is>
          <t>thai sweet and sour pork</t>
        </is>
      </c>
      <c r="C621" t="n">
        <v>227454</v>
      </c>
      <c r="D621" s="4" t="n">
        <v>22</v>
      </c>
      <c r="E621" s="1" t="n">
        <v>39213</v>
      </c>
      <c r="F621" t="inlineStr">
        <is>
          <t>this is very different from the usual chinese dish. there is not too much sugar and no vinegar, having said that it is still a very good, colourful and simple to cook dish.</t>
        </is>
      </c>
      <c r="G621" t="n">
        <v>13</v>
      </c>
      <c r="H621" t="n">
        <v>1320</v>
      </c>
      <c r="I621">
        <f>D621*60</f>
        <v/>
      </c>
      <c r="J621">
        <f>COUNTIF(Отзывы!$D:$D, 227454)</f>
        <v/>
      </c>
    </row>
    <row r="622">
      <c r="A622" t="n">
        <v>22006</v>
      </c>
      <c r="B622" t="inlineStr">
        <is>
          <t>quick  tasty tuna wraps</t>
        </is>
      </c>
      <c r="C622" t="n">
        <v>302932</v>
      </c>
      <c r="D622" s="6" t="n">
        <v>10</v>
      </c>
      <c r="E622" s="1" t="n">
        <v>39577</v>
      </c>
      <c r="F622" t="inlineStr">
        <is>
          <t>i created this when i didn't have alot of money to spend on food. i think it's delicious, and so quick and easy! made with things that most people already have on hand. makes a great snack or quick lunch. my fiance that doesn't like tuna even likes this!</t>
        </is>
      </c>
      <c r="G622" t="n">
        <v>6</v>
      </c>
      <c r="H622" t="n">
        <v>600</v>
      </c>
      <c r="I622">
        <f>D622*60</f>
        <v/>
      </c>
      <c r="J622">
        <f>COUNTIF(Отзывы!$D:$D, 302932)</f>
        <v/>
      </c>
    </row>
    <row r="623">
      <c r="A623" t="n">
        <v>6748</v>
      </c>
      <c r="B623" t="inlineStr">
        <is>
          <t>chocolate royal icing</t>
        </is>
      </c>
      <c r="C623" t="n">
        <v>80177</v>
      </c>
      <c r="D623" s="6" t="n">
        <v>10</v>
      </c>
      <c r="E623" s="1" t="n">
        <v>37991</v>
      </c>
      <c r="F623" t="inlineStr">
        <is>
          <t>i tried to make brown royal icing to decorate bear shaped cookies. but even with good quality food color paste, i couldn't get it dark enough. this was the answer.</t>
        </is>
      </c>
      <c r="H623" t="n">
        <v>600</v>
      </c>
      <c r="I623">
        <f>D623*60</f>
        <v/>
      </c>
      <c r="J623">
        <f>COUNTIF(Отзывы!$D:$D, 80177)</f>
        <v/>
      </c>
    </row>
    <row r="624">
      <c r="A624" t="n">
        <v>2705</v>
      </c>
      <c r="B624" t="inlineStr">
        <is>
          <t>beef venison jerky</t>
        </is>
      </c>
      <c r="C624" t="n">
        <v>138017</v>
      </c>
      <c r="D624" s="4" t="n">
        <v>435</v>
      </c>
      <c r="E624" s="1" t="n">
        <v>38615</v>
      </c>
      <c r="F624" t="inlineStr">
        <is>
          <t>i finally wrote down the exact amounts i used to get some great tasting jerky!  the cayenne pepper is optional as it does spice it up a bit.  the kids love it and its better than feeding them twinkees.</t>
        </is>
      </c>
      <c r="G624" t="n">
        <v>9</v>
      </c>
      <c r="H624" t="n">
        <v>26100</v>
      </c>
      <c r="I624">
        <f>D624*60</f>
        <v/>
      </c>
      <c r="J624">
        <f>COUNTIF(Отзывы!$D:$D, 138017)</f>
        <v/>
      </c>
    </row>
    <row r="625">
      <c r="A625" t="n">
        <v>22344</v>
      </c>
      <c r="B625" t="inlineStr">
        <is>
          <t>red pepper chimichurri</t>
        </is>
      </c>
      <c r="C625" t="n">
        <v>456745</v>
      </c>
      <c r="D625" s="4" t="n">
        <v>130</v>
      </c>
      <c r="E625" s="1" t="n">
        <v>40683</v>
      </c>
      <c r="F625" t="inlineStr">
        <is>
          <t>a chimichurri recipe that is a bit different form the usual green sauce.  put this on anything needing a bit of oomph- grilled meats, vegetables, sandwiches, scrambled eggs, really just about anything.  cooking time is time in the fridge, letting the flavors blend.</t>
        </is>
      </c>
      <c r="G625" t="n">
        <v>13</v>
      </c>
      <c r="H625" t="n">
        <v>7800</v>
      </c>
      <c r="I625">
        <f>D625*60</f>
        <v/>
      </c>
      <c r="J625">
        <f>COUNTIF(Отзывы!$D:$D, 456745)</f>
        <v/>
      </c>
    </row>
    <row r="626">
      <c r="A626" t="n">
        <v>26924</v>
      </c>
      <c r="B626" t="inlineStr">
        <is>
          <t>taco stuffed twice baked potatoes</t>
        </is>
      </c>
      <c r="C626" t="n">
        <v>244047</v>
      </c>
      <c r="D626" s="4" t="n">
        <v>150</v>
      </c>
      <c r="E626" s="1" t="n">
        <v>39296</v>
      </c>
      <c r="F626" t="inlineStr">
        <is>
          <t>can't make up your mind between tacos or baked potatoes? well, look no further--here's your answer.  cooling time between both baking times is included.  for the taco seasoning, i used recipe #199955.  if desired serve with a salad.  submitted to "zaar" on august 2nd, 2007</t>
        </is>
      </c>
      <c r="G626" t="n">
        <v>9</v>
      </c>
      <c r="H626" t="n">
        <v>9000</v>
      </c>
      <c r="I626">
        <f>D626*60</f>
        <v/>
      </c>
      <c r="J626">
        <f>COUNTIF(Отзывы!$D:$D, 244047)</f>
        <v/>
      </c>
    </row>
    <row r="627">
      <c r="A627" t="n">
        <v>12689</v>
      </c>
      <c r="B627" t="inlineStr">
        <is>
          <t>green beans with pepitas  raw pumpkin seeds</t>
        </is>
      </c>
      <c r="C627" t="n">
        <v>403664</v>
      </c>
      <c r="D627" s="4" t="n">
        <v>25</v>
      </c>
      <c r="E627" s="1" t="n">
        <v>40161</v>
      </c>
      <c r="F627" t="inlineStr">
        <is>
          <t>we enjoyed this super easy side dish as part of a turkey dinner. i bought the pepitas at whole foods. recipe source: bon appetit (december 2009)</t>
        </is>
      </c>
      <c r="G627" t="n">
        <v>6</v>
      </c>
      <c r="H627" t="n">
        <v>1500</v>
      </c>
      <c r="I627">
        <f>D627*60</f>
        <v/>
      </c>
      <c r="J627">
        <f>COUNTIF(Отзывы!$D:$D, 403664)</f>
        <v/>
      </c>
    </row>
    <row r="628">
      <c r="A628" t="n">
        <v>18124</v>
      </c>
      <c r="B628" t="inlineStr">
        <is>
          <t>moroccan flatbread pizzas  can be ww</t>
        </is>
      </c>
      <c r="C628" t="n">
        <v>389902</v>
      </c>
      <c r="D628" s="4" t="n">
        <v>25</v>
      </c>
      <c r="E628" s="1" t="n">
        <v>40070</v>
      </c>
      <c r="F628" t="inlineStr">
        <is>
          <t>this gorgeous recipe has bright, fresh flavours and looks fantastic. it is also weight watchers friendly- the version i made was 11 points per serving, using the leanest ground beef and low fat yoghurt. the last ingredient should read "4 garlic and coriander mini naan breads" but recipezaar could not recognise it- these naan breads are about the size of a hand and should be garlic and coriander flavour as plain ones just don't give the same flavour!</t>
        </is>
      </c>
      <c r="G628" t="n">
        <v>9</v>
      </c>
      <c r="H628" t="n">
        <v>1500</v>
      </c>
      <c r="I628">
        <f>D628*60</f>
        <v/>
      </c>
      <c r="J628">
        <f>COUNTIF(Отзывы!$D:$D, 389902)</f>
        <v/>
      </c>
    </row>
    <row r="629">
      <c r="A629" t="n">
        <v>3575</v>
      </c>
      <c r="B629" t="inlineStr">
        <is>
          <t>bow ties with sausage and peppers</t>
        </is>
      </c>
      <c r="C629" t="n">
        <v>290209</v>
      </c>
      <c r="D629" s="4" t="n">
        <v>25</v>
      </c>
      <c r="E629" s="1" t="n">
        <v>39512</v>
      </c>
      <c r="F629" t="inlineStr">
        <is>
          <t>pasta and spicy italian sausage... can life get any better then this? yes, but only if you end this meal with a rich chocolate dessert! we like things a bit spicy at our house, but if you prefer something a bit milder, you can always use mild or sweet italian sausage as i'm sure the dish will turn out just as good.</t>
        </is>
      </c>
      <c r="G629" t="n">
        <v>5</v>
      </c>
      <c r="H629" t="n">
        <v>1500</v>
      </c>
      <c r="I629">
        <f>D629*60</f>
        <v/>
      </c>
      <c r="J629">
        <f>COUNTIF(Отзывы!$D:$D, 290209)</f>
        <v/>
      </c>
    </row>
    <row r="630">
      <c r="A630" t="n">
        <v>26623</v>
      </c>
      <c r="B630" t="inlineStr">
        <is>
          <t>sweet and spicy chicken wings</t>
        </is>
      </c>
      <c r="C630" t="n">
        <v>301648</v>
      </c>
      <c r="D630" s="4" t="n">
        <v>190</v>
      </c>
      <c r="E630" s="1" t="n">
        <v>39569</v>
      </c>
      <c r="F630" t="inlineStr">
        <is>
          <t>my boys love chicken wings so i'm always challenged to find new ways of making them. i took my original recipe and made it spicier. these don't last long.... and are always requested by friends and family gatherings. the wings are cooked low and slow and the sauce gives them a kicked up flavor. if you like chicken that falls off the bones, give this one a try.... they won't dissappoint. ;)</t>
        </is>
      </c>
      <c r="G630" t="n">
        <v>8</v>
      </c>
      <c r="H630" t="n">
        <v>11400</v>
      </c>
      <c r="I630">
        <f>D630*60</f>
        <v/>
      </c>
      <c r="J630">
        <f>COUNTIF(Отзывы!$D:$D, 301648)</f>
        <v/>
      </c>
    </row>
    <row r="631">
      <c r="A631" t="n">
        <v>3367</v>
      </c>
      <c r="B631" t="inlineStr">
        <is>
          <t>blueberry butter</t>
        </is>
      </c>
      <c r="C631" t="n">
        <v>86136</v>
      </c>
      <c r="D631" s="4" t="n">
        <v>30</v>
      </c>
      <c r="E631" s="1" t="n">
        <v>38054</v>
      </c>
      <c r="F631" t="inlineStr">
        <is>
          <t>this recipe came from a booklet my aunt received at a blueberry festival. this is very good served on toast or even pound cake.</t>
        </is>
      </c>
      <c r="H631" t="n">
        <v>1800</v>
      </c>
      <c r="I631">
        <f>D631*60</f>
        <v/>
      </c>
      <c r="J631">
        <f>COUNTIF(Отзывы!$D:$D, 86136)</f>
        <v/>
      </c>
    </row>
    <row r="632">
      <c r="A632" t="n">
        <v>12964</v>
      </c>
      <c r="B632" t="inlineStr">
        <is>
          <t>grilled porcini mushroom burgers with tomato relish</t>
        </is>
      </c>
      <c r="C632" t="n">
        <v>91240</v>
      </c>
      <c r="D632" s="4" t="n">
        <v>44</v>
      </c>
      <c r="E632" s="1" t="n">
        <v>38121</v>
      </c>
      <c r="F632" t="inlineStr">
        <is>
          <t>wow, what a great way to grill on a nice afternoon! this takes burgers to a new level! from bhg.</t>
        </is>
      </c>
      <c r="H632" t="n">
        <v>2640</v>
      </c>
      <c r="I632">
        <f>D632*60</f>
        <v/>
      </c>
      <c r="J632">
        <f>COUNTIF(Отзывы!$D:$D, 91240)</f>
        <v/>
      </c>
    </row>
    <row r="633">
      <c r="A633" t="n">
        <v>15205</v>
      </c>
      <c r="B633" t="inlineStr">
        <is>
          <t>karen s cinnamon rolls   sin  amon rolls</t>
        </is>
      </c>
      <c r="C633" t="n">
        <v>173691</v>
      </c>
      <c r="D633" s="4" t="n">
        <v>140</v>
      </c>
      <c r="E633" s="1" t="n">
        <v>38887</v>
      </c>
      <c r="F633" t="inlineStr">
        <is>
          <t>oooey gooey sinfully good cinnamon rolls! i get asked to make these and asked for the recipe all the time!!! they are fabulous! i hope you enjoy! i usually bake with butter in most dessert recipes but this recipe margarine makes all the difference. cooking times includes time for rising.</t>
        </is>
      </c>
      <c r="G633" t="n">
        <v>13</v>
      </c>
      <c r="H633" t="n">
        <v>8400</v>
      </c>
      <c r="I633">
        <f>D633*60</f>
        <v/>
      </c>
      <c r="J633">
        <f>COUNTIF(Отзывы!$D:$D, 173691)</f>
        <v/>
      </c>
    </row>
    <row r="634">
      <c r="A634" t="n">
        <v>29607</v>
      </c>
      <c r="B634" t="inlineStr">
        <is>
          <t>ww potatoes with onions</t>
        </is>
      </c>
      <c r="C634" t="n">
        <v>225529</v>
      </c>
      <c r="D634" s="4" t="n">
        <v>75</v>
      </c>
      <c r="E634" s="1" t="n">
        <v>39202</v>
      </c>
      <c r="F634" t="inlineStr">
        <is>
          <t>this is so good!! it is out of a ww cookbook called "simple &amp; classic homecooking". has only 1 point per serving. yukon gold potatoes give this dish a wonderful buttery flavor. sprinkle 1/4 cup shredded reduced-fat sharp cheddar cheese over the potaotes for a delicious cheesy flavor option. hope you enjoy! edit 5/24/07 this worked great on the grill. place all the ingredients on heavy duty foil, seal and cooked about 30 minutes.</t>
        </is>
      </c>
      <c r="G634" t="n">
        <v>7</v>
      </c>
      <c r="H634" t="n">
        <v>4500</v>
      </c>
      <c r="I634">
        <f>D634*60</f>
        <v/>
      </c>
      <c r="J634">
        <f>COUNTIF(Отзывы!$D:$D, 225529)</f>
        <v/>
      </c>
    </row>
    <row r="635">
      <c r="A635" t="n">
        <v>13921</v>
      </c>
      <c r="B635" t="inlineStr">
        <is>
          <t>homemade vanilla wafer cookies</t>
        </is>
      </c>
      <c r="C635" t="n">
        <v>33205</v>
      </c>
      <c r="D635" s="4" t="n">
        <v>30</v>
      </c>
      <c r="E635" s="1" t="n">
        <v>37441</v>
      </c>
      <c r="F635" t="inlineStr">
        <is>
          <t>another recipe from my ma's collection 8)</t>
        </is>
      </c>
      <c r="G635" t="n">
        <v>8</v>
      </c>
      <c r="H635" t="n">
        <v>1800</v>
      </c>
      <c r="I635">
        <f>D635*60</f>
        <v/>
      </c>
      <c r="J635">
        <f>COUNTIF(Отзывы!$D:$D, 33205)</f>
        <v/>
      </c>
    </row>
    <row r="636">
      <c r="A636" t="n">
        <v>17739</v>
      </c>
      <c r="B636" t="inlineStr">
        <is>
          <t>mini marbled cheesecakes</t>
        </is>
      </c>
      <c r="C636" t="n">
        <v>11423</v>
      </c>
      <c r="D636" s="4" t="n">
        <v>40</v>
      </c>
      <c r="E636" s="1" t="n">
        <v>37139</v>
      </c>
      <c r="G636" t="n">
        <v>7</v>
      </c>
      <c r="H636" t="n">
        <v>2400</v>
      </c>
      <c r="I636">
        <f>D636*60</f>
        <v/>
      </c>
      <c r="J636">
        <f>COUNTIF(Отзывы!$D:$D, 11423)</f>
        <v/>
      </c>
    </row>
    <row r="637">
      <c r="A637" t="n">
        <v>12757</v>
      </c>
      <c r="B637" t="inlineStr">
        <is>
          <t>green string bean soup</t>
        </is>
      </c>
      <c r="C637" t="n">
        <v>107387</v>
      </c>
      <c r="D637" s="4" t="n">
        <v>75</v>
      </c>
      <c r="E637" s="1" t="n">
        <v>38352</v>
      </c>
      <c r="F637" t="inlineStr">
        <is>
          <t>just something different and totally old fashioned. my german grandmother used to make this...i'm 67 so, you can guess just how old this recipe is...</t>
        </is>
      </c>
      <c r="G637" t="n">
        <v>9</v>
      </c>
      <c r="H637" t="n">
        <v>4500</v>
      </c>
      <c r="I637">
        <f>D637*60</f>
        <v/>
      </c>
      <c r="J637">
        <f>COUNTIF(Отзывы!$D:$D, 107387)</f>
        <v/>
      </c>
    </row>
    <row r="638" ht="390" customHeight="1">
      <c r="A638" t="n">
        <v>22983</v>
      </c>
      <c r="B638" t="inlineStr">
        <is>
          <t>rosemary potato wedges with pearl onions</t>
        </is>
      </c>
      <c r="C638" t="n">
        <v>143203</v>
      </c>
      <c r="D638" s="4" t="n">
        <v>40</v>
      </c>
      <c r="E638" s="1" t="n">
        <v>38655</v>
      </c>
      <c r="F638" s="2" t="inlineStr">
        <is>
          <t>wonderin’ what to serve with all that meat?_x000D_
find yourself in culinary dire straights?_x000D_
try my taters and your meal will be complete…_x000D_
flavors that cohabitate like soul-mates!</t>
        </is>
      </c>
      <c r="G638" t="n">
        <v>8</v>
      </c>
      <c r="H638" t="n">
        <v>2400</v>
      </c>
      <c r="I638">
        <f>D638*60</f>
        <v/>
      </c>
      <c r="J638">
        <f>COUNTIF(Отзывы!$D:$D, 143203)</f>
        <v/>
      </c>
    </row>
    <row r="639">
      <c r="A639" t="n">
        <v>24735</v>
      </c>
      <c r="B639" t="inlineStr">
        <is>
          <t>soft buttered pretzels</t>
        </is>
      </c>
      <c r="C639" t="n">
        <v>346423</v>
      </c>
      <c r="D639" s="4" t="n">
        <v>110</v>
      </c>
      <c r="E639" s="1" t="n">
        <v>39813</v>
      </c>
      <c r="F639" t="inlineStr">
        <is>
          <t>this recipe was featured in an email from the www.crisco.com website.</t>
        </is>
      </c>
      <c r="H639" t="n">
        <v>6600</v>
      </c>
      <c r="I639">
        <f>D639*60</f>
        <v/>
      </c>
      <c r="J639">
        <f>COUNTIF(Отзывы!$D:$D, 346423)</f>
        <v/>
      </c>
    </row>
    <row r="640">
      <c r="A640" t="n">
        <v>10204</v>
      </c>
      <c r="B640" t="inlineStr">
        <is>
          <t>easy sauteed pineapple</t>
        </is>
      </c>
      <c r="C640" t="n">
        <v>301909</v>
      </c>
      <c r="D640" s="6" t="n">
        <v>5</v>
      </c>
      <c r="E640" s="1" t="n">
        <v>39570</v>
      </c>
      <c r="F640" t="inlineStr">
        <is>
          <t>this is so quick, easy, and delicious.  it is good alone, or over vanilla ice cream, or over poundcake.</t>
        </is>
      </c>
      <c r="G640" t="n">
        <v>3</v>
      </c>
      <c r="H640" t="n">
        <v>300</v>
      </c>
      <c r="I640">
        <f>D640*60</f>
        <v/>
      </c>
      <c r="J640">
        <f>COUNTIF(Отзывы!$D:$D, 301909)</f>
        <v/>
      </c>
    </row>
    <row r="641">
      <c r="A641" t="n">
        <v>19605</v>
      </c>
      <c r="B641" t="inlineStr">
        <is>
          <t>oven roasted santa maria tri tip</t>
        </is>
      </c>
      <c r="C641" t="n">
        <v>452505</v>
      </c>
      <c r="D641" s="4" t="n">
        <v>70</v>
      </c>
      <c r="E641" s="1" t="n">
        <v>40631</v>
      </c>
      <c r="F641" t="inlineStr">
        <is>
          <t>i made thia yesterday, and my wife liked it a lot.  we served the beef alongside jenny midget's low salt savoury rice recipe #421705, adn it was wonderful!</t>
        </is>
      </c>
      <c r="G641" t="n">
        <v>13</v>
      </c>
      <c r="H641" t="n">
        <v>4200</v>
      </c>
      <c r="I641">
        <f>D641*60</f>
        <v/>
      </c>
      <c r="J641">
        <f>COUNTIF(Отзывы!$D:$D, 452505)</f>
        <v/>
      </c>
    </row>
    <row r="642">
      <c r="A642" t="n">
        <v>11917</v>
      </c>
      <c r="B642" t="inlineStr">
        <is>
          <t>german kinder mandarinen bowle  kiddie punch</t>
        </is>
      </c>
      <c r="C642" t="n">
        <v>35811</v>
      </c>
      <c r="D642" s="4" t="n">
        <v>15</v>
      </c>
      <c r="E642" s="1" t="n">
        <v>37467</v>
      </c>
      <c r="F642" t="inlineStr">
        <is>
          <t>bowle is a popular summertime punch served in germany. this kid friendly version is alcohol free. use the straws as picks to stab at the pieces of fruit.</t>
        </is>
      </c>
      <c r="H642" t="n">
        <v>900</v>
      </c>
      <c r="I642">
        <f>D642*60</f>
        <v/>
      </c>
      <c r="J642">
        <f>COUNTIF(Отзывы!$D:$D, 35811)</f>
        <v/>
      </c>
    </row>
    <row r="643">
      <c r="A643" t="n">
        <v>11369</v>
      </c>
      <c r="B643" t="inlineStr">
        <is>
          <t>fresh fruit with dipping sauce</t>
        </is>
      </c>
      <c r="C643" t="n">
        <v>221568</v>
      </c>
      <c r="D643" s="6" t="n">
        <v>10</v>
      </c>
      <c r="E643" s="1" t="n">
        <v>39181</v>
      </c>
      <c r="F643" t="inlineStr">
        <is>
          <t>from party line with the hearty boys. this is an easy recipe which would be great to take on a picnic.</t>
        </is>
      </c>
      <c r="G643" t="n">
        <v>5</v>
      </c>
      <c r="H643" t="n">
        <v>600</v>
      </c>
      <c r="I643">
        <f>D643*60</f>
        <v/>
      </c>
      <c r="J643">
        <f>COUNTIF(Отзывы!$D:$D, 221568)</f>
        <v/>
      </c>
    </row>
    <row r="644">
      <c r="A644" t="n">
        <v>1100</v>
      </c>
      <c r="B644" t="inlineStr">
        <is>
          <t>arborio rice pudding</t>
        </is>
      </c>
      <c r="C644" t="n">
        <v>279797</v>
      </c>
      <c r="D644" s="4" t="n">
        <v>25</v>
      </c>
      <c r="E644" s="1" t="n">
        <v>39465</v>
      </c>
      <c r="F644" t="inlineStr">
        <is>
          <t>creamy rice pudding made with arborio rice</t>
        </is>
      </c>
      <c r="H644" t="n">
        <v>1500</v>
      </c>
      <c r="I644">
        <f>D644*60</f>
        <v/>
      </c>
      <c r="J644">
        <f>COUNTIF(Отзывы!$D:$D, 279797)</f>
        <v/>
      </c>
    </row>
    <row r="645">
      <c r="A645" t="n">
        <v>15994</v>
      </c>
      <c r="B645" t="inlineStr">
        <is>
          <t>lemon garlic baked brie</t>
        </is>
      </c>
      <c r="C645" t="n">
        <v>156715</v>
      </c>
      <c r="D645" s="4" t="n">
        <v>45</v>
      </c>
      <c r="E645" s="1" t="n">
        <v>38768</v>
      </c>
      <c r="F645" t="inlineStr">
        <is>
          <t>this is a great recipe to serve as an appetizer for two or three people, but i will make it for just me as a light supper.</t>
        </is>
      </c>
      <c r="G645" t="n">
        <v>6</v>
      </c>
      <c r="H645" t="n">
        <v>2700</v>
      </c>
      <c r="I645">
        <f>D645*60</f>
        <v/>
      </c>
      <c r="J645">
        <f>COUNTIF(Отзывы!$D:$D, 156715)</f>
        <v/>
      </c>
    </row>
    <row r="646">
      <c r="A646" t="n">
        <v>25322</v>
      </c>
      <c r="B646" t="inlineStr">
        <is>
          <t>spicy catfish cakes</t>
        </is>
      </c>
      <c r="C646" t="n">
        <v>35157</v>
      </c>
      <c r="D646" s="4" t="n">
        <v>50</v>
      </c>
      <c r="E646" s="1" t="n">
        <v>37464</v>
      </c>
      <c r="F646" t="inlineStr">
        <is>
          <t>crispy on the outside, tasty on the inside. try them with coleslaw and real (lol) german potato salad.</t>
        </is>
      </c>
      <c r="G646" t="n">
        <v>14</v>
      </c>
      <c r="H646" t="n">
        <v>3000</v>
      </c>
      <c r="I646">
        <f>D646*60</f>
        <v/>
      </c>
      <c r="J646">
        <f>COUNTIF(Отзывы!$D:$D, 35157)</f>
        <v/>
      </c>
    </row>
    <row r="647">
      <c r="A647" t="n">
        <v>19726</v>
      </c>
      <c r="B647" t="inlineStr">
        <is>
          <t>pan fried roasted chicken with rice</t>
        </is>
      </c>
      <c r="C647" t="n">
        <v>486862</v>
      </c>
      <c r="D647" s="4" t="n">
        <v>45</v>
      </c>
      <c r="E647" s="1" t="n">
        <v>41166</v>
      </c>
      <c r="F647" t="inlineStr">
        <is>
          <t>a different way to have chicken and a way to get rice in your meal.</t>
        </is>
      </c>
      <c r="G647" t="n">
        <v>12</v>
      </c>
      <c r="H647" t="n">
        <v>2700</v>
      </c>
      <c r="I647">
        <f>D647*60</f>
        <v/>
      </c>
      <c r="J647">
        <f>COUNTIF(Отзывы!$D:$D, 486862)</f>
        <v/>
      </c>
    </row>
    <row r="648">
      <c r="A648" t="n">
        <v>4063</v>
      </c>
      <c r="B648" t="inlineStr">
        <is>
          <t>buffalo chicken sandwiches  rachael ray style</t>
        </is>
      </c>
      <c r="C648" t="n">
        <v>216796</v>
      </c>
      <c r="D648" s="4" t="n">
        <v>30</v>
      </c>
      <c r="E648" s="1" t="n">
        <v>39155</v>
      </c>
      <c r="F648" t="inlineStr">
        <is>
          <t>grilled chicken breast sandwiches with spicy buffalo sauce and cool bleu cheese sauce. my hubby's favorite sandwich</t>
        </is>
      </c>
      <c r="G648" t="n">
        <v>13</v>
      </c>
      <c r="H648" t="n">
        <v>1800</v>
      </c>
      <c r="I648">
        <f>D648*60</f>
        <v/>
      </c>
      <c r="J648">
        <f>COUNTIF(Отзывы!$D:$D, 216796)</f>
        <v/>
      </c>
    </row>
    <row r="649">
      <c r="A649" t="n">
        <v>2791</v>
      </c>
      <c r="B649" t="inlineStr">
        <is>
          <t>bell pepper salad</t>
        </is>
      </c>
      <c r="C649" t="n">
        <v>490623</v>
      </c>
      <c r="D649" s="4" t="n">
        <v>20</v>
      </c>
      <c r="E649" s="1" t="n">
        <v>41232</v>
      </c>
      <c r="F649" t="inlineStr">
        <is>
          <t>from jordan maerin’s cookbook, raw foods for busy people. it calls for recipe #490621 #490621 for the tahini dressing.</t>
        </is>
      </c>
      <c r="G649" t="n">
        <v>6</v>
      </c>
      <c r="H649" t="n">
        <v>1200</v>
      </c>
      <c r="I649">
        <f>D649*60</f>
        <v/>
      </c>
      <c r="J649">
        <f>COUNTIF(Отзывы!$D:$D, 490623)</f>
        <v/>
      </c>
    </row>
    <row r="650">
      <c r="A650" t="n">
        <v>14717</v>
      </c>
      <c r="B650" t="inlineStr">
        <is>
          <t>italian sausage and shrimp soup</t>
        </is>
      </c>
      <c r="C650" t="n">
        <v>444092</v>
      </c>
      <c r="D650" s="4" t="n">
        <v>80</v>
      </c>
      <c r="E650" s="1" t="n">
        <v>40525</v>
      </c>
      <c r="F650" t="inlineStr">
        <is>
          <t>this is a hearty and very flavorful soup with lots of fresh ingredients... and a kick!  i serve it with crusty italian bread and california zinfandel.</t>
        </is>
      </c>
      <c r="G650" t="n">
        <v>16</v>
      </c>
      <c r="H650" t="n">
        <v>4800</v>
      </c>
      <c r="I650">
        <f>D650*60</f>
        <v/>
      </c>
      <c r="J650">
        <f>COUNTIF(Отзывы!$D:$D, 444092)</f>
        <v/>
      </c>
    </row>
    <row r="651">
      <c r="A651" t="n">
        <v>21827</v>
      </c>
      <c r="B651" t="inlineStr">
        <is>
          <t>quesadillas with poblano cream</t>
        </is>
      </c>
      <c r="C651" t="n">
        <v>303546</v>
      </c>
      <c r="D651" s="4" t="n">
        <v>50</v>
      </c>
      <c r="E651" s="1" t="n">
        <v>39582</v>
      </c>
      <c r="F651" t="inlineStr">
        <is>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is>
      </c>
      <c r="G651" t="n">
        <v>10</v>
      </c>
      <c r="H651" t="n">
        <v>3000</v>
      </c>
      <c r="I651">
        <f>D651*60</f>
        <v/>
      </c>
      <c r="J651">
        <f>COUNTIF(Отзывы!$D:$D, 303546)</f>
        <v/>
      </c>
    </row>
    <row r="652">
      <c r="A652" t="n">
        <v>2270</v>
      </c>
      <c r="B652" t="inlineStr">
        <is>
          <t>barbecue beer marinade</t>
        </is>
      </c>
      <c r="C652" t="n">
        <v>240265</v>
      </c>
      <c r="D652" s="6" t="n">
        <v>5</v>
      </c>
      <c r="E652" s="1" t="n">
        <v>39276</v>
      </c>
      <c r="F652" t="inlineStr">
        <is>
          <t>simple, delicious marinade.  the result... juicy meat with flavor!</t>
        </is>
      </c>
      <c r="G652" t="n">
        <v>2</v>
      </c>
      <c r="H652" t="n">
        <v>300</v>
      </c>
      <c r="I652">
        <f>D652*60</f>
        <v/>
      </c>
      <c r="J652">
        <f>COUNTIF(Отзывы!$D:$D, 240265)</f>
        <v/>
      </c>
    </row>
    <row r="653">
      <c r="A653" t="n">
        <v>25650</v>
      </c>
      <c r="B653" t="inlineStr">
        <is>
          <t>spinach pie with sun dried tomatoes</t>
        </is>
      </c>
      <c r="C653" t="n">
        <v>90326</v>
      </c>
      <c r="D653" s="4" t="n">
        <v>75</v>
      </c>
      <c r="E653" s="1" t="n">
        <v>38108</v>
      </c>
      <c r="F653" t="inlineStr">
        <is>
          <t>adapted from hometown cooking.</t>
        </is>
      </c>
      <c r="H653" t="n">
        <v>4500</v>
      </c>
      <c r="I653">
        <f>D653*60</f>
        <v/>
      </c>
      <c r="J653">
        <f>COUNTIF(Отзывы!$D:$D, 90326)</f>
        <v/>
      </c>
    </row>
    <row r="654">
      <c r="A654" t="n">
        <v>23638</v>
      </c>
      <c r="B654" t="inlineStr">
        <is>
          <t>scallion chicken and soba noodles  ww</t>
        </is>
      </c>
      <c r="C654" t="n">
        <v>419944</v>
      </c>
      <c r="D654" s="4" t="n">
        <v>28</v>
      </c>
      <c r="E654" s="1" t="n">
        <v>40280</v>
      </c>
      <c r="F654" t="inlineStr">
        <is>
          <t>i love soba noodle dishes and can't wait to try this one. from weight watchers slim ways chicken.</t>
        </is>
      </c>
      <c r="G654" t="n">
        <v>10</v>
      </c>
      <c r="H654" t="n">
        <v>1680</v>
      </c>
      <c r="I654">
        <f>D654*60</f>
        <v/>
      </c>
      <c r="J654">
        <f>COUNTIF(Отзывы!$D:$D, 419944)</f>
        <v/>
      </c>
    </row>
    <row r="655">
      <c r="A655" t="n">
        <v>22017</v>
      </c>
      <c r="B655" t="inlineStr">
        <is>
          <t>quinoa   risotto style 1</t>
        </is>
      </c>
      <c r="C655" t="n">
        <v>395273</v>
      </c>
      <c r="D655" s="4" t="n">
        <v>30</v>
      </c>
      <c r="E655" s="1" t="n">
        <v>40105</v>
      </c>
      <c r="F655" t="inlineStr">
        <is>
          <t>this is my own recipe. i like it, as it's a fast way to eat well and feel great... quinoa, poblano peppers and parmesan ! don't use kraft powder. buy some real parmesan or, even better, belgioioso 'american grana' if you're in the usa -- by far one of the best "parmesan" style cheeses you can find in the states. the fact that they admit it's american, gets you over a psychological barrier, and it's just a great product. you'll become addicted...eat it with fruit : figs, mango, guava...</t>
        </is>
      </c>
      <c r="H655" t="n">
        <v>1800</v>
      </c>
      <c r="I655">
        <f>D655*60</f>
        <v/>
      </c>
      <c r="J655">
        <f>COUNTIF(Отзывы!$D:$D, 395273)</f>
        <v/>
      </c>
    </row>
    <row r="656">
      <c r="A656" t="n">
        <v>25284</v>
      </c>
      <c r="B656" t="inlineStr">
        <is>
          <t>spicy  lentil rice pilaf</t>
        </is>
      </c>
      <c r="C656" t="n">
        <v>416438</v>
      </c>
      <c r="D656" s="4" t="n">
        <v>25</v>
      </c>
      <c r="E656" s="1" t="n">
        <v>40251</v>
      </c>
      <c r="F656" t="inlineStr">
        <is>
          <t>i like my pilaf spicy....very spicy!</t>
        </is>
      </c>
      <c r="H656" t="n">
        <v>1500</v>
      </c>
      <c r="I656">
        <f>D656*60</f>
        <v/>
      </c>
      <c r="J656">
        <f>COUNTIF(Отзывы!$D:$D, 416438)</f>
        <v/>
      </c>
    </row>
    <row r="657">
      <c r="A657" t="n">
        <v>23035</v>
      </c>
      <c r="B657" t="inlineStr">
        <is>
          <t>royal crown strawberry pie</t>
        </is>
      </c>
      <c r="C657" t="n">
        <v>535691</v>
      </c>
      <c r="D657" s="4" t="n">
        <v>85</v>
      </c>
      <c r="E657" s="1" t="n">
        <v>43213</v>
      </c>
      <c r="F657" t="inlineStr">
        <is>
          <t>crown-shaped pie with sweet and tangy strawberry filling and fresh whipped cream.</t>
        </is>
      </c>
      <c r="G657" t="n">
        <v>15</v>
      </c>
      <c r="H657" t="n">
        <v>5100</v>
      </c>
      <c r="I657">
        <f>D657*60</f>
        <v/>
      </c>
      <c r="J657">
        <f>COUNTIF(Отзывы!$D:$D, 535691)</f>
        <v/>
      </c>
    </row>
    <row r="658">
      <c r="A658" t="n">
        <v>29855</v>
      </c>
      <c r="B658" t="inlineStr">
        <is>
          <t>zesty skillet chicken you can t live without</t>
        </is>
      </c>
      <c r="C658" t="n">
        <v>402257</v>
      </c>
      <c r="D658" s="4" t="n">
        <v>20</v>
      </c>
      <c r="E658" s="1" t="n">
        <v>40149</v>
      </c>
      <c r="F658" t="inlineStr">
        <is>
          <t>another betty crocker recipe.  i love the simplicity!</t>
        </is>
      </c>
      <c r="G658" t="n">
        <v>4</v>
      </c>
      <c r="H658" t="n">
        <v>1200</v>
      </c>
      <c r="I658">
        <f>D658*60</f>
        <v/>
      </c>
      <c r="J658">
        <f>COUNTIF(Отзывы!$D:$D, 402257)</f>
        <v/>
      </c>
    </row>
    <row r="659">
      <c r="A659" t="n">
        <v>29876</v>
      </c>
      <c r="B659" t="inlineStr">
        <is>
          <t>zippy beans and rice</t>
        </is>
      </c>
      <c r="C659" t="n">
        <v>275655</v>
      </c>
      <c r="D659" s="6" t="n">
        <v>10</v>
      </c>
      <c r="E659" s="1" t="n">
        <v>39449</v>
      </c>
      <c r="F659" t="inlineStr">
        <is>
          <t>from taste of home.  i am posting the original recipe that lists instant rice, but i make this with regular brown rice in my steamer/rice cooker which increases the cooking time to about 40-45 minutes.</t>
        </is>
      </c>
      <c r="G659" t="n">
        <v>8</v>
      </c>
      <c r="H659" t="n">
        <v>600</v>
      </c>
      <c r="I659">
        <f>D659*60</f>
        <v/>
      </c>
      <c r="J659">
        <f>COUNTIF(Отзывы!$D:$D, 275655)</f>
        <v/>
      </c>
    </row>
    <row r="660">
      <c r="A660" t="n">
        <v>4021</v>
      </c>
      <c r="B660" t="inlineStr">
        <is>
          <t>brussels sprouts  with butter sauce  americano</t>
        </is>
      </c>
      <c r="C660" t="n">
        <v>9228</v>
      </c>
      <c r="D660" s="4" t="n">
        <v>32</v>
      </c>
      <c r="E660" s="1" t="n">
        <v>37042</v>
      </c>
      <c r="F660" t="inlineStr">
        <is>
          <t>this is my own preference for brussels sprouts. try it. i think it's great.</t>
        </is>
      </c>
      <c r="G660" t="n">
        <v>10</v>
      </c>
      <c r="H660" t="n">
        <v>1920</v>
      </c>
      <c r="I660">
        <f>D660*60</f>
        <v/>
      </c>
      <c r="J660">
        <f>COUNTIF(Отзывы!$D:$D, 9228)</f>
        <v/>
      </c>
    </row>
    <row r="661">
      <c r="A661" t="n">
        <v>23413</v>
      </c>
      <c r="B661" t="inlineStr">
        <is>
          <t>sauerkraut and sausage in the crock pot</t>
        </is>
      </c>
      <c r="C661" t="n">
        <v>224090</v>
      </c>
      <c r="D661" s="4" t="n">
        <v>555</v>
      </c>
      <c r="E661" s="1" t="n">
        <v>39195</v>
      </c>
      <c r="F661" t="inlineStr">
        <is>
          <t>the faculty where dh teaches has frequent potlucks.  lois often brings this tasty dish and it is always well received.  it is also an easy work/school week supper that my family enjoys.</t>
        </is>
      </c>
      <c r="H661" t="n">
        <v>33300</v>
      </c>
      <c r="I661">
        <f>D661*60</f>
        <v/>
      </c>
      <c r="J661">
        <f>COUNTIF(Отзывы!$D:$D, 224090)</f>
        <v/>
      </c>
    </row>
    <row r="662">
      <c r="A662" t="n">
        <v>14952</v>
      </c>
      <c r="B662" t="inlineStr">
        <is>
          <t>jelly  jello  shooters</t>
        </is>
      </c>
      <c r="C662" t="n">
        <v>136774</v>
      </c>
      <c r="D662" s="4" t="n">
        <v>15</v>
      </c>
      <c r="E662" s="1" t="n">
        <v>38604</v>
      </c>
      <c r="F662" t="inlineStr">
        <is>
          <t>great for a party. no time given for setting the jellies.</t>
        </is>
      </c>
      <c r="H662" t="n">
        <v>900</v>
      </c>
      <c r="I662">
        <f>D662*60</f>
        <v/>
      </c>
      <c r="J662">
        <f>COUNTIF(Отзывы!$D:$D, 136774)</f>
        <v/>
      </c>
    </row>
    <row r="663">
      <c r="A663" t="n">
        <v>24215</v>
      </c>
      <c r="B663" t="inlineStr">
        <is>
          <t>simple chicken biryani</t>
        </is>
      </c>
      <c r="C663" t="n">
        <v>203279</v>
      </c>
      <c r="D663" s="4" t="n">
        <v>55</v>
      </c>
      <c r="E663" s="1" t="n">
        <v>39085</v>
      </c>
      <c r="F663" t="inlineStr">
        <is>
          <t>for best results here make sure your spices are nice and fresh! i serve mine with recipe #203296</t>
        </is>
      </c>
      <c r="G663" t="n">
        <v>11</v>
      </c>
      <c r="H663" t="n">
        <v>3300</v>
      </c>
      <c r="I663">
        <f>D663*60</f>
        <v/>
      </c>
      <c r="J663">
        <f>COUNTIF(Отзывы!$D:$D, 203279)</f>
        <v/>
      </c>
    </row>
    <row r="664">
      <c r="A664" t="n">
        <v>28151</v>
      </c>
      <c r="B664" t="inlineStr">
        <is>
          <t>tunnel of cherry cake</t>
        </is>
      </c>
      <c r="C664" t="n">
        <v>75055</v>
      </c>
      <c r="D664" s="4" t="n">
        <v>50</v>
      </c>
      <c r="E664" s="1" t="n">
        <v>37927</v>
      </c>
      <c r="F664" t="inlineStr">
        <is>
          <t>i used to make this a lot and lost the recipe, finally found it again on another web site. good cake and pretty presentation.</t>
        </is>
      </c>
      <c r="G664" t="n">
        <v>7</v>
      </c>
      <c r="H664" t="n">
        <v>3000</v>
      </c>
      <c r="I664">
        <f>D664*60</f>
        <v/>
      </c>
      <c r="J664">
        <f>COUNTIF(Отзывы!$D:$D, 75055)</f>
        <v/>
      </c>
    </row>
    <row r="665">
      <c r="A665" t="n">
        <v>24351</v>
      </c>
      <c r="B665" t="inlineStr">
        <is>
          <t>sirloin tips in wine</t>
        </is>
      </c>
      <c r="C665" t="n">
        <v>41971</v>
      </c>
      <c r="D665" s="4" t="n">
        <v>130</v>
      </c>
      <c r="E665" s="1" t="n">
        <v>37531</v>
      </c>
      <c r="F665" t="inlineStr">
        <is>
          <t>this is a wonderful way to use sirloin. it really tastes wonderful, and it's easy to make. prep time includes 1 hour marinating.</t>
        </is>
      </c>
      <c r="G665" t="n">
        <v>8</v>
      </c>
      <c r="H665" t="n">
        <v>7800</v>
      </c>
      <c r="I665">
        <f>D665*60</f>
        <v/>
      </c>
      <c r="J665">
        <f>COUNTIF(Отзывы!$D:$D, 41971)</f>
        <v/>
      </c>
    </row>
    <row r="666">
      <c r="A666" t="n">
        <v>19923</v>
      </c>
      <c r="B666" t="inlineStr">
        <is>
          <t>passover and all year vegetarian chopped liver   mushrooms</t>
        </is>
      </c>
      <c r="C666" t="n">
        <v>100756</v>
      </c>
      <c r="D666" s="4" t="n">
        <v>40</v>
      </c>
      <c r="E666" s="1" t="n">
        <v>38258</v>
      </c>
      <c r="F666" t="inlineStr">
        <is>
          <t>i do not like eating liver. still, nostalgia made me search for a vegetarian recipe. i love chopped liver on a matzoh. this recipe has been a standard on the seder table for many years now and i make it all through passover and the rest of the year.</t>
        </is>
      </c>
      <c r="G666" t="n">
        <v>7</v>
      </c>
      <c r="H666" t="n">
        <v>2400</v>
      </c>
      <c r="I666">
        <f>D666*60</f>
        <v/>
      </c>
      <c r="J666">
        <f>COUNTIF(Отзывы!$D:$D, 100756)</f>
        <v/>
      </c>
    </row>
    <row r="667">
      <c r="A667" t="n">
        <v>10942</v>
      </c>
      <c r="B667" t="inlineStr">
        <is>
          <t>fiery cajun shrimp  paula deen</t>
        </is>
      </c>
      <c r="C667" t="n">
        <v>206011</v>
      </c>
      <c r="D667" s="4" t="n">
        <v>30</v>
      </c>
      <c r="E667" s="1" t="n">
        <v>39099</v>
      </c>
      <c r="F667" t="inlineStr">
        <is>
          <t>sure to set your innards ablaze and clog your arteries!</t>
        </is>
      </c>
      <c r="G667" t="n">
        <v>9</v>
      </c>
      <c r="H667" t="n">
        <v>1800</v>
      </c>
      <c r="I667">
        <f>D667*60</f>
        <v/>
      </c>
      <c r="J667">
        <f>COUNTIF(Отзывы!$D:$D, 206011)</f>
        <v/>
      </c>
    </row>
    <row r="668">
      <c r="A668" t="n">
        <v>21091</v>
      </c>
      <c r="B668" t="inlineStr">
        <is>
          <t>polynesian pot roast</t>
        </is>
      </c>
      <c r="C668" t="n">
        <v>111720</v>
      </c>
      <c r="D668" s="4" t="n">
        <v>140</v>
      </c>
      <c r="E668" s="1" t="n">
        <v>38406</v>
      </c>
      <c r="F668" t="inlineStr">
        <is>
          <t>we love this recipe, got it from the crisco cookbook back in 1987?. hope you enjoy it as much as us. i always serve it with scalloped potatoes and broccoli with cheese sauce-on of our comfort foods</t>
        </is>
      </c>
      <c r="G668" t="n">
        <v>11</v>
      </c>
      <c r="H668" t="n">
        <v>8400</v>
      </c>
      <c r="I668">
        <f>D668*60</f>
        <v/>
      </c>
      <c r="J668">
        <f>COUNTIF(Отзывы!$D:$D, 111720)</f>
        <v/>
      </c>
    </row>
    <row r="669">
      <c r="A669" t="n">
        <v>19412</v>
      </c>
      <c r="B669" t="inlineStr">
        <is>
          <t>orange  strawberry  banana smoothie</t>
        </is>
      </c>
      <c r="C669" t="n">
        <v>59154</v>
      </c>
      <c r="D669" s="6" t="n">
        <v>10</v>
      </c>
      <c r="E669" s="1" t="n">
        <v>37721</v>
      </c>
      <c r="F669" t="inlineStr">
        <is>
          <t>another nummy yummy smoothie! lets go smoothie crazy!!!!!! haha :-)</t>
        </is>
      </c>
      <c r="G669" t="n">
        <v>6</v>
      </c>
      <c r="H669" t="n">
        <v>600</v>
      </c>
      <c r="I669">
        <f>D669*60</f>
        <v/>
      </c>
      <c r="J669">
        <f>COUNTIF(Отзывы!$D:$D, 59154)</f>
        <v/>
      </c>
    </row>
    <row r="670">
      <c r="A670" t="n">
        <v>7806</v>
      </c>
      <c r="B670" t="inlineStr">
        <is>
          <t>crab cakes sandwiches</t>
        </is>
      </c>
      <c r="C670" t="n">
        <v>172387</v>
      </c>
      <c r="D670" s="4" t="n">
        <v>128</v>
      </c>
      <c r="E670" s="1" t="n">
        <v>38879</v>
      </c>
      <c r="F670" t="inlineStr">
        <is>
          <t>you can double the amount if desired, 1-1/4 pounds of crabmeat should give you about 5-6 patties. you can omit the old bay seasoning and use seasoned salt instead, adjust all seasonings to taste. please don't omit the tartar sauce (my recipe#167071 for tartar sauce works well) plan ahead the patties need to chill for a about 2 hours before frying.</t>
        </is>
      </c>
      <c r="H670" t="n">
        <v>7680</v>
      </c>
      <c r="I670">
        <f>D670*60</f>
        <v/>
      </c>
      <c r="J670">
        <f>COUNTIF(Отзывы!$D:$D, 172387)</f>
        <v/>
      </c>
    </row>
    <row r="671">
      <c r="A671" t="n">
        <v>12090</v>
      </c>
      <c r="B671" t="inlineStr">
        <is>
          <t>glazed carrots and pineapple</t>
        </is>
      </c>
      <c r="C671" t="n">
        <v>354011</v>
      </c>
      <c r="D671" s="4" t="n">
        <v>20</v>
      </c>
      <c r="E671" s="1" t="n">
        <v>39849</v>
      </c>
      <c r="F671" t="inlineStr">
        <is>
          <t>this side dish takes just minutes to prepare and it just might help you get some vegetables into your child. it's worth a try and if they don't go for it, there will just be more for you.</t>
        </is>
      </c>
      <c r="G671" t="n">
        <v>6</v>
      </c>
      <c r="H671" t="n">
        <v>1200</v>
      </c>
      <c r="I671">
        <f>D671*60</f>
        <v/>
      </c>
      <c r="J671">
        <f>COUNTIF(Отзывы!$D:$D, 354011)</f>
        <v/>
      </c>
    </row>
    <row r="672">
      <c r="A672" t="n">
        <v>4003</v>
      </c>
      <c r="B672" t="inlineStr">
        <is>
          <t>bruschetta with pesto  mozzarella and sun dried tomatoes</t>
        </is>
      </c>
      <c r="C672" t="n">
        <v>114023</v>
      </c>
      <c r="D672" s="4" t="n">
        <v>20</v>
      </c>
      <c r="E672" s="1" t="n">
        <v>38434</v>
      </c>
      <c r="F672" t="inlineStr">
        <is>
          <t>made these to snack on with wine last night and they were gone in what seemed like seconds!</t>
        </is>
      </c>
      <c r="H672" t="n">
        <v>1200</v>
      </c>
      <c r="I672">
        <f>D672*60</f>
        <v/>
      </c>
      <c r="J672">
        <f>COUNTIF(Отзывы!$D:$D, 114023)</f>
        <v/>
      </c>
    </row>
    <row r="673">
      <c r="A673" t="n">
        <v>901</v>
      </c>
      <c r="B673" t="inlineStr">
        <is>
          <t>apple mango chutney</t>
        </is>
      </c>
      <c r="C673" t="n">
        <v>512016</v>
      </c>
      <c r="D673" s="4" t="n">
        <v>75</v>
      </c>
      <c r="E673" s="1" t="n">
        <v>41652</v>
      </c>
      <c r="F673" t="inlineStr">
        <is>
          <t>a great chutney recipe, pairs well with meats and chips!</t>
        </is>
      </c>
      <c r="G673" t="n">
        <v>14</v>
      </c>
      <c r="H673" t="n">
        <v>4500</v>
      </c>
      <c r="I673">
        <f>D673*60</f>
        <v/>
      </c>
      <c r="J673">
        <f>COUNTIF(Отзывы!$D:$D, 512016)</f>
        <v/>
      </c>
    </row>
    <row r="674">
      <c r="A674" t="n">
        <v>14875</v>
      </c>
      <c r="B674" t="inlineStr">
        <is>
          <t>jammy rugulah</t>
        </is>
      </c>
      <c r="C674" t="n">
        <v>35363</v>
      </c>
      <c r="D674" s="4" t="n">
        <v>45</v>
      </c>
      <c r="E674" s="1" t="n">
        <v>37464</v>
      </c>
      <c r="F674" t="inlineStr">
        <is>
          <t>these are absolutely delicious! i vary them by using a wide variety of jams and nuts, plus i often leave out the nuts. to be really decadent, use jam and some chocolate chips instead of nuts! based on a bonnie stern recipe.</t>
        </is>
      </c>
      <c r="G674" t="n">
        <v>9</v>
      </c>
      <c r="H674" t="n">
        <v>2700</v>
      </c>
      <c r="I674">
        <f>D674*60</f>
        <v/>
      </c>
      <c r="J674">
        <f>COUNTIF(Отзывы!$D:$D, 35363)</f>
        <v/>
      </c>
    </row>
    <row r="675">
      <c r="A675" t="n">
        <v>23580</v>
      </c>
      <c r="B675" t="inlineStr">
        <is>
          <t>savory herb potato dumplings in a buttery crust</t>
        </is>
      </c>
      <c r="C675" t="n">
        <v>388112</v>
      </c>
      <c r="D675" s="4" t="n">
        <v>60</v>
      </c>
      <c r="E675" s="1" t="n">
        <v>40057</v>
      </c>
      <c r="F675" t="inlineStr">
        <is>
          <t>how to describe this ... i'm not sure.  mashed potatoes mixed with a little flour to give it some body, savory herbs, rolled into golf ball size dumplings.  lightly boiled and then tossed in a bowl with bread crumbs and melted butter. so so so so good. you just have to give this a try.  my suggestion, try a simple grilled steak. my bloody mary steak is easy quick and very inexpensive and serve with a simple green salad or my creamy parmesan and minted peas.  it is just a really different side, but so good.  it sort of came from a friend who originally was from russia, but moved around so much she had just a wealth of knowledge and recipes from all over the world.  this was my twist on her version.  they are great.</t>
        </is>
      </c>
      <c r="G675" t="n">
        <v>10</v>
      </c>
      <c r="H675" t="n">
        <v>3600</v>
      </c>
      <c r="I675">
        <f>D675*60</f>
        <v/>
      </c>
      <c r="J675">
        <f>COUNTIF(Отзывы!$D:$D, 388112)</f>
        <v/>
      </c>
    </row>
    <row r="676">
      <c r="A676" t="n">
        <v>8403</v>
      </c>
      <c r="B676" t="inlineStr">
        <is>
          <t>creamy veggie soup</t>
        </is>
      </c>
      <c r="C676" t="n">
        <v>80952</v>
      </c>
      <c r="D676" s="4" t="n">
        <v>50</v>
      </c>
      <c r="E676" s="1" t="n">
        <v>37999</v>
      </c>
      <c r="H676" t="n">
        <v>3000</v>
      </c>
      <c r="I676">
        <f>D676*60</f>
        <v/>
      </c>
      <c r="J676">
        <f>COUNTIF(Отзывы!$D:$D, 80952)</f>
        <v/>
      </c>
    </row>
    <row r="677">
      <c r="A677" t="n">
        <v>17949</v>
      </c>
      <c r="B677" t="inlineStr">
        <is>
          <t>mom s   fall off the bone   chicken</t>
        </is>
      </c>
      <c r="C677" t="n">
        <v>226156</v>
      </c>
      <c r="D677" s="4" t="n">
        <v>310</v>
      </c>
      <c r="E677" s="1" t="n">
        <v>39205</v>
      </c>
      <c r="F677" t="inlineStr">
        <is>
          <t>there is a place in r.i. called wright's farm where they serve family style chicken dinners.  the chicken just falls off the bone. my mom came up with this easy recipe and we love it.  the chicken just falls off the bone!  at wright's farm they serve salad, chicken, french fries and macaroni with red sauce....all you can eat!!</t>
        </is>
      </c>
      <c r="G677" t="n">
        <v>6</v>
      </c>
      <c r="H677" t="n">
        <v>18600</v>
      </c>
      <c r="I677">
        <f>D677*60</f>
        <v/>
      </c>
      <c r="J677">
        <f>COUNTIF(Отзывы!$D:$D, 226156)</f>
        <v/>
      </c>
    </row>
    <row r="678">
      <c r="A678" t="n">
        <v>8851</v>
      </c>
      <c r="B678" t="inlineStr">
        <is>
          <t>crustless quiche</t>
        </is>
      </c>
      <c r="C678" t="n">
        <v>323696</v>
      </c>
      <c r="D678" s="4" t="n">
        <v>55</v>
      </c>
      <c r="E678" s="1" t="n">
        <v>39697</v>
      </c>
      <c r="F678" t="inlineStr">
        <is>
          <t>i have not tried this recipe. i got this recipe from obesity help. this recipe was posted by stephgerlette.</t>
        </is>
      </c>
      <c r="H678" t="n">
        <v>3300</v>
      </c>
      <c r="I678">
        <f>D678*60</f>
        <v/>
      </c>
      <c r="J678">
        <f>COUNTIF(Отзывы!$D:$D, 323696)</f>
        <v/>
      </c>
    </row>
    <row r="679" ht="409.5" customHeight="1">
      <c r="A679" t="n">
        <v>29441</v>
      </c>
      <c r="B679" t="inlineStr">
        <is>
          <t>will the real california sushi roll please stand up</t>
        </is>
      </c>
      <c r="C679" t="n">
        <v>279758</v>
      </c>
      <c r="D679" s="4" t="n">
        <v>55</v>
      </c>
      <c r="E679" s="1" t="n">
        <v>39465</v>
      </c>
      <c r="F679" s="2" t="inlineStr">
        <is>
          <t>here it is ya'll.  the real thing.  this how i was taught to make sushi, from a japanese friend.he started me out on the california roll, because of its american-ized taste._x000D_
note: nori is the seaweed wrapper for the sushi</t>
        </is>
      </c>
      <c r="H679" t="n">
        <v>3300</v>
      </c>
      <c r="I679">
        <f>D679*60</f>
        <v/>
      </c>
      <c r="J679">
        <f>COUNTIF(Отзывы!$D:$D, 279758)</f>
        <v/>
      </c>
    </row>
    <row r="680" ht="409.5" customHeight="1">
      <c r="A680" t="n">
        <v>22064</v>
      </c>
      <c r="B680" t="inlineStr">
        <is>
          <t>rachel s fancy macaroni and cheese</t>
        </is>
      </c>
      <c r="C680" t="n">
        <v>430164</v>
      </c>
      <c r="D680" s="4" t="n">
        <v>45</v>
      </c>
      <c r="E680" s="1" t="n">
        <v>40346</v>
      </c>
      <c r="F680" s="2" t="inlineStr">
        <is>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is>
      </c>
      <c r="H680" t="n">
        <v>2700</v>
      </c>
      <c r="I680">
        <f>D680*60</f>
        <v/>
      </c>
      <c r="J680">
        <f>COUNTIF(Отзывы!$D:$D, 430164)</f>
        <v/>
      </c>
    </row>
    <row r="681">
      <c r="A681" t="n">
        <v>12506</v>
      </c>
      <c r="B681" t="inlineStr">
        <is>
          <t>great greek dip</t>
        </is>
      </c>
      <c r="C681" t="n">
        <v>74060</v>
      </c>
      <c r="D681" s="4" t="n">
        <v>20</v>
      </c>
      <c r="E681" s="1" t="n">
        <v>37921</v>
      </c>
      <c r="F681" t="inlineStr">
        <is>
          <t>every time i have taken this dip to a gathering, i have been asked for the recipe. the flavors blend very well and it is a unique appetizer.</t>
        </is>
      </c>
      <c r="G681" t="n">
        <v>9</v>
      </c>
      <c r="H681" t="n">
        <v>1200</v>
      </c>
      <c r="I681">
        <f>D681*60</f>
        <v/>
      </c>
      <c r="J681">
        <f>COUNTIF(Отзывы!$D:$D, 74060)</f>
        <v/>
      </c>
    </row>
    <row r="682">
      <c r="A682" t="n">
        <v>6292</v>
      </c>
      <c r="B682" t="inlineStr">
        <is>
          <t>chilli   chili sour cream potatoes</t>
        </is>
      </c>
      <c r="C682" t="n">
        <v>217696</v>
      </c>
      <c r="D682" s="4" t="n">
        <v>60</v>
      </c>
      <c r="E682" s="1" t="n">
        <v>39161</v>
      </c>
      <c r="F682" t="inlineStr">
        <is>
          <t>we live in a caravan, on the road, permanently travelling around australia. i’m always trying to develop tasty, simple dishes from what’s on hand. russ really loved this one last night.  cooking in the bacon fat made them really tasty and is a lot healthier than some of the oils on the market (or so i have been told by others here).</t>
        </is>
      </c>
      <c r="G682" t="n">
        <v>9</v>
      </c>
      <c r="H682" t="n">
        <v>3600</v>
      </c>
      <c r="I682">
        <f>D682*60</f>
        <v/>
      </c>
      <c r="J682">
        <f>COUNTIF(Отзывы!$D:$D, 217696)</f>
        <v/>
      </c>
    </row>
    <row r="683">
      <c r="A683" t="n">
        <v>8039</v>
      </c>
      <c r="B683" t="inlineStr">
        <is>
          <t>cream cheese and jelly sandwich</t>
        </is>
      </c>
      <c r="C683" t="n">
        <v>118116</v>
      </c>
      <c r="D683" s="4" t="n">
        <v>12</v>
      </c>
      <c r="E683" s="1" t="n">
        <v>38462</v>
      </c>
      <c r="F683" t="inlineStr">
        <is>
          <t>you know how things are always popping into your head when you are laying in bed?  well, that's what happen to me.  my dad use to make these sandwiches for my brother and me. how can something so simple be so good?  you decide....</t>
        </is>
      </c>
      <c r="G683" t="n">
        <v>3</v>
      </c>
      <c r="H683" t="n">
        <v>720</v>
      </c>
      <c r="I683">
        <f>D683*60</f>
        <v/>
      </c>
      <c r="J683">
        <f>COUNTIF(Отзывы!$D:$D, 118116)</f>
        <v/>
      </c>
    </row>
    <row r="684">
      <c r="A684" t="n">
        <v>15327</v>
      </c>
      <c r="B684" t="inlineStr">
        <is>
          <t>khoriatiki salata  country salad</t>
        </is>
      </c>
      <c r="C684" t="n">
        <v>345459</v>
      </c>
      <c r="D684" s="4" t="n">
        <v>15</v>
      </c>
      <c r="E684" s="1" t="n">
        <v>39811</v>
      </c>
      <c r="F684" t="inlineStr">
        <is>
          <t>this crunchy, colourful salad will bring back memories of sun-drenched days in the mediterranean. and the good news is that you can assemble it in just a few minutes.</t>
        </is>
      </c>
      <c r="H684" t="n">
        <v>900</v>
      </c>
      <c r="I684">
        <f>D684*60</f>
        <v/>
      </c>
      <c r="J684">
        <f>COUNTIF(Отзывы!$D:$D, 345459)</f>
        <v/>
      </c>
    </row>
    <row r="685">
      <c r="A685" t="n">
        <v>17665</v>
      </c>
      <c r="B685" t="inlineStr">
        <is>
          <t>milk chocolate fudge</t>
        </is>
      </c>
      <c r="C685" t="n">
        <v>22015</v>
      </c>
      <c r="D685" s="4" t="n">
        <v>17</v>
      </c>
      <c r="E685" s="1" t="n">
        <v>37324</v>
      </c>
      <c r="F685" t="inlineStr">
        <is>
          <t>this creamy fudge goes fast! it truly is delicious.</t>
        </is>
      </c>
      <c r="G685" t="n">
        <v>8</v>
      </c>
      <c r="H685" t="n">
        <v>1020</v>
      </c>
      <c r="I685">
        <f>D685*60</f>
        <v/>
      </c>
      <c r="J685">
        <f>COUNTIF(Отзывы!$D:$D, 22015)</f>
        <v/>
      </c>
    </row>
    <row r="686">
      <c r="A686" t="n">
        <v>9371</v>
      </c>
      <c r="B686" t="inlineStr">
        <is>
          <t>deviled beef hamburger patties</t>
        </is>
      </c>
      <c r="C686" t="n">
        <v>277747</v>
      </c>
      <c r="D686" s="4" t="n">
        <v>15</v>
      </c>
      <c r="E686" s="1" t="n">
        <v>39456</v>
      </c>
      <c r="F686" t="inlineStr">
        <is>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is>
      </c>
      <c r="G686" t="n">
        <v>9</v>
      </c>
      <c r="H686" t="n">
        <v>900</v>
      </c>
      <c r="I686">
        <f>D686*60</f>
        <v/>
      </c>
      <c r="J686">
        <f>COUNTIF(Отзывы!$D:$D, 277747)</f>
        <v/>
      </c>
    </row>
    <row r="687">
      <c r="A687" t="n">
        <v>26030</v>
      </c>
      <c r="B687" t="inlineStr">
        <is>
          <t>strawberry dream cake</t>
        </is>
      </c>
      <c r="C687" t="n">
        <v>86694</v>
      </c>
      <c r="D687" s="4" t="n">
        <v>940</v>
      </c>
      <c r="E687" s="1" t="n">
        <v>38062</v>
      </c>
      <c r="F687" t="inlineStr">
        <is>
          <t>absolutely delicious! nice as an easter/springtime dessert, or at a barbecue. cooking time includes refrigeration time.</t>
        </is>
      </c>
      <c r="H687" t="n">
        <v>56400</v>
      </c>
      <c r="I687">
        <f>D687*60</f>
        <v/>
      </c>
      <c r="J687">
        <f>COUNTIF(Отзывы!$D:$D, 86694)</f>
        <v/>
      </c>
    </row>
    <row r="688">
      <c r="A688" t="n">
        <v>14479</v>
      </c>
      <c r="B688" t="inlineStr">
        <is>
          <t>individual sausage loaves</t>
        </is>
      </c>
      <c r="C688" t="n">
        <v>49570</v>
      </c>
      <c r="D688" s="4" t="n">
        <v>60</v>
      </c>
      <c r="E688" s="1" t="n">
        <v>37612</v>
      </c>
      <c r="F688" t="inlineStr">
        <is>
          <t xml:space="preserve">this is an </t>
        </is>
      </c>
      <c r="G688" t="n">
        <v>11</v>
      </c>
      <c r="H688" t="n">
        <v>3600</v>
      </c>
      <c r="I688">
        <f>D688*60</f>
        <v/>
      </c>
      <c r="J688">
        <f>COUNTIF(Отзывы!$D:$D, 49570)</f>
        <v/>
      </c>
    </row>
    <row r="689">
      <c r="A689" t="n">
        <v>14397</v>
      </c>
      <c r="B689" t="inlineStr">
        <is>
          <t>icing on the cake martini</t>
        </is>
      </c>
      <c r="C689" t="n">
        <v>216028</v>
      </c>
      <c r="D689" s="6" t="n">
        <v>5</v>
      </c>
      <c r="E689" s="1" t="n">
        <v>39151</v>
      </c>
      <c r="F689" t="inlineStr">
        <is>
          <t>from foodnetwork. i have not tried this yet but it looks very pretty. on that website a reviewer suggested coating the rim of the glass in icing and then rolling it in sprinkles.</t>
        </is>
      </c>
      <c r="G689" t="n">
        <v>6</v>
      </c>
      <c r="H689" t="n">
        <v>300</v>
      </c>
      <c r="I689">
        <f>D689*60</f>
        <v/>
      </c>
      <c r="J689">
        <f>COUNTIF(Отзывы!$D:$D, 216028)</f>
        <v/>
      </c>
    </row>
    <row r="690">
      <c r="A690" t="n">
        <v>20895</v>
      </c>
      <c r="B690" t="inlineStr">
        <is>
          <t>pink vodka cocktail</t>
        </is>
      </c>
      <c r="C690" t="n">
        <v>393306</v>
      </c>
      <c r="D690" s="6" t="n">
        <v>5</v>
      </c>
      <c r="E690" s="1" t="n">
        <v>40092</v>
      </c>
      <c r="F690" t="inlineStr">
        <is>
          <t>somthing to keep for when im not pregnant :)</t>
        </is>
      </c>
      <c r="G690" t="n">
        <v>3</v>
      </c>
      <c r="H690" t="n">
        <v>300</v>
      </c>
      <c r="I690">
        <f>D690*60</f>
        <v/>
      </c>
      <c r="J690">
        <f>COUNTIF(Отзывы!$D:$D, 393306)</f>
        <v/>
      </c>
    </row>
    <row r="691">
      <c r="A691" t="n">
        <v>16870</v>
      </c>
      <c r="B691" t="inlineStr">
        <is>
          <t>mango muffins</t>
        </is>
      </c>
      <c r="C691" t="n">
        <v>5453</v>
      </c>
      <c r="D691" s="4" t="n">
        <v>33</v>
      </c>
      <c r="E691" s="1" t="n">
        <v>36510</v>
      </c>
      <c r="F691" t="inlineStr">
        <is>
          <t>i was going to make blueberry muffins when i realized that the kids had eaten all my blueberries, so i used mango pulp instead. this fork tender muffin will be very moist. it would be more appropriate at the breakfast table than trying to toss it into a lunch box. i want to thank jeanninemarie in mn for the two most recent pictures that she sent me to include with this recipe.</t>
        </is>
      </c>
      <c r="G691" t="n">
        <v>8</v>
      </c>
      <c r="H691" t="n">
        <v>1980</v>
      </c>
      <c r="I691">
        <f>D691*60</f>
        <v/>
      </c>
      <c r="J691">
        <f>COUNTIF(Отзывы!$D:$D, 5453)</f>
        <v/>
      </c>
    </row>
    <row r="692">
      <c r="A692" t="n">
        <v>13374</v>
      </c>
      <c r="B692" t="inlineStr">
        <is>
          <t>hawaiian barbeque macaroni salad</t>
        </is>
      </c>
      <c r="C692" t="n">
        <v>482082</v>
      </c>
      <c r="D692" s="4" t="n">
        <v>40</v>
      </c>
      <c r="E692" s="1" t="n">
        <v>41093</v>
      </c>
      <c r="F692" t="inlineStr">
        <is>
          <t>this is a ham and pineapple macaroni salad. i cut everything up so that people can pick out anything they don't like. great for picknics.</t>
        </is>
      </c>
      <c r="G692" t="n">
        <v>9</v>
      </c>
      <c r="H692" t="n">
        <v>2400</v>
      </c>
      <c r="I692">
        <f>D692*60</f>
        <v/>
      </c>
      <c r="J692">
        <f>COUNTIF(Отзывы!$D:$D, 482082)</f>
        <v/>
      </c>
    </row>
    <row r="693">
      <c r="A693" t="n">
        <v>27751</v>
      </c>
      <c r="B693" t="inlineStr">
        <is>
          <t>tomato   sausage tart</t>
        </is>
      </c>
      <c r="C693" t="n">
        <v>156480</v>
      </c>
      <c r="D693" s="4" t="n">
        <v>60</v>
      </c>
      <c r="E693" s="1" t="n">
        <v>38765</v>
      </c>
      <c r="F693" t="inlineStr">
        <is>
          <t>a very easy italian dish to make.  this can also be frozen.</t>
        </is>
      </c>
      <c r="G693" t="n">
        <v>10</v>
      </c>
      <c r="H693" t="n">
        <v>3600</v>
      </c>
      <c r="I693">
        <f>D693*60</f>
        <v/>
      </c>
      <c r="J693">
        <f>COUNTIF(Отзывы!$D:$D, 156480)</f>
        <v/>
      </c>
    </row>
    <row r="694" ht="165" customHeight="1">
      <c r="A694" t="n">
        <v>18263</v>
      </c>
      <c r="B694" t="inlineStr">
        <is>
          <t>mum s special scones</t>
        </is>
      </c>
      <c r="C694" t="n">
        <v>383094</v>
      </c>
      <c r="D694" s="4" t="n">
        <v>20</v>
      </c>
      <c r="E694" s="1" t="n">
        <v>40022</v>
      </c>
      <c r="F694" s="2" t="inlineStr">
        <is>
          <t>this is my mum's recipe for a light scottish scones.  _x000D_
they're always a winner.</t>
        </is>
      </c>
      <c r="G694" t="n">
        <v>6</v>
      </c>
      <c r="H694" t="n">
        <v>1200</v>
      </c>
      <c r="I694">
        <f>D694*60</f>
        <v/>
      </c>
      <c r="J694">
        <f>COUNTIF(Отзывы!$D:$D, 383094)</f>
        <v/>
      </c>
    </row>
    <row r="695">
      <c r="A695" t="n">
        <v>28788</v>
      </c>
      <c r="B695" t="inlineStr">
        <is>
          <t>veggieful oven baked chili</t>
        </is>
      </c>
      <c r="C695" t="n">
        <v>284950</v>
      </c>
      <c r="D695" s="4" t="n">
        <v>140</v>
      </c>
      <c r="E695" s="1" t="n">
        <v>39486</v>
      </c>
      <c r="F695" t="inlineStr">
        <is>
          <t>this robust chili will take the chill off on a cold winter night.</t>
        </is>
      </c>
      <c r="H695" t="n">
        <v>8400</v>
      </c>
      <c r="I695">
        <f>D695*60</f>
        <v/>
      </c>
      <c r="J695">
        <f>COUNTIF(Отзывы!$D:$D, 284950)</f>
        <v/>
      </c>
    </row>
    <row r="696">
      <c r="A696" t="n">
        <v>21828</v>
      </c>
      <c r="B696" t="inlineStr">
        <is>
          <t>quesadillas with smoked gouda and caramelized onion</t>
        </is>
      </c>
      <c r="C696" t="n">
        <v>222539</v>
      </c>
      <c r="D696" s="4" t="n">
        <v>40</v>
      </c>
      <c r="E696" s="1" t="n">
        <v>39186</v>
      </c>
      <c r="F696" t="inlineStr">
        <is>
          <t>i first came across this recipe in epicurious but i have tweaked it into something my friends like better. it is a great appetizer with margaritas or chilled chardonnay!</t>
        </is>
      </c>
      <c r="G696" t="n">
        <v>5</v>
      </c>
      <c r="H696" t="n">
        <v>2400</v>
      </c>
      <c r="I696">
        <f>D696*60</f>
        <v/>
      </c>
      <c r="J696">
        <f>COUNTIF(Отзывы!$D:$D, 222539)</f>
        <v/>
      </c>
    </row>
    <row r="697">
      <c r="A697" t="n">
        <v>26287</v>
      </c>
      <c r="B697" t="inlineStr">
        <is>
          <t>sully s salisbury steak</t>
        </is>
      </c>
      <c r="C697" t="n">
        <v>343368</v>
      </c>
      <c r="D697" s="4" t="n">
        <v>65</v>
      </c>
      <c r="E697" s="1" t="n">
        <v>39795</v>
      </c>
      <c r="F697" t="inlineStr">
        <is>
          <t>delicious and easy i love being able to use stuff already in the house to make dinner.  i threw this together this evening and it was a winner.  served it with corn on the cob and smashed new potatoes.</t>
        </is>
      </c>
      <c r="G697" t="n">
        <v>9</v>
      </c>
      <c r="H697" t="n">
        <v>3900</v>
      </c>
      <c r="I697">
        <f>D697*60</f>
        <v/>
      </c>
      <c r="J697">
        <f>COUNTIF(Отзывы!$D:$D, 343368)</f>
        <v/>
      </c>
    </row>
    <row r="698" ht="409.5" customHeight="1">
      <c r="A698" t="n">
        <v>6599</v>
      </c>
      <c r="B698" t="inlineStr">
        <is>
          <t>chocolate drops</t>
        </is>
      </c>
      <c r="C698" t="n">
        <v>226373</v>
      </c>
      <c r="D698" s="4" t="n">
        <v>25</v>
      </c>
      <c r="E698" s="1" t="n">
        <v>39207</v>
      </c>
      <c r="F698" s="2" t="inlineStr">
        <is>
          <t>these cookies are soft and dark and have been likened to a brownie. i made these for my film class and now they love me forever. i got so many compliments on these cookies and they're absurdly easy to make._x000D_
_x000D_
when i made them i replaced the nuts with handfuls of chocolate chips and i sprinkled them with confectioner's sugar after they were baked.</t>
        </is>
      </c>
      <c r="G698" t="n">
        <v>10</v>
      </c>
      <c r="H698" t="n">
        <v>1500</v>
      </c>
      <c r="I698">
        <f>D698*60</f>
        <v/>
      </c>
      <c r="J698">
        <f>COUNTIF(Отзывы!$D:$D, 226373)</f>
        <v/>
      </c>
    </row>
    <row r="699">
      <c r="A699" t="n">
        <v>11670</v>
      </c>
      <c r="B699" t="inlineStr">
        <is>
          <t>fuego spice mix</t>
        </is>
      </c>
      <c r="C699" t="n">
        <v>24301</v>
      </c>
      <c r="D699" s="6" t="n">
        <v>5</v>
      </c>
      <c r="E699" s="1" t="n">
        <v>37349</v>
      </c>
      <c r="F699" t="inlineStr">
        <is>
          <t>a fiery spice blend for seasoning steaks, chicken and fish. just rub it on the meat before cooking. you can also add it to sauteed vegetables, french fries and popcorn. from the fresh mex cookbook.</t>
        </is>
      </c>
      <c r="H699" t="n">
        <v>300</v>
      </c>
      <c r="I699">
        <f>D699*60</f>
        <v/>
      </c>
      <c r="J699">
        <f>COUNTIF(Отзывы!$D:$D, 24301)</f>
        <v/>
      </c>
    </row>
    <row r="700">
      <c r="A700" t="n">
        <v>21201</v>
      </c>
      <c r="B700" t="inlineStr">
        <is>
          <t>pork chops in black beans</t>
        </is>
      </c>
      <c r="C700" t="n">
        <v>400455</v>
      </c>
      <c r="D700" s="4" t="n">
        <v>30</v>
      </c>
      <c r="E700" s="1" t="n">
        <v>40137</v>
      </c>
      <c r="F700" t="inlineStr">
        <is>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is>
      </c>
      <c r="G700" t="n">
        <v>7</v>
      </c>
      <c r="H700" t="n">
        <v>1800</v>
      </c>
      <c r="I700">
        <f>D700*60</f>
        <v/>
      </c>
      <c r="J700">
        <f>COUNTIF(Отзывы!$D:$D, 400455)</f>
        <v/>
      </c>
    </row>
    <row r="701">
      <c r="A701" t="n">
        <v>15069</v>
      </c>
      <c r="B701" t="inlineStr">
        <is>
          <t>judy s ribs</t>
        </is>
      </c>
      <c r="C701" t="n">
        <v>55035</v>
      </c>
      <c r="D701" s="4" t="n">
        <v>75</v>
      </c>
      <c r="E701" s="1" t="n">
        <v>37679</v>
      </c>
      <c r="F701" t="inlineStr">
        <is>
          <t>these are great ribs. the work is in the beginning, with the pre-cooking and marinating. i make these during the winter when it's too cold outside (for me to stand out there) for grilling. i've had lots of requests for this recipe. the prep and cook time does not include the 24 hour marinating time.</t>
        </is>
      </c>
      <c r="G701" t="n">
        <v>17</v>
      </c>
      <c r="H701" t="n">
        <v>4500</v>
      </c>
      <c r="I701">
        <f>D701*60</f>
        <v/>
      </c>
      <c r="J701">
        <f>COUNTIF(Отзывы!$D:$D, 55035)</f>
        <v/>
      </c>
    </row>
    <row r="702">
      <c r="A702" t="n">
        <v>21325</v>
      </c>
      <c r="B702" t="inlineStr">
        <is>
          <t>portuguese barbecued chicken</t>
        </is>
      </c>
      <c r="C702" t="n">
        <v>11004</v>
      </c>
      <c r="D702" s="4" t="n">
        <v>1970</v>
      </c>
      <c r="E702" s="1" t="n">
        <v>37122</v>
      </c>
      <c r="F702" t="inlineStr">
        <is>
          <t>great taste, good for those cold winter nights</t>
        </is>
      </c>
      <c r="G702" t="n">
        <v>10</v>
      </c>
      <c r="H702" t="n">
        <v>118200</v>
      </c>
      <c r="I702">
        <f>D702*60</f>
        <v/>
      </c>
      <c r="J702">
        <f>COUNTIF(Отзывы!$D:$D, 11004)</f>
        <v/>
      </c>
    </row>
    <row r="703">
      <c r="A703" t="n">
        <v>2275</v>
      </c>
      <c r="B703" t="inlineStr">
        <is>
          <t>barbecue chicken dinner packets</t>
        </is>
      </c>
      <c r="C703" t="n">
        <v>499165</v>
      </c>
      <c r="D703" s="4" t="n">
        <v>55</v>
      </c>
      <c r="E703" s="1" t="n">
        <v>41383</v>
      </c>
      <c r="F703" t="inlineStr">
        <is>
          <t>barbecue chiken dinner packets</t>
        </is>
      </c>
      <c r="G703" t="n">
        <v>8</v>
      </c>
      <c r="H703" t="n">
        <v>3300</v>
      </c>
      <c r="I703">
        <f>D703*60</f>
        <v/>
      </c>
      <c r="J703">
        <f>COUNTIF(Отзывы!$D:$D, 499165)</f>
        <v/>
      </c>
    </row>
    <row r="704">
      <c r="A704" t="n">
        <v>9762</v>
      </c>
      <c r="B704" t="inlineStr">
        <is>
          <t>easter egg nests</t>
        </is>
      </c>
      <c r="C704" t="n">
        <v>364626</v>
      </c>
      <c r="D704" s="4" t="n">
        <v>30</v>
      </c>
      <c r="E704" s="1" t="n">
        <v>39908</v>
      </c>
      <c r="F704" t="inlineStr">
        <is>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is>
      </c>
      <c r="G704" t="n">
        <v>4</v>
      </c>
      <c r="H704" t="n">
        <v>1800</v>
      </c>
      <c r="I704">
        <f>D704*60</f>
        <v/>
      </c>
      <c r="J704">
        <f>COUNTIF(Отзывы!$D:$D, 364626)</f>
        <v/>
      </c>
    </row>
    <row r="705">
      <c r="A705" t="n">
        <v>16443</v>
      </c>
      <c r="B705" t="inlineStr">
        <is>
          <t>low fat   easy chicken cacciatore</t>
        </is>
      </c>
      <c r="C705" t="n">
        <v>452828</v>
      </c>
      <c r="D705" s="4" t="n">
        <v>60</v>
      </c>
      <c r="E705" s="1" t="n">
        <v>40636</v>
      </c>
      <c r="F705" t="inlineStr">
        <is>
          <t>my favorite italian dish is chicken cacciatore, now i can make it without worrying about healthiness. we do use whole wheat pasta.</t>
        </is>
      </c>
      <c r="G705" t="n">
        <v>8</v>
      </c>
      <c r="H705" t="n">
        <v>3600</v>
      </c>
      <c r="I705">
        <f>D705*60</f>
        <v/>
      </c>
      <c r="J705">
        <f>COUNTIF(Отзывы!$D:$D, 452828)</f>
        <v/>
      </c>
    </row>
    <row r="706">
      <c r="A706" t="n">
        <v>16929</v>
      </c>
      <c r="B706" t="inlineStr">
        <is>
          <t>maple cream cheese sausage puffs</t>
        </is>
      </c>
      <c r="C706" t="n">
        <v>60823</v>
      </c>
      <c r="D706" s="4" t="n">
        <v>28</v>
      </c>
      <c r="E706" s="1" t="n">
        <v>37734</v>
      </c>
      <c r="F706" t="inlineStr">
        <is>
          <t>i found this recipe on the back of a tube of jimmy dean maple pork sausage.</t>
        </is>
      </c>
      <c r="G706" t="n">
        <v>5</v>
      </c>
      <c r="H706" t="n">
        <v>1680</v>
      </c>
      <c r="I706">
        <f>D706*60</f>
        <v/>
      </c>
      <c r="J706">
        <f>COUNTIF(Отзывы!$D:$D, 60823)</f>
        <v/>
      </c>
    </row>
    <row r="707">
      <c r="A707" t="n">
        <v>10967</v>
      </c>
      <c r="B707" t="inlineStr">
        <is>
          <t>fig  blue cheese   prosciutto piadina</t>
        </is>
      </c>
      <c r="C707" t="n">
        <v>291589</v>
      </c>
      <c r="D707" s="6" t="n">
        <v>10</v>
      </c>
      <c r="E707" s="1" t="n">
        <v>39519</v>
      </c>
      <c r="F707" t="inlineStr">
        <is>
          <t>super easy  -from a local restaurant</t>
        </is>
      </c>
      <c r="G707" t="n">
        <v>5</v>
      </c>
      <c r="H707" t="n">
        <v>600</v>
      </c>
      <c r="I707">
        <f>D707*60</f>
        <v/>
      </c>
      <c r="J707">
        <f>COUNTIF(Отзывы!$D:$D, 291589)</f>
        <v/>
      </c>
    </row>
    <row r="708">
      <c r="A708" t="n">
        <v>27962</v>
      </c>
      <c r="B708" t="inlineStr">
        <is>
          <t>traditional tex mex sopa fideo pasta</t>
        </is>
      </c>
      <c r="C708" t="n">
        <v>224425</v>
      </c>
      <c r="D708" s="4" t="n">
        <v>15</v>
      </c>
      <c r="E708" s="1" t="n">
        <v>39196</v>
      </c>
      <c r="F708" t="inlineStr">
        <is>
          <t>this is a very old recipe around my home and in many other cities on the border.  i used to eat this as a kid and i still enjoy it today.  it is great as a side-dish or appetizer with mexican food.  it is also just a great snack.  this is a vegetarian dish if you opt to use canola oil instead of lard.  also, note that you can use fideo (vermicelli) or any other type of small pasta such as small shells, alphabet, etc.</t>
        </is>
      </c>
      <c r="G708" t="n">
        <v>9</v>
      </c>
      <c r="H708" t="n">
        <v>900</v>
      </c>
      <c r="I708">
        <f>D708*60</f>
        <v/>
      </c>
      <c r="J708">
        <f>COUNTIF(Отзывы!$D:$D, 224425)</f>
        <v/>
      </c>
    </row>
    <row r="709">
      <c r="A709" t="n">
        <v>29530</v>
      </c>
      <c r="B709" t="inlineStr">
        <is>
          <t>woolfes candied dills</t>
        </is>
      </c>
      <c r="C709" t="n">
        <v>32198</v>
      </c>
      <c r="D709" s="4" t="n">
        <v>2890</v>
      </c>
      <c r="E709" s="1" t="n">
        <v>37432</v>
      </c>
      <c r="F709" t="inlineStr">
        <is>
          <t>years ago these were in the markets. now there is one mail order company with outrageous prices, so i reinvented the wheel. these and the bread-n-butter pickles are my favorites and always in the fridge.</t>
        </is>
      </c>
      <c r="H709" t="n">
        <v>173400</v>
      </c>
      <c r="I709">
        <f>D709*60</f>
        <v/>
      </c>
      <c r="J709">
        <f>COUNTIF(Отзывы!$D:$D, 32198)</f>
        <v/>
      </c>
    </row>
    <row r="710">
      <c r="A710" t="n">
        <v>10298</v>
      </c>
      <c r="B710" t="inlineStr">
        <is>
          <t>easy does it spaghetti</t>
        </is>
      </c>
      <c r="C710" t="n">
        <v>17877</v>
      </c>
      <c r="D710" s="4" t="n">
        <v>320</v>
      </c>
      <c r="E710" s="1" t="n">
        <v>37279</v>
      </c>
      <c r="F710" t="inlineStr">
        <is>
          <t>a crock pot favorite! :)</t>
        </is>
      </c>
      <c r="G710" t="n">
        <v>8</v>
      </c>
      <c r="H710" t="n">
        <v>19200</v>
      </c>
      <c r="I710">
        <f>D710*60</f>
        <v/>
      </c>
      <c r="J710">
        <f>COUNTIF(Отзывы!$D:$D, 17877)</f>
        <v/>
      </c>
    </row>
    <row r="711">
      <c r="A711" t="n">
        <v>13050</v>
      </c>
      <c r="B711" t="inlineStr">
        <is>
          <t>grilled thai sirloin with tangy lime sauce</t>
        </is>
      </c>
      <c r="C711" t="n">
        <v>3401</v>
      </c>
      <c r="D711" s="5" t="n">
        <v>0</v>
      </c>
      <c r="E711" s="1" t="n">
        <v>36449</v>
      </c>
      <c r="G711" t="n">
        <v>11</v>
      </c>
      <c r="H711" t="n">
        <v>0</v>
      </c>
      <c r="I711">
        <f>D711*60</f>
        <v/>
      </c>
      <c r="J711">
        <f>COUNTIF(Отзывы!$D:$D, 3401)</f>
        <v/>
      </c>
    </row>
    <row r="712">
      <c r="A712" t="n">
        <v>20063</v>
      </c>
      <c r="B712" t="inlineStr">
        <is>
          <t>paula deen s cheesy shrimp on grits toast</t>
        </is>
      </c>
      <c r="C712" t="n">
        <v>160848</v>
      </c>
      <c r="D712" s="4" t="n">
        <v>80</v>
      </c>
      <c r="E712" s="1" t="n">
        <v>38797</v>
      </c>
      <c r="F712" t="inlineStr">
        <is>
          <t>this looked so good to me when i watched paula make it the other day on her show.  i haven't tried it yet, but plan to soon.</t>
        </is>
      </c>
      <c r="G712" t="n">
        <v>11</v>
      </c>
      <c r="H712" t="n">
        <v>4800</v>
      </c>
      <c r="I712">
        <f>D712*60</f>
        <v/>
      </c>
      <c r="J712">
        <f>COUNTIF(Отзывы!$D:$D, 160848)</f>
        <v/>
      </c>
    </row>
    <row r="713">
      <c r="A713" t="n">
        <v>11088</v>
      </c>
      <c r="B713" t="inlineStr">
        <is>
          <t>flaming dr  pepper</t>
        </is>
      </c>
      <c r="C713" t="n">
        <v>81170</v>
      </c>
      <c r="D713" s="5" t="n">
        <v>1</v>
      </c>
      <c r="E713" s="1" t="n">
        <v>38001</v>
      </c>
      <c r="F713" t="inlineStr">
        <is>
          <t>tastes just like a dr. pepper. be careful though, these go down very smoothly but they will sneak up on you.</t>
        </is>
      </c>
      <c r="G713" t="n">
        <v>3</v>
      </c>
      <c r="H713" t="n">
        <v>60</v>
      </c>
      <c r="I713">
        <f>D713*60</f>
        <v/>
      </c>
      <c r="J713">
        <f>COUNTIF(Отзывы!$D:$D, 81170)</f>
        <v/>
      </c>
    </row>
    <row r="714" ht="409.5" customHeight="1">
      <c r="A714" t="n">
        <v>16925</v>
      </c>
      <c r="B714" t="inlineStr">
        <is>
          <t>maple cinnamon scones</t>
        </is>
      </c>
      <c r="C714" t="n">
        <v>181603</v>
      </c>
      <c r="D714" s="4" t="n">
        <v>45</v>
      </c>
      <c r="E714" s="1" t="n">
        <v>38943</v>
      </c>
      <c r="F714" s="2" t="inlineStr">
        <is>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is>
      </c>
      <c r="H714" t="n">
        <v>2700</v>
      </c>
      <c r="I714">
        <f>D714*60</f>
        <v/>
      </c>
      <c r="J714">
        <f>COUNTIF(Отзывы!$D:$D, 181603)</f>
        <v/>
      </c>
    </row>
    <row r="715">
      <c r="A715" t="n">
        <v>4693</v>
      </c>
      <c r="B715" t="inlineStr">
        <is>
          <t>caramelized onion and portobello mushroom soup</t>
        </is>
      </c>
      <c r="C715" t="n">
        <v>470412</v>
      </c>
      <c r="D715" s="4" t="n">
        <v>105</v>
      </c>
      <c r="E715" s="1" t="n">
        <v>40899</v>
      </c>
      <c r="F715" t="inlineStr">
        <is>
          <t>from bon appetit.  serve this delicious soup with goat cheese croutons - recipe included.  sounds absolutely wonderful!</t>
        </is>
      </c>
      <c r="G715" t="n">
        <v>10</v>
      </c>
      <c r="H715" t="n">
        <v>6300</v>
      </c>
      <c r="I715">
        <f>D715*60</f>
        <v/>
      </c>
      <c r="J715">
        <f>COUNTIF(Отзывы!$D:$D, 470412)</f>
        <v/>
      </c>
    </row>
    <row r="716">
      <c r="A716" t="n">
        <v>22681</v>
      </c>
      <c r="B716" t="inlineStr">
        <is>
          <t>roast lamb with plum sauce</t>
        </is>
      </c>
      <c r="C716" t="n">
        <v>26981</v>
      </c>
      <c r="D716" s="4" t="n">
        <v>185</v>
      </c>
      <c r="E716" s="1" t="n">
        <v>37376</v>
      </c>
      <c r="F716" t="inlineStr">
        <is>
          <t>lamb and this sauce go together great. make this one for your next dinner party. it's very easy, just let it cook while you do other preparations for the party. then just before serving, the sauce can be made in 5 minutes.</t>
        </is>
      </c>
      <c r="G716" t="n">
        <v>14</v>
      </c>
      <c r="H716" t="n">
        <v>11100</v>
      </c>
      <c r="I716">
        <f>D716*60</f>
        <v/>
      </c>
      <c r="J716">
        <f>COUNTIF(Отзывы!$D:$D, 26981)</f>
        <v/>
      </c>
    </row>
    <row r="717">
      <c r="A717" t="n">
        <v>11079</v>
      </c>
      <c r="B717" t="inlineStr">
        <is>
          <t>five spice roast chicken</t>
        </is>
      </c>
      <c r="C717" t="n">
        <v>377494</v>
      </c>
      <c r="D717" s="4" t="n">
        <v>70</v>
      </c>
      <c r="E717" s="1" t="n">
        <v>39980</v>
      </c>
      <c r="F717" t="inlineStr">
        <is>
          <t>from bon appetit...time does not include marinating time...1 hour to overnight...you pick.</t>
        </is>
      </c>
      <c r="G717" t="n">
        <v>6</v>
      </c>
      <c r="H717" t="n">
        <v>4200</v>
      </c>
      <c r="I717">
        <f>D717*60</f>
        <v/>
      </c>
      <c r="J717">
        <f>COUNTIF(Отзывы!$D:$D, 377494)</f>
        <v/>
      </c>
    </row>
    <row r="718">
      <c r="A718" t="n">
        <v>21847</v>
      </c>
      <c r="B718" t="inlineStr">
        <is>
          <t>quick   light chicken toscana soup insired by macaroni grill</t>
        </is>
      </c>
      <c r="C718" t="n">
        <v>377795</v>
      </c>
      <c r="D718" s="4" t="n">
        <v>35</v>
      </c>
      <c r="E718" s="1" t="n">
        <v>39982</v>
      </c>
      <c r="F718" t="inlineStr">
        <is>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is>
      </c>
      <c r="G718" t="n">
        <v>11</v>
      </c>
      <c r="H718" t="n">
        <v>2100</v>
      </c>
      <c r="I718">
        <f>D718*60</f>
        <v/>
      </c>
      <c r="J718">
        <f>COUNTIF(Отзывы!$D:$D, 377795)</f>
        <v/>
      </c>
    </row>
    <row r="719">
      <c r="A719" t="n">
        <v>1553</v>
      </c>
      <c r="B719" t="inlineStr">
        <is>
          <t>awesome healthy black bean soup</t>
        </is>
      </c>
      <c r="C719" t="n">
        <v>360299</v>
      </c>
      <c r="D719" s="4" t="n">
        <v>40</v>
      </c>
      <c r="E719" s="1" t="n">
        <v>39883</v>
      </c>
      <c r="F719" t="inlineStr">
        <is>
          <t>i've made black bean soup a few different times, each time tweaking it to adjust to my taste. this is really good and is really good for you!</t>
        </is>
      </c>
      <c r="G719" t="n">
        <v>10</v>
      </c>
      <c r="H719" t="n">
        <v>2400</v>
      </c>
      <c r="I719">
        <f>D719*60</f>
        <v/>
      </c>
      <c r="J719">
        <f>COUNTIF(Отзывы!$D:$D, 360299)</f>
        <v/>
      </c>
    </row>
    <row r="720">
      <c r="A720" t="n">
        <v>6398</v>
      </c>
      <c r="B720" t="inlineStr">
        <is>
          <t>chive green beans</t>
        </is>
      </c>
      <c r="C720" t="n">
        <v>337857</v>
      </c>
      <c r="D720" s="6" t="n">
        <v>10</v>
      </c>
      <c r="E720" s="1" t="n">
        <v>39769</v>
      </c>
      <c r="F720" t="inlineStr">
        <is>
          <t>cooking light. march 2004.</t>
        </is>
      </c>
      <c r="G720" t="n">
        <v>7</v>
      </c>
      <c r="H720" t="n">
        <v>600</v>
      </c>
      <c r="I720">
        <f>D720*60</f>
        <v/>
      </c>
      <c r="J720">
        <f>COUNTIF(Отзывы!$D:$D, 337857)</f>
        <v/>
      </c>
    </row>
    <row r="721">
      <c r="A721" t="n">
        <v>18166</v>
      </c>
      <c r="B721" t="inlineStr">
        <is>
          <t>mother s scratch cake</t>
        </is>
      </c>
      <c r="C721" t="n">
        <v>51744</v>
      </c>
      <c r="D721" s="4" t="n">
        <v>50</v>
      </c>
      <c r="E721" s="1" t="n">
        <v>37638</v>
      </c>
      <c r="F721" t="inlineStr">
        <is>
          <t>this cake recipe was my grandmother's. every step is how she did it. i loved this cake so much. i wish she was still here so she could share this with all of you, but she is not, so in her memory i will. in loving memory of my grandmother, beulah register.</t>
        </is>
      </c>
      <c r="G721" t="n">
        <v>7</v>
      </c>
      <c r="H721" t="n">
        <v>3000</v>
      </c>
      <c r="I721">
        <f>D721*60</f>
        <v/>
      </c>
      <c r="J721">
        <f>COUNTIF(Отзывы!$D:$D, 51744)</f>
        <v/>
      </c>
    </row>
    <row r="722">
      <c r="A722" t="n">
        <v>16883</v>
      </c>
      <c r="B722" t="inlineStr">
        <is>
          <t>mango tango protein shake    smoothie</t>
        </is>
      </c>
      <c r="C722" t="n">
        <v>162121</v>
      </c>
      <c r="D722" s="6" t="n">
        <v>5</v>
      </c>
      <c r="E722" s="1" t="n">
        <v>38805</v>
      </c>
      <c r="F722" t="inlineStr">
        <is>
          <t>i love this creamy mango protein shake recipe! it is so easy to make and perfect for a healthy breakfast or a mid-afternoon snack. the health benefits of mangoes also make this an attractive breakfast option. mangoes are rich in fat-soluble antioxidants called carotenoids, which are beneficial for individuals with angina, high cholesterol, heart disease and acne.  this low-sodium smoothie is also a wonderful source of vitamin c and potassium. enjoy! try to use organic ingredients if possible for the best taste and a healthier smoothie.</t>
        </is>
      </c>
      <c r="G722" t="n">
        <v>6</v>
      </c>
      <c r="H722" t="n">
        <v>300</v>
      </c>
      <c r="I722">
        <f>D722*60</f>
        <v/>
      </c>
      <c r="J722">
        <f>COUNTIF(Отзывы!$D:$D, 162121)</f>
        <v/>
      </c>
    </row>
    <row r="723">
      <c r="A723" t="n">
        <v>19028</v>
      </c>
      <c r="B723" t="inlineStr">
        <is>
          <t>oktoberfest kraut  sausage spareribs and potatoes</t>
        </is>
      </c>
      <c r="C723" t="n">
        <v>328569</v>
      </c>
      <c r="D723" s="4" t="n">
        <v>260</v>
      </c>
      <c r="E723" s="1" t="n">
        <v>39723</v>
      </c>
      <c r="F723" t="inlineStr">
        <is>
          <t>my dear husband has evolved this recipe over the years.  he almost always makes it, but the other day he wrote it down since he was going to be home late and we had guests coming for dinner to have this very dish.  i decided it needed to be shared since we have so many requests for it and after all, it's amost oktoberfest time.  we eat it at least twice monthly, and simply vary it a bit with the meat.  this can also be made in the crockpot and cooked at least 4 hours on high and 4 hours on low.  you may have to experiment since crockpots are different.</t>
        </is>
      </c>
      <c r="H723" t="n">
        <v>15600</v>
      </c>
      <c r="I723">
        <f>D723*60</f>
        <v/>
      </c>
      <c r="J723">
        <f>COUNTIF(Отзывы!$D:$D, 328569)</f>
        <v/>
      </c>
    </row>
    <row r="724">
      <c r="A724" t="n">
        <v>1787</v>
      </c>
      <c r="B724" t="inlineStr">
        <is>
          <t>baked chicken fingers</t>
        </is>
      </c>
      <c r="C724" t="n">
        <v>18897</v>
      </c>
      <c r="D724" s="4" t="n">
        <v>28</v>
      </c>
      <c r="E724" s="1" t="n">
        <v>37291</v>
      </c>
      <c r="F724" t="inlineStr">
        <is>
          <t>this is a recipe i created after trying several baked chicken finger recipes. i like this combination of seasonings, but it's always fun to try different things. you could use saltines, other crackers, other spices, etc!</t>
        </is>
      </c>
      <c r="G724" t="n">
        <v>8</v>
      </c>
      <c r="H724" t="n">
        <v>1680</v>
      </c>
      <c r="I724">
        <f>D724*60</f>
        <v/>
      </c>
      <c r="J724">
        <f>COUNTIF(Отзывы!$D:$D, 18897)</f>
        <v/>
      </c>
    </row>
    <row r="725">
      <c r="A725" t="n">
        <v>10008</v>
      </c>
      <c r="B725" t="inlineStr">
        <is>
          <t>easy fried shrimp</t>
        </is>
      </c>
      <c r="C725" t="n">
        <v>87073</v>
      </c>
      <c r="D725" s="4" t="n">
        <v>30</v>
      </c>
      <c r="E725" s="1" t="n">
        <v>38066</v>
      </c>
      <c r="F725" t="inlineStr">
        <is>
          <t>if you like a light, crispy coating on your fried shrimp, so you taste shrimp, not batter, this is the recipe for you. my mom always fried shrimp like this. it's so easy and tastes wonderful.</t>
        </is>
      </c>
      <c r="H725" t="n">
        <v>1800</v>
      </c>
      <c r="I725">
        <f>D725*60</f>
        <v/>
      </c>
      <c r="J725">
        <f>COUNTIF(Отзывы!$D:$D, 87073)</f>
        <v/>
      </c>
    </row>
    <row r="726">
      <c r="A726" t="n">
        <v>4398</v>
      </c>
      <c r="B726" t="inlineStr">
        <is>
          <t>cajun grilled shrimp</t>
        </is>
      </c>
      <c r="C726" t="n">
        <v>43254</v>
      </c>
      <c r="D726" s="4" t="n">
        <v>23</v>
      </c>
      <c r="E726" s="1" t="n">
        <v>37545</v>
      </c>
      <c r="H726" t="n">
        <v>1380</v>
      </c>
      <c r="I726">
        <f>D726*60</f>
        <v/>
      </c>
      <c r="J726">
        <f>COUNTIF(Отзывы!$D:$D, 43254)</f>
        <v/>
      </c>
    </row>
    <row r="727">
      <c r="A727" t="n">
        <v>29779</v>
      </c>
      <c r="B727" t="inlineStr">
        <is>
          <t>yummy quesadillas</t>
        </is>
      </c>
      <c r="C727" t="n">
        <v>364015</v>
      </c>
      <c r="D727" s="4" t="n">
        <v>40</v>
      </c>
      <c r="E727" s="1" t="n">
        <v>39904</v>
      </c>
      <c r="F727" t="inlineStr">
        <is>
          <t>i got this original recipe from top secret restaurant recipes by todd wilbur. haven't made too many changes. sometimes we add seasoned chicken to these as well. they really do taste like something that would come from a restaurant.</t>
        </is>
      </c>
      <c r="G727" t="n">
        <v>13</v>
      </c>
      <c r="H727" t="n">
        <v>2400</v>
      </c>
      <c r="I727">
        <f>D727*60</f>
        <v/>
      </c>
      <c r="J727">
        <f>COUNTIF(Отзывы!$D:$D, 364015)</f>
        <v/>
      </c>
    </row>
    <row r="728" ht="195" customHeight="1">
      <c r="A728" t="n">
        <v>19325</v>
      </c>
      <c r="B728" t="inlineStr">
        <is>
          <t>orange doughnuts with honey  yo yo</t>
        </is>
      </c>
      <c r="C728" t="n">
        <v>172969</v>
      </c>
      <c r="D728" s="4" t="n">
        <v>110</v>
      </c>
      <c r="E728" s="1" t="n">
        <v>38885</v>
      </c>
      <c r="F728" s="2" t="inlineStr">
        <is>
          <t>posted for the zaar world tour 2006-tunisia._x000D_
from the "best of international cooking" cookbook.</t>
        </is>
      </c>
      <c r="G728" t="n">
        <v>11</v>
      </c>
      <c r="H728" t="n">
        <v>6600</v>
      </c>
      <c r="I728">
        <f>D728*60</f>
        <v/>
      </c>
      <c r="J728">
        <f>COUNTIF(Отзывы!$D:$D, 172969)</f>
        <v/>
      </c>
    </row>
    <row r="729">
      <c r="A729" t="n">
        <v>22141</v>
      </c>
      <c r="B729" t="inlineStr">
        <is>
          <t>ranched  up chicken bacon parmesan cups with fresh chives  rsc</t>
        </is>
      </c>
      <c r="C729" t="n">
        <v>494901</v>
      </c>
      <c r="D729" s="4" t="n">
        <v>27</v>
      </c>
      <c r="E729" s="1" t="n">
        <v>41312</v>
      </c>
      <c r="F729" t="inlineStr">
        <is>
          <t>“ready, set, cook! hidden valley contest entry”</t>
        </is>
      </c>
      <c r="G729" t="n">
        <v>11</v>
      </c>
      <c r="H729" t="n">
        <v>1620</v>
      </c>
      <c r="I729">
        <f>D729*60</f>
        <v/>
      </c>
      <c r="J729">
        <f>COUNTIF(Отзывы!$D:$D, 494901)</f>
        <v/>
      </c>
    </row>
    <row r="730">
      <c r="A730" t="n">
        <v>11321</v>
      </c>
      <c r="B730" t="inlineStr">
        <is>
          <t>french wheat bread  bread machine</t>
        </is>
      </c>
      <c r="C730" t="n">
        <v>55566</v>
      </c>
      <c r="D730" s="4" t="n">
        <v>130</v>
      </c>
      <c r="E730" s="1" t="n">
        <v>37684</v>
      </c>
      <c r="F730" t="inlineStr">
        <is>
          <t>ooh, la la! a simple recipe for simply delicious, wonderful bread! this versatile, slightly shorter, loaf goes with anything - beef, pasta, chicken, fish - but stands alone with a simple pat of butter, too. this one is bound to become a repeat visitor to your dinner table! from electric bread!</t>
        </is>
      </c>
      <c r="H730" t="n">
        <v>7800</v>
      </c>
      <c r="I730">
        <f>D730*60</f>
        <v/>
      </c>
      <c r="J730">
        <f>COUNTIF(Отзывы!$D:$D, 55566)</f>
        <v/>
      </c>
    </row>
    <row r="731">
      <c r="A731" t="n">
        <v>18954</v>
      </c>
      <c r="B731" t="inlineStr">
        <is>
          <t>oatmeal coconut cookies</t>
        </is>
      </c>
      <c r="C731" t="n">
        <v>60551</v>
      </c>
      <c r="D731" s="4" t="n">
        <v>22</v>
      </c>
      <c r="E731" s="1" t="n">
        <v>37733</v>
      </c>
      <c r="F731" t="inlineStr">
        <is>
          <t>these cookies have been a favorite of my husband's since he was little. i have to agree with him they are quite yummy. i hope you enjoy them. one thing, watch closely so they don't over-cook.</t>
        </is>
      </c>
      <c r="G731" t="n">
        <v>9</v>
      </c>
      <c r="H731" t="n">
        <v>1320</v>
      </c>
      <c r="I731">
        <f>D731*60</f>
        <v/>
      </c>
      <c r="J731">
        <f>COUNTIF(Отзывы!$D:$D, 60551)</f>
        <v/>
      </c>
    </row>
    <row r="732">
      <c r="A732" t="n">
        <v>4396</v>
      </c>
      <c r="B732" t="inlineStr">
        <is>
          <t>cajun gingerbread</t>
        </is>
      </c>
      <c r="C732" t="n">
        <v>367635</v>
      </c>
      <c r="D732" s="4" t="n">
        <v>45</v>
      </c>
      <c r="E732" s="1" t="n">
        <v>39927</v>
      </c>
      <c r="F732" t="inlineStr">
        <is>
          <t>from a cookbook published in new iberia, louisiana.</t>
        </is>
      </c>
      <c r="G732" t="n">
        <v>13</v>
      </c>
      <c r="H732" t="n">
        <v>2700</v>
      </c>
      <c r="I732">
        <f>D732*60</f>
        <v/>
      </c>
      <c r="J732">
        <f>COUNTIF(Отзывы!$D:$D, 367635)</f>
        <v/>
      </c>
    </row>
    <row r="733">
      <c r="A733" t="n">
        <v>8593</v>
      </c>
      <c r="B733" t="inlineStr">
        <is>
          <t>crock pot caramelized onion pot roast</t>
        </is>
      </c>
      <c r="C733" t="n">
        <v>30154</v>
      </c>
      <c r="D733" s="4" t="n">
        <v>505</v>
      </c>
      <c r="E733" s="1" t="n">
        <v>37410</v>
      </c>
      <c r="F733" t="inlineStr">
        <is>
          <t>another crock pot winner! the onions become meltingly tender. make sure to serve with crusty bread to dip into the juices!</t>
        </is>
      </c>
      <c r="H733" t="n">
        <v>30300</v>
      </c>
      <c r="I733">
        <f>D733*60</f>
        <v/>
      </c>
      <c r="J733">
        <f>COUNTIF(Отзывы!$D:$D, 30154)</f>
        <v/>
      </c>
    </row>
    <row r="734">
      <c r="A734" t="n">
        <v>13051</v>
      </c>
      <c r="B734" t="inlineStr">
        <is>
          <t>grilled thai thighs</t>
        </is>
      </c>
      <c r="C734" t="n">
        <v>228909</v>
      </c>
      <c r="D734" s="4" t="n">
        <v>55</v>
      </c>
      <c r="E734" s="1" t="n">
        <v>39221</v>
      </c>
      <c r="F734" t="inlineStr">
        <is>
          <t>the sweet and spicy are a great combination.  there is also an oven method of cooking but i have only tried grilling them.  did not include marinating time in prep time.</t>
        </is>
      </c>
      <c r="G734" t="n">
        <v>6</v>
      </c>
      <c r="H734" t="n">
        <v>3300</v>
      </c>
      <c r="I734">
        <f>D734*60</f>
        <v/>
      </c>
      <c r="J734">
        <f>COUNTIF(Отзывы!$D:$D, 228909)</f>
        <v/>
      </c>
    </row>
    <row r="735" ht="409.5" customHeight="1">
      <c r="A735" t="n">
        <v>22845</v>
      </c>
      <c r="B735" t="inlineStr">
        <is>
          <t>roasted sliced brussels sprouts with garlic</t>
        </is>
      </c>
      <c r="C735" t="n">
        <v>448448</v>
      </c>
      <c r="D735" s="4" t="n">
        <v>40</v>
      </c>
      <c r="E735" s="1" t="n">
        <v>40582</v>
      </c>
      <c r="F735" s="2" t="inlineStr">
        <is>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is>
      </c>
      <c r="G735" t="n">
        <v>7</v>
      </c>
      <c r="H735" t="n">
        <v>2400</v>
      </c>
      <c r="I735">
        <f>D735*60</f>
        <v/>
      </c>
      <c r="J735">
        <f>COUNTIF(Отзывы!$D:$D, 448448)</f>
        <v/>
      </c>
    </row>
    <row r="736">
      <c r="A736" t="n">
        <v>22181</v>
      </c>
      <c r="B736" t="inlineStr">
        <is>
          <t>raspberry cupcakes</t>
        </is>
      </c>
      <c r="C736" t="n">
        <v>18705</v>
      </c>
      <c r="D736" s="4" t="n">
        <v>20</v>
      </c>
      <c r="E736" s="1" t="n">
        <v>37289</v>
      </c>
      <c r="F736" t="inlineStr">
        <is>
          <t>a fabulous dessert that requires no cooking and is easy to make. young people love this dessert and especially when the weather is warm. i found this recipe in an old cookbook and then modified to the new products that we have today to make them tastier.</t>
        </is>
      </c>
      <c r="G736" t="n">
        <v>7</v>
      </c>
      <c r="H736" t="n">
        <v>1200</v>
      </c>
      <c r="I736">
        <f>D736*60</f>
        <v/>
      </c>
      <c r="J736">
        <f>COUNTIF(Отзывы!$D:$D, 18705)</f>
        <v/>
      </c>
    </row>
    <row r="737">
      <c r="A737" t="n">
        <v>29922</v>
      </c>
      <c r="B737" t="inlineStr">
        <is>
          <t>zucchini carrot muffins</t>
        </is>
      </c>
      <c r="C737" t="n">
        <v>118885</v>
      </c>
      <c r="D737" s="4" t="n">
        <v>37</v>
      </c>
      <c r="E737" s="1" t="n">
        <v>38466</v>
      </c>
      <c r="F737" t="inlineStr">
        <is>
          <t>this recipe was entered into a muffin contest. it's from taste of home. it was entered by loretta blaine. i think this sounds delicious! it was in the top 12.</t>
        </is>
      </c>
      <c r="H737" t="n">
        <v>2220</v>
      </c>
      <c r="I737">
        <f>D737*60</f>
        <v/>
      </c>
      <c r="J737">
        <f>COUNTIF(Отзывы!$D:$D, 118885)</f>
        <v/>
      </c>
    </row>
    <row r="738">
      <c r="A738" t="n">
        <v>10900</v>
      </c>
      <c r="B738" t="inlineStr">
        <is>
          <t>feta  dip on ritz</t>
        </is>
      </c>
      <c r="C738" t="n">
        <v>426026</v>
      </c>
      <c r="D738" s="6" t="n">
        <v>10</v>
      </c>
      <c r="E738" s="1" t="n">
        <v>40315</v>
      </c>
      <c r="F738" t="inlineStr">
        <is>
          <t>a nice appetizer; zaar 6.</t>
        </is>
      </c>
      <c r="H738" t="n">
        <v>600</v>
      </c>
      <c r="I738">
        <f>D738*60</f>
        <v/>
      </c>
      <c r="J738">
        <f>COUNTIF(Отзывы!$D:$D, 426026)</f>
        <v/>
      </c>
    </row>
    <row r="739">
      <c r="A739" t="n">
        <v>14230</v>
      </c>
      <c r="B739" t="inlineStr">
        <is>
          <t>hot peanut butter chocolate</t>
        </is>
      </c>
      <c r="C739" t="n">
        <v>306323</v>
      </c>
      <c r="D739" s="6" t="n">
        <v>10</v>
      </c>
      <c r="E739" s="1" t="n">
        <v>39598</v>
      </c>
      <c r="F739" t="inlineStr">
        <is>
          <t>creamy peanut butter gives the traditional hot chocolate a littel twist! adapted from the nut gourmet cookbook by zel allen.</t>
        </is>
      </c>
      <c r="G739" t="n">
        <v>5</v>
      </c>
      <c r="H739" t="n">
        <v>600</v>
      </c>
      <c r="I739">
        <f>D739*60</f>
        <v/>
      </c>
      <c r="J739">
        <f>COUNTIF(Отзывы!$D:$D, 306323)</f>
        <v/>
      </c>
    </row>
    <row r="740">
      <c r="A740" t="n">
        <v>27920</v>
      </c>
      <c r="B740" t="inlineStr">
        <is>
          <t>tortilla wraps from scratch</t>
        </is>
      </c>
      <c r="C740" t="n">
        <v>224356</v>
      </c>
      <c r="D740" s="4" t="n">
        <v>45</v>
      </c>
      <c r="E740" s="1" t="n">
        <v>39195</v>
      </c>
      <c r="F740" t="inlineStr">
        <is>
          <t>roll out your own delicate soft tortilla shells and prepare to impress!  these may be a tad time-consuming, but are worth it when you want your mexican meal to be special. they have a wonderful flavour, too!</t>
        </is>
      </c>
      <c r="G740" t="n">
        <v>5</v>
      </c>
      <c r="H740" t="n">
        <v>2700</v>
      </c>
      <c r="I740">
        <f>D740*60</f>
        <v/>
      </c>
      <c r="J740">
        <f>COUNTIF(Отзывы!$D:$D, 224356)</f>
        <v/>
      </c>
    </row>
    <row r="741">
      <c r="A741" t="n">
        <v>364</v>
      </c>
      <c r="B741" t="inlineStr">
        <is>
          <t>african dried fruit chutney</t>
        </is>
      </c>
      <c r="C741" t="n">
        <v>172783</v>
      </c>
      <c r="D741" s="4" t="n">
        <v>110</v>
      </c>
      <c r="E741" s="1" t="n">
        <v>38883</v>
      </c>
      <c r="F741" t="inlineStr">
        <is>
          <t>posting this for zwt 2006. i can't wait to try this one myself... any excuse to make a curry dish and well if i have a good chutney i am obliged to make a curry aren't i   :-p ??  this recipe assumes knowledge of safe canning practices.</t>
        </is>
      </c>
      <c r="G741" t="n">
        <v>15</v>
      </c>
      <c r="H741" t="n">
        <v>6600</v>
      </c>
      <c r="I741">
        <f>D741*60</f>
        <v/>
      </c>
      <c r="J741">
        <f>COUNTIF(Отзывы!$D:$D, 172783)</f>
        <v/>
      </c>
    </row>
    <row r="742" ht="409.5" customHeight="1">
      <c r="A742" t="n">
        <v>11650</v>
      </c>
      <c r="B742" t="inlineStr">
        <is>
          <t>fsd   fried rice with pineapple and tofu</t>
        </is>
      </c>
      <c r="C742" t="n">
        <v>189507</v>
      </c>
      <c r="D742" s="4" t="n">
        <v>22</v>
      </c>
      <c r="E742" s="1" t="n">
        <v>38998</v>
      </c>
      <c r="F742" s="2" t="inlineStr">
        <is>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tofu_x000D_
_x000D_
the brown rice in this dish is nuttier-tasting and better for you than white. long-grain brown rice tends to be a little milder than short-grain, but whichever you use, be sure to start this recipe using cold cooked rice.</t>
        </is>
      </c>
      <c r="G742" t="n">
        <v>12</v>
      </c>
      <c r="H742" t="n">
        <v>1320</v>
      </c>
      <c r="I742">
        <f>D742*60</f>
        <v/>
      </c>
      <c r="J742">
        <f>COUNTIF(Отзывы!$D:$D, 189507)</f>
        <v/>
      </c>
    </row>
    <row r="743">
      <c r="A743" t="n">
        <v>20108</v>
      </c>
      <c r="B743" t="inlineStr">
        <is>
          <t>peach and kiwi salad with peach dressing</t>
        </is>
      </c>
      <c r="C743" t="n">
        <v>279740</v>
      </c>
      <c r="D743" s="4" t="n">
        <v>30</v>
      </c>
      <c r="E743" s="1" t="n">
        <v>39464</v>
      </c>
      <c r="F743" t="inlineStr">
        <is>
          <t>found a photocopy of this in my recipe file. mrs. h.d. baxter of charleston, wv is named as the contributor.</t>
        </is>
      </c>
      <c r="G743" t="n">
        <v>12</v>
      </c>
      <c r="H743" t="n">
        <v>1800</v>
      </c>
      <c r="I743">
        <f>D743*60</f>
        <v/>
      </c>
      <c r="J743">
        <f>COUNTIF(Отзывы!$D:$D, 279740)</f>
        <v/>
      </c>
    </row>
    <row r="744">
      <c r="A744" t="n">
        <v>11456</v>
      </c>
      <c r="B744" t="inlineStr">
        <is>
          <t>fried bread and eggs</t>
        </is>
      </c>
      <c r="C744" t="n">
        <v>367945</v>
      </c>
      <c r="D744" s="4" t="n">
        <v>35</v>
      </c>
      <c r="E744" s="1" t="n">
        <v>39928</v>
      </c>
      <c r="F744" t="inlineStr">
        <is>
          <t>we eat this at dinner, but it can be a breakfast item, too.  we never had a name for it, so we just call it fried bread and eggs.  it sounds strange to soak the bread in water, but it doesn't come out right if you don't.</t>
        </is>
      </c>
      <c r="G744" t="n">
        <v>6</v>
      </c>
      <c r="H744" t="n">
        <v>2100</v>
      </c>
      <c r="I744">
        <f>D744*60</f>
        <v/>
      </c>
      <c r="J744">
        <f>COUNTIF(Отзывы!$D:$D, 367945)</f>
        <v/>
      </c>
    </row>
    <row r="745">
      <c r="A745" t="n">
        <v>28868</v>
      </c>
      <c r="B745" t="inlineStr">
        <is>
          <t>vidalia onion cheese dip</t>
        </is>
      </c>
      <c r="C745" t="n">
        <v>44985</v>
      </c>
      <c r="D745" s="4" t="n">
        <v>40</v>
      </c>
      <c r="E745" s="1" t="n">
        <v>37560</v>
      </c>
      <c r="F745" t="inlineStr">
        <is>
          <t>if you like sweet onions, you will like this dip. served hot and bubbly.</t>
        </is>
      </c>
      <c r="G745" t="n">
        <v>6</v>
      </c>
      <c r="H745" t="n">
        <v>2400</v>
      </c>
      <c r="I745">
        <f>D745*60</f>
        <v/>
      </c>
      <c r="J745">
        <f>COUNTIF(Отзывы!$D:$D, 44985)</f>
        <v/>
      </c>
    </row>
    <row r="746">
      <c r="A746" t="n">
        <v>14942</v>
      </c>
      <c r="B746" t="inlineStr">
        <is>
          <t>jell o lime margarita  virgin  smoothie</t>
        </is>
      </c>
      <c r="C746" t="n">
        <v>20165</v>
      </c>
      <c r="D746" s="6" t="n">
        <v>5</v>
      </c>
      <c r="E746" s="1" t="n">
        <v>37306</v>
      </c>
      <c r="F746" t="inlineStr">
        <is>
          <t>go green with this beverage from the folks at jell-o!</t>
        </is>
      </c>
      <c r="G746" t="n">
        <v>5</v>
      </c>
      <c r="H746" t="n">
        <v>300</v>
      </c>
      <c r="I746">
        <f>D746*60</f>
        <v/>
      </c>
      <c r="J746">
        <f>COUNTIF(Отзывы!$D:$D, 20165)</f>
        <v/>
      </c>
    </row>
    <row r="747">
      <c r="A747" t="n">
        <v>1446</v>
      </c>
      <c r="B747" t="inlineStr">
        <is>
          <t>autumn apple cupcakes with cream cheese frosting</t>
        </is>
      </c>
      <c r="C747" t="n">
        <v>54968</v>
      </c>
      <c r="D747" s="4" t="n">
        <v>45</v>
      </c>
      <c r="E747" s="1" t="n">
        <v>37678</v>
      </c>
      <c r="F747" t="inlineStr">
        <is>
          <t>cupcakes great for picnics, lunch boxes, and afternoon snacks. easy to prepare and easy to eat, these cupcakes are filled with grated apple and spices toped with a cream cheese frosting. (from bake and freeze desserts by elinor klivans)</t>
        </is>
      </c>
      <c r="H747" t="n">
        <v>2700</v>
      </c>
      <c r="I747">
        <f>D747*60</f>
        <v/>
      </c>
      <c r="J747">
        <f>COUNTIF(Отзывы!$D:$D, 54968)</f>
        <v/>
      </c>
    </row>
    <row r="748">
      <c r="A748" t="n">
        <v>13770</v>
      </c>
      <c r="B748" t="inlineStr">
        <is>
          <t>hoisin chicken crepes</t>
        </is>
      </c>
      <c r="C748" t="n">
        <v>405166</v>
      </c>
      <c r="D748" s="4" t="n">
        <v>45</v>
      </c>
      <c r="E748" s="1" t="n">
        <v>40175</v>
      </c>
      <c r="F748" t="inlineStr">
        <is>
          <t>from recipe+ magazine.  assume you would prepare vegetable and chicken while crepe mix is resting for 15 minutes before cooking.</t>
        </is>
      </c>
      <c r="G748" t="n">
        <v>9</v>
      </c>
      <c r="H748" t="n">
        <v>2700</v>
      </c>
      <c r="I748">
        <f>D748*60</f>
        <v/>
      </c>
      <c r="J748">
        <f>COUNTIF(Отзывы!$D:$D, 405166)</f>
        <v/>
      </c>
    </row>
    <row r="749">
      <c r="A749" t="n">
        <v>9569</v>
      </c>
      <c r="B749" t="inlineStr">
        <is>
          <t>double chocolate chip mega muffins</t>
        </is>
      </c>
      <c r="C749" t="n">
        <v>64771</v>
      </c>
      <c r="D749" s="4" t="n">
        <v>30</v>
      </c>
      <c r="E749" s="1" t="n">
        <v>37789</v>
      </c>
      <c r="F749" t="inlineStr">
        <is>
          <t>rich, dense chocolate muffins.</t>
        </is>
      </c>
      <c r="G749" t="n">
        <v>7</v>
      </c>
      <c r="H749" t="n">
        <v>1800</v>
      </c>
      <c r="I749">
        <f>D749*60</f>
        <v/>
      </c>
      <c r="J749">
        <f>COUNTIF(Отзывы!$D:$D, 64771)</f>
        <v/>
      </c>
    </row>
    <row r="750">
      <c r="A750" t="n">
        <v>6998</v>
      </c>
      <c r="B750" t="inlineStr">
        <is>
          <t>cinnamon applesauce</t>
        </is>
      </c>
      <c r="C750" t="n">
        <v>18554</v>
      </c>
      <c r="D750" s="4" t="n">
        <v>40</v>
      </c>
      <c r="E750" s="1" t="n">
        <v>37287</v>
      </c>
      <c r="F750" t="inlineStr">
        <is>
          <t>i have been making this sauce for over 10 years and it is thoroughly enjoyed by all and especially most children. i am not certain where this recipe originated, but i have experimented with it and came up with this tasty sauce.</t>
        </is>
      </c>
      <c r="H750" t="n">
        <v>2400</v>
      </c>
      <c r="I750">
        <f>D750*60</f>
        <v/>
      </c>
      <c r="J750">
        <f>COUNTIF(Отзывы!$D:$D, 18554)</f>
        <v/>
      </c>
    </row>
    <row r="751">
      <c r="A751" t="n">
        <v>12062</v>
      </c>
      <c r="B751" t="inlineStr">
        <is>
          <t>gingered pork medallions</t>
        </is>
      </c>
      <c r="C751" t="n">
        <v>129260</v>
      </c>
      <c r="D751" s="4" t="n">
        <v>45</v>
      </c>
      <c r="E751" s="1" t="n">
        <v>38544</v>
      </c>
      <c r="F751" t="inlineStr">
        <is>
          <t>a quick skillet recipe from the maple syrup cookbook by ken haedrich. this dish with asian flavors can also be made with pork tenderloins or boneless chicken breasts. great served with rice.</t>
        </is>
      </c>
      <c r="G751" t="n">
        <v>12</v>
      </c>
      <c r="H751" t="n">
        <v>2700</v>
      </c>
      <c r="I751">
        <f>D751*60</f>
        <v/>
      </c>
      <c r="J751">
        <f>COUNTIF(Отзывы!$D:$D, 129260)</f>
        <v/>
      </c>
    </row>
    <row r="752">
      <c r="A752" t="n">
        <v>7267</v>
      </c>
      <c r="B752" t="inlineStr">
        <is>
          <t>coconut bar cookies</t>
        </is>
      </c>
      <c r="C752" t="n">
        <v>285081</v>
      </c>
      <c r="D752" s="4" t="n">
        <v>25</v>
      </c>
      <c r="E752" s="1" t="n">
        <v>39486</v>
      </c>
      <c r="F752" t="inlineStr">
        <is>
          <t>this is a scaled down recipe for when you just want a little something sweet without the temptation of having too much.</t>
        </is>
      </c>
      <c r="G752" t="n">
        <v>6</v>
      </c>
      <c r="H752" t="n">
        <v>1500</v>
      </c>
      <c r="I752">
        <f>D752*60</f>
        <v/>
      </c>
      <c r="J752">
        <f>COUNTIF(Отзывы!$D:$D, 285081)</f>
        <v/>
      </c>
    </row>
    <row r="753">
      <c r="A753" t="n">
        <v>11956</v>
      </c>
      <c r="B753" t="inlineStr">
        <is>
          <t>ghost cookies</t>
        </is>
      </c>
      <c r="C753" t="n">
        <v>41897</v>
      </c>
      <c r="D753" s="4" t="n">
        <v>20</v>
      </c>
      <c r="E753" s="1" t="n">
        <v>37531</v>
      </c>
      <c r="F753" t="inlineStr">
        <is>
          <t>ghost cookies. i saw these in a ladies magazine and thought they were so cute. i haven't tried them yet so let me know how you like them.</t>
        </is>
      </c>
      <c r="G753" t="n">
        <v>3</v>
      </c>
      <c r="H753" t="n">
        <v>1200</v>
      </c>
      <c r="I753">
        <f>D753*60</f>
        <v/>
      </c>
      <c r="J753">
        <f>COUNTIF(Отзывы!$D:$D, 41897)</f>
        <v/>
      </c>
    </row>
    <row r="754">
      <c r="A754" t="n">
        <v>28258</v>
      </c>
      <c r="B754" t="inlineStr">
        <is>
          <t>turtle chimichangas dessert</t>
        </is>
      </c>
      <c r="C754" t="n">
        <v>281971</v>
      </c>
      <c r="D754" s="4" t="n">
        <v>25</v>
      </c>
      <c r="E754" s="1" t="n">
        <v>39475</v>
      </c>
      <c r="F754" t="inlineStr">
        <is>
          <t>these are oh-so-good, and worth every calorie.  i make this special treat for the kids one or two times a year, as  dessert with a mexican meal. (well, okay, i also enjoy them as a "special treat" for myself.)</t>
        </is>
      </c>
      <c r="H754" t="n">
        <v>1500</v>
      </c>
      <c r="I754">
        <f>D754*60</f>
        <v/>
      </c>
      <c r="J754">
        <f>COUNTIF(Отзывы!$D:$D, 281971)</f>
        <v/>
      </c>
    </row>
    <row r="755">
      <c r="A755" t="n">
        <v>11182</v>
      </c>
      <c r="B755" t="inlineStr">
        <is>
          <t>foil roasted smoked beets   jamie oliver</t>
        </is>
      </c>
      <c r="C755" t="n">
        <v>320274</v>
      </c>
      <c r="D755" s="4" t="n">
        <v>50</v>
      </c>
      <c r="E755" s="1" t="n">
        <v>39678</v>
      </c>
      <c r="F755" t="inlineStr">
        <is>
          <t>from chef jamie oliver's show "jamie at home," episode "carrots and beets."</t>
        </is>
      </c>
      <c r="H755" t="n">
        <v>3000</v>
      </c>
      <c r="I755">
        <f>D755*60</f>
        <v/>
      </c>
      <c r="J755">
        <f>COUNTIF(Отзывы!$D:$D, 320274)</f>
        <v/>
      </c>
    </row>
    <row r="756">
      <c r="A756" t="n">
        <v>5949</v>
      </c>
      <c r="B756" t="inlineStr">
        <is>
          <t>chicken salad milanese</t>
        </is>
      </c>
      <c r="C756" t="n">
        <v>187701</v>
      </c>
      <c r="D756" s="4" t="n">
        <v>25</v>
      </c>
      <c r="E756" s="1" t="n">
        <v>38986</v>
      </c>
      <c r="F756" t="inlineStr">
        <is>
          <t>by lori longbotham, from fine cooking #66.  in winter, when good tomatoes are no longer possible, use finely shaved, fresh fennel.</t>
        </is>
      </c>
      <c r="H756" t="n">
        <v>1500</v>
      </c>
      <c r="I756">
        <f>D756*60</f>
        <v/>
      </c>
      <c r="J756">
        <f>COUNTIF(Отзывы!$D:$D, 187701)</f>
        <v/>
      </c>
    </row>
    <row r="757">
      <c r="A757" t="n">
        <v>12999</v>
      </c>
      <c r="B757" t="inlineStr">
        <is>
          <t>grilled salmon fillets with creamy horseradish sauce</t>
        </is>
      </c>
      <c r="C757" t="n">
        <v>75279</v>
      </c>
      <c r="D757" s="4" t="n">
        <v>18</v>
      </c>
      <c r="E757" s="1" t="n">
        <v>37928</v>
      </c>
      <c r="F757" t="inlineStr">
        <is>
          <t>grilled salmon with a savory blend of horseradish and soy.</t>
        </is>
      </c>
      <c r="G757" t="n">
        <v>12</v>
      </c>
      <c r="H757" t="n">
        <v>1080</v>
      </c>
      <c r="I757">
        <f>D757*60</f>
        <v/>
      </c>
      <c r="J757">
        <f>COUNTIF(Отзывы!$D:$D, 75279)</f>
        <v/>
      </c>
    </row>
    <row r="758">
      <c r="A758" t="n">
        <v>4725</v>
      </c>
      <c r="B758" t="inlineStr">
        <is>
          <t>caribbean baked chicken thighs</t>
        </is>
      </c>
      <c r="C758" t="n">
        <v>372724</v>
      </c>
      <c r="D758" s="4" t="n">
        <v>105</v>
      </c>
      <c r="E758" s="1" t="n">
        <v>39952</v>
      </c>
      <c r="F758" t="inlineStr">
        <is>
          <t>this recipe came from an estate sale.  the family collection was purchased in mesquite, tx in 2000.  posted for zwt5.</t>
        </is>
      </c>
      <c r="G758" t="n">
        <v>11</v>
      </c>
      <c r="H758" t="n">
        <v>6300</v>
      </c>
      <c r="I758">
        <f>D758*60</f>
        <v/>
      </c>
      <c r="J758">
        <f>COUNTIF(Отзывы!$D:$D, 372724)</f>
        <v/>
      </c>
    </row>
    <row r="759">
      <c r="A759" t="n">
        <v>18229</v>
      </c>
      <c r="B759" t="inlineStr">
        <is>
          <t>mud squares</t>
        </is>
      </c>
      <c r="C759" t="n">
        <v>82138</v>
      </c>
      <c r="D759" s="4" t="n">
        <v>60</v>
      </c>
      <c r="E759" s="1" t="n">
        <v>38012</v>
      </c>
      <c r="F759" t="inlineStr">
        <is>
          <t>these are cake-like brownies, very moist and easy to make. the oatmeal gives them an interesting texture and adds a bit of fiber, too. i like to serve them with chocolate chip mint ice cream.</t>
        </is>
      </c>
      <c r="H759" t="n">
        <v>3600</v>
      </c>
      <c r="I759">
        <f>D759*60</f>
        <v/>
      </c>
      <c r="J759">
        <f>COUNTIF(Отзывы!$D:$D, 82138)</f>
        <v/>
      </c>
    </row>
    <row r="760">
      <c r="A760" t="n">
        <v>4020</v>
      </c>
      <c r="B760" t="inlineStr">
        <is>
          <t>brussels sprouts  asparagus   bell pepper medley</t>
        </is>
      </c>
      <c r="C760" t="n">
        <v>471721</v>
      </c>
      <c r="D760" s="4" t="n">
        <v>30</v>
      </c>
      <c r="E760" s="1" t="n">
        <v>40918</v>
      </c>
      <c r="F760" t="inlineStr">
        <is>
          <t>an asian style way to enhance brussels sprouts! i created this for a quick and easy side for leftover lo mein noodles.</t>
        </is>
      </c>
      <c r="G760" t="n">
        <v>9</v>
      </c>
      <c r="H760" t="n">
        <v>1800</v>
      </c>
      <c r="I760">
        <f>D760*60</f>
        <v/>
      </c>
      <c r="J760">
        <f>COUNTIF(Отзывы!$D:$D, 471721)</f>
        <v/>
      </c>
    </row>
    <row r="761">
      <c r="A761" t="n">
        <v>12531</v>
      </c>
      <c r="B761" t="inlineStr">
        <is>
          <t>greek chicken pita salad</t>
        </is>
      </c>
      <c r="C761" t="n">
        <v>94252</v>
      </c>
      <c r="D761" s="4" t="n">
        <v>180</v>
      </c>
      <c r="E761" s="1" t="n">
        <v>38163</v>
      </c>
      <c r="F761" t="inlineStr">
        <is>
          <t>this makes a great lunch, plan ahead, the chicken mixture has to stay in the fridge for 2 or more hours. prep time includes chilling time.</t>
        </is>
      </c>
      <c r="G761" t="n">
        <v>12</v>
      </c>
      <c r="H761" t="n">
        <v>10800</v>
      </c>
      <c r="I761">
        <f>D761*60</f>
        <v/>
      </c>
      <c r="J761">
        <f>COUNTIF(Отзывы!$D:$D, 94252)</f>
        <v/>
      </c>
    </row>
    <row r="762">
      <c r="A762" t="n">
        <v>28771</v>
      </c>
      <c r="B762" t="inlineStr">
        <is>
          <t>veggie fried rice  vegan</t>
        </is>
      </c>
      <c r="C762" t="n">
        <v>377411</v>
      </c>
      <c r="D762" s="4" t="n">
        <v>60</v>
      </c>
      <c r="E762" s="1" t="n">
        <v>39980</v>
      </c>
      <c r="F762" t="inlineStr">
        <is>
          <t>this fits the bill when i'm craving chinese take-out minus the msg.  the tvp makes a great substitute for egg and boosts the protein content without adding cholesterol.  this is inspired by a recipe i found here: http://ericglover.com/vegetarian_vegan_fried_rice_recipe.html.  prep time is for cooking rice while chopping veggies.  serves about 4 as an entree or 6 as a side.</t>
        </is>
      </c>
      <c r="H762" t="n">
        <v>3600</v>
      </c>
      <c r="I762">
        <f>D762*60</f>
        <v/>
      </c>
      <c r="J762">
        <f>COUNTIF(Отзывы!$D:$D, 377411)</f>
        <v/>
      </c>
    </row>
    <row r="763" ht="409.5" customHeight="1">
      <c r="A763" t="n">
        <v>11151</v>
      </c>
      <c r="B763" t="inlineStr">
        <is>
          <t>flourless chocolate raspberry cakes</t>
        </is>
      </c>
      <c r="C763" t="n">
        <v>150985</v>
      </c>
      <c r="D763" s="4" t="n">
        <v>30</v>
      </c>
      <c r="E763" s="1" t="n">
        <v>38726</v>
      </c>
      <c r="F763" s="2" t="inlineStr">
        <is>
          <t>140 cal, 3 g pro, 11 g carb, 11 g fat, 4 g sat fat, 53 mg chol, 2 g fiber, 80 mg sodium_x000D_
_x000D_
from msn.  i haven't made these yet, but i will soon.  i have a nephew who isn't allowed to eat gluten, so hopefully he'll love these.</t>
        </is>
      </c>
      <c r="G763" t="n">
        <v>6</v>
      </c>
      <c r="H763" t="n">
        <v>1800</v>
      </c>
      <c r="I763">
        <f>D763*60</f>
        <v/>
      </c>
      <c r="J763">
        <f>COUNTIF(Отзывы!$D:$D, 150985)</f>
        <v/>
      </c>
    </row>
    <row r="764">
      <c r="A764" t="n">
        <v>23023</v>
      </c>
      <c r="B764" t="inlineStr">
        <is>
          <t>rotisserie vinaigrette chicken salad</t>
        </is>
      </c>
      <c r="C764" t="n">
        <v>243430</v>
      </c>
      <c r="D764" s="4" t="n">
        <v>20</v>
      </c>
      <c r="E764" s="1" t="n">
        <v>39293</v>
      </c>
      <c r="F764" t="inlineStr">
        <is>
          <t>a simple and delicious chicken salad you can put together in no time. the flavors of the rotisserie chicken mingled with the vinaigrette dressing and veggies are delightful. this recipe makes extra dressing, so keep some in the fridge for another salad. i always make extra and this recipe accounts for that ;)</t>
        </is>
      </c>
      <c r="H764" t="n">
        <v>1200</v>
      </c>
      <c r="I764">
        <f>D764*60</f>
        <v/>
      </c>
      <c r="J764">
        <f>COUNTIF(Отзывы!$D:$D, 243430)</f>
        <v/>
      </c>
    </row>
    <row r="765">
      <c r="A765" t="n">
        <v>3441</v>
      </c>
      <c r="B765" t="inlineStr">
        <is>
          <t>blueberry yogurt pancakes</t>
        </is>
      </c>
      <c r="C765" t="n">
        <v>41291</v>
      </c>
      <c r="D765" s="4" t="n">
        <v>27</v>
      </c>
      <c r="E765" s="1" t="n">
        <v>37523</v>
      </c>
      <c r="F765" t="inlineStr">
        <is>
          <t>who can resist the fresh taste of pancakes first thing in the morning! these, because of the use of natural yogurt are not too bad for you either. use other kinds of yogurt as well...this is just a guideline!</t>
        </is>
      </c>
      <c r="H765" t="n">
        <v>1620</v>
      </c>
      <c r="I765">
        <f>D765*60</f>
        <v/>
      </c>
      <c r="J765">
        <f>COUNTIF(Отзывы!$D:$D, 41291)</f>
        <v/>
      </c>
    </row>
    <row r="766">
      <c r="A766" t="n">
        <v>27358</v>
      </c>
      <c r="B766" t="inlineStr">
        <is>
          <t>the best cowboy caviar</t>
        </is>
      </c>
      <c r="C766" t="n">
        <v>103892</v>
      </c>
      <c r="D766" s="4" t="n">
        <v>135</v>
      </c>
      <c r="E766" s="1" t="n">
        <v>38302</v>
      </c>
      <c r="F766" t="inlineStr">
        <is>
          <t>one recipe of this is never enough in our family, we always have to double or triple the batch. cook time is actually chilling time.</t>
        </is>
      </c>
      <c r="G766" t="n">
        <v>10</v>
      </c>
      <c r="H766" t="n">
        <v>8100</v>
      </c>
      <c r="I766">
        <f>D766*60</f>
        <v/>
      </c>
      <c r="J766">
        <f>COUNTIF(Отзывы!$D:$D, 103892)</f>
        <v/>
      </c>
    </row>
    <row r="767">
      <c r="A767" t="n">
        <v>22918</v>
      </c>
      <c r="B767" t="inlineStr">
        <is>
          <t>rolo pretzel   cookies</t>
        </is>
      </c>
      <c r="C767" t="n">
        <v>148951</v>
      </c>
      <c r="D767" s="4" t="n">
        <v>17</v>
      </c>
      <c r="E767" s="1" t="n">
        <v>38707</v>
      </c>
      <c r="F767" t="inlineStr">
        <is>
          <t>the only reason i added the word "cookie" to the title of this recipe was because i took them to a cookie exchange.  i guess, legitimately, they're a snack. picky! picky! just consider them "good"!  most of the "prep" time is unwrapping the rolos.</t>
        </is>
      </c>
      <c r="G767" t="n">
        <v>2</v>
      </c>
      <c r="H767" t="n">
        <v>1020</v>
      </c>
      <c r="I767">
        <f>D767*60</f>
        <v/>
      </c>
      <c r="J767">
        <f>COUNTIF(Отзывы!$D:$D, 148951)</f>
        <v/>
      </c>
    </row>
    <row r="768">
      <c r="A768" t="n">
        <v>14286</v>
      </c>
      <c r="B768" t="inlineStr">
        <is>
          <t>hue chicken salad ga bop</t>
        </is>
      </c>
      <c r="C768" t="n">
        <v>166720</v>
      </c>
      <c r="D768" s="4" t="n">
        <v>45</v>
      </c>
      <c r="E768" s="1" t="n">
        <v>38839</v>
      </c>
      <c r="F768" t="inlineStr">
        <is>
          <t>the two main ingredients in this recipe are the chicken, which must be juicy and cooked just right (the technique here for cooking the chicken is based on the chinese method of submerging a whole bird in boiling water. this simple method produces moist, succulent chicken every single time), and the rau ram (vietnamese cilantro), which must be used liberally. this dish originated in hue, the ancient imperial capital of vietnam where ga bop is served as a snack with beer or as a side to chao ga (chicken rice soup) or with just a bowl of steamed rice!</t>
        </is>
      </c>
      <c r="H768" t="n">
        <v>2700</v>
      </c>
      <c r="I768">
        <f>D768*60</f>
        <v/>
      </c>
      <c r="J768">
        <f>COUNTIF(Отзывы!$D:$D, 166720)</f>
        <v/>
      </c>
    </row>
    <row r="769">
      <c r="A769" t="n">
        <v>26086</v>
      </c>
      <c r="B769" t="inlineStr">
        <is>
          <t>strawberry salsa bruschetta</t>
        </is>
      </c>
      <c r="C769" t="n">
        <v>126491</v>
      </c>
      <c r="D769" s="4" t="n">
        <v>25</v>
      </c>
      <c r="E769" s="1" t="n">
        <v>38523</v>
      </c>
      <c r="F769" t="inlineStr">
        <is>
          <t>summer time and the living should be easy. picture yourself sitting on the front porch, feet up, sipping an ice cold drink while munching on these beauties. prep time does not include 2 hours refrigeration.</t>
        </is>
      </c>
      <c r="G769" t="n">
        <v>8</v>
      </c>
      <c r="H769" t="n">
        <v>1500</v>
      </c>
      <c r="I769">
        <f>D769*60</f>
        <v/>
      </c>
      <c r="J769">
        <f>COUNTIF(Отзывы!$D:$D, 126491)</f>
        <v/>
      </c>
    </row>
    <row r="770">
      <c r="A770" t="n">
        <v>15617</v>
      </c>
      <c r="B770" t="inlineStr">
        <is>
          <t>lancashire hotpot</t>
        </is>
      </c>
      <c r="C770" t="n">
        <v>483782</v>
      </c>
      <c r="D770" s="4" t="n">
        <v>120</v>
      </c>
      <c r="E770" s="1" t="n">
        <v>41108</v>
      </c>
      <c r="F770" t="inlineStr">
        <is>
          <t>typical good pub food.  based on: http://www.bbcgoodfood.com/recipes/9099/lancashire-hotpot</t>
        </is>
      </c>
      <c r="G770" t="n">
        <v>10</v>
      </c>
      <c r="H770" t="n">
        <v>7200</v>
      </c>
      <c r="I770">
        <f>D770*60</f>
        <v/>
      </c>
      <c r="J770">
        <f>COUNTIF(Отзывы!$D:$D, 483782)</f>
        <v/>
      </c>
    </row>
    <row r="771">
      <c r="A771" t="n">
        <v>3231</v>
      </c>
      <c r="B771" t="inlineStr">
        <is>
          <t>blackberry mint iced tea</t>
        </is>
      </c>
      <c r="C771" t="n">
        <v>328617</v>
      </c>
      <c r="D771" s="4" t="n">
        <v>30</v>
      </c>
      <c r="E771" s="1" t="n">
        <v>39723</v>
      </c>
      <c r="F771" t="inlineStr">
        <is>
          <t>a spectacular garden summer treat that is very healthy and delicious. blackberries are preferred, but you can use any typ berries. using honey keeps it clean eating, but you can opt for sugar or splenda if you prefer.</t>
        </is>
      </c>
      <c r="G771" t="n">
        <v>4</v>
      </c>
      <c r="H771" t="n">
        <v>1800</v>
      </c>
      <c r="I771">
        <f>D771*60</f>
        <v/>
      </c>
      <c r="J771">
        <f>COUNTIF(Отзывы!$D:$D, 328617)</f>
        <v/>
      </c>
    </row>
    <row r="772">
      <c r="A772" t="n">
        <v>1079</v>
      </c>
      <c r="B772" t="inlineStr">
        <is>
          <t>apricot prune coffee cake</t>
        </is>
      </c>
      <c r="C772" t="n">
        <v>69728</v>
      </c>
      <c r="D772" s="4" t="n">
        <v>75</v>
      </c>
      <c r="E772" s="1" t="n">
        <v>37859</v>
      </c>
      <c r="F772" t="inlineStr">
        <is>
          <t>this is one of the best coffee cakes i have ever tasted. a real favorite whenever i serve it. i got the recipe many years ago from some mccalls cooking cards.</t>
        </is>
      </c>
      <c r="G772" t="n">
        <v>14</v>
      </c>
      <c r="H772" t="n">
        <v>4500</v>
      </c>
      <c r="I772">
        <f>D772*60</f>
        <v/>
      </c>
      <c r="J772">
        <f>COUNTIF(Отзывы!$D:$D, 69728)</f>
        <v/>
      </c>
    </row>
    <row r="773">
      <c r="A773" t="n">
        <v>23290</v>
      </c>
      <c r="B773" t="inlineStr">
        <is>
          <t>salt and pepper shrimp</t>
        </is>
      </c>
      <c r="C773" t="n">
        <v>147199</v>
      </c>
      <c r="D773" s="4" t="n">
        <v>30</v>
      </c>
      <c r="E773" s="1" t="n">
        <v>38691</v>
      </c>
      <c r="F773" t="inlineStr">
        <is>
          <t>crispy and tasty shrimp!</t>
        </is>
      </c>
      <c r="H773" t="n">
        <v>1800</v>
      </c>
      <c r="I773">
        <f>D773*60</f>
        <v/>
      </c>
      <c r="J773">
        <f>COUNTIF(Отзывы!$D:$D, 147199)</f>
        <v/>
      </c>
    </row>
    <row r="774">
      <c r="A774" t="n">
        <v>28678</v>
      </c>
      <c r="B774" t="inlineStr">
        <is>
          <t>vegetable rice pancakes</t>
        </is>
      </c>
      <c r="C774" t="n">
        <v>20224</v>
      </c>
      <c r="D774" s="4" t="n">
        <v>16</v>
      </c>
      <c r="E774" s="1" t="n">
        <v>37307</v>
      </c>
      <c r="G774" t="n">
        <v>10</v>
      </c>
      <c r="H774" t="n">
        <v>960</v>
      </c>
      <c r="I774">
        <f>D774*60</f>
        <v/>
      </c>
      <c r="J774">
        <f>COUNTIF(Отзывы!$D:$D, 20224)</f>
        <v/>
      </c>
    </row>
    <row r="775">
      <c r="A775" t="n">
        <v>20218</v>
      </c>
      <c r="B775" t="inlineStr">
        <is>
          <t>peanut butter candy corn cookies</t>
        </is>
      </c>
      <c r="C775" t="n">
        <v>394379</v>
      </c>
      <c r="D775" s="4" t="n">
        <v>25</v>
      </c>
      <c r="E775" s="1" t="n">
        <v>40099</v>
      </c>
      <c r="F775" t="inlineStr">
        <is>
          <t>as a kid, i used to love peanut butter and candy corn sandwiches and recently i thought the combination would make a great cookie! mmmmmmmm..... this recipe is based on recipe #51104.</t>
        </is>
      </c>
      <c r="H775" t="n">
        <v>1500</v>
      </c>
      <c r="I775">
        <f>D775*60</f>
        <v/>
      </c>
      <c r="J775">
        <f>COUNTIF(Отзывы!$D:$D, 394379)</f>
        <v/>
      </c>
    </row>
    <row r="776">
      <c r="A776" t="n">
        <v>21521</v>
      </c>
      <c r="B776" t="inlineStr">
        <is>
          <t>prawn biryani</t>
        </is>
      </c>
      <c r="C776" t="n">
        <v>462175</v>
      </c>
      <c r="D776" s="4" t="n">
        <v>25</v>
      </c>
      <c r="E776" s="1" t="n">
        <v>40766</v>
      </c>
      <c r="F776" t="inlineStr">
        <is>
          <t>this highly-seasoned indian dish has great flavour.</t>
        </is>
      </c>
      <c r="G776" t="n">
        <v>11</v>
      </c>
      <c r="H776" t="n">
        <v>1500</v>
      </c>
      <c r="I776">
        <f>D776*60</f>
        <v/>
      </c>
      <c r="J776">
        <f>COUNTIF(Отзывы!$D:$D, 462175)</f>
        <v/>
      </c>
    </row>
    <row r="777">
      <c r="A777" t="n">
        <v>23311</v>
      </c>
      <c r="B777" t="inlineStr">
        <is>
          <t>sammy s grilled chicken salad with balsamic dressing</t>
        </is>
      </c>
      <c r="C777" t="n">
        <v>273740</v>
      </c>
      <c r="D777" s="4" t="n">
        <v>55</v>
      </c>
      <c r="E777" s="1" t="n">
        <v>39442</v>
      </c>
      <c r="F777" t="inlineStr">
        <is>
          <t>this is a copy of a salad from one of our favorite restaurants.</t>
        </is>
      </c>
      <c r="G777" t="n">
        <v>10</v>
      </c>
      <c r="H777" t="n">
        <v>3300</v>
      </c>
      <c r="I777">
        <f>D777*60</f>
        <v/>
      </c>
      <c r="J777">
        <f>COUNTIF(Отзывы!$D:$D, 273740)</f>
        <v/>
      </c>
    </row>
    <row r="778">
      <c r="A778" t="n">
        <v>20589</v>
      </c>
      <c r="B778" t="inlineStr">
        <is>
          <t>persian lamb vegetable khoreshe</t>
        </is>
      </c>
      <c r="C778" t="n">
        <v>27363</v>
      </c>
      <c r="D778" s="4" t="n">
        <v>120</v>
      </c>
      <c r="E778" s="1" t="n">
        <v>37380</v>
      </c>
      <c r="F778" t="inlineStr">
        <is>
          <t>a khoreshe is a type of thickened sauce, usually containing meat and vegetables, that is served over rice. this is one of my favorite persian dishes, one i used to make for my friend said. it is persian homestyle cooking at its best!</t>
        </is>
      </c>
      <c r="G778" t="n">
        <v>9</v>
      </c>
      <c r="H778" t="n">
        <v>7200</v>
      </c>
      <c r="I778">
        <f>D778*60</f>
        <v/>
      </c>
      <c r="J778">
        <f>COUNTIF(Отзывы!$D:$D, 27363)</f>
        <v/>
      </c>
    </row>
    <row r="779">
      <c r="A779" t="n">
        <v>29108</v>
      </c>
      <c r="B779" t="inlineStr">
        <is>
          <t>weeknight tex mex burritos  or tacos or taco burgers</t>
        </is>
      </c>
      <c r="C779" t="n">
        <v>417320</v>
      </c>
      <c r="D779" s="6" t="n">
        <v>10</v>
      </c>
      <c r="E779" s="1" t="n">
        <v>40258</v>
      </c>
      <c r="F779" t="inlineStr">
        <is>
          <t>an easy meal to throw together on weeknights when you are busy with work, school, or sports.</t>
        </is>
      </c>
      <c r="G779" t="n">
        <v>20</v>
      </c>
      <c r="H779" t="n">
        <v>600</v>
      </c>
      <c r="I779">
        <f>D779*60</f>
        <v/>
      </c>
      <c r="J779">
        <f>COUNTIF(Отзывы!$D:$D, 417320)</f>
        <v/>
      </c>
    </row>
    <row r="780">
      <c r="A780" t="n">
        <v>24381</v>
      </c>
      <c r="B780" t="inlineStr">
        <is>
          <t>skillet mac   cheese  macaroni   cheese</t>
        </is>
      </c>
      <c r="C780" t="n">
        <v>322200</v>
      </c>
      <c r="D780" s="4" t="n">
        <v>25</v>
      </c>
      <c r="E780" s="1" t="n">
        <v>39689</v>
      </c>
      <c r="F780" t="inlineStr">
        <is>
          <t>from taste of home simple &amp; delicious magazine, october 2008.  haven't tried this yet, but am posting for future reference.  author ann bowers wrote the following description "this is so simiple, it seems almost too easy!  but you'll love it and fix it often.  you could use salt and pepper to taste, but we don't feel it is necessary".</t>
        </is>
      </c>
      <c r="G780" t="n">
        <v>5</v>
      </c>
      <c r="H780" t="n">
        <v>1500</v>
      </c>
      <c r="I780">
        <f>D780*60</f>
        <v/>
      </c>
      <c r="J780">
        <f>COUNTIF(Отзывы!$D:$D, 322200)</f>
        <v/>
      </c>
    </row>
    <row r="781">
      <c r="A781" t="n">
        <v>15677</v>
      </c>
      <c r="B781" t="inlineStr">
        <is>
          <t>layered chicken broccoli casserole  no canned soup</t>
        </is>
      </c>
      <c r="C781" t="n">
        <v>106519</v>
      </c>
      <c r="D781" s="4" t="n">
        <v>50</v>
      </c>
      <c r="E781" s="1" t="n">
        <v>38342</v>
      </c>
      <c r="F781" t="inlineStr">
        <is>
          <t>preparation time does not include time for cooking the chicken (may use leftovers).</t>
        </is>
      </c>
      <c r="H781" t="n">
        <v>3000</v>
      </c>
      <c r="I781">
        <f>D781*60</f>
        <v/>
      </c>
      <c r="J781">
        <f>COUNTIF(Отзывы!$D:$D, 106519)</f>
        <v/>
      </c>
    </row>
    <row r="782">
      <c r="A782" t="n">
        <v>23032</v>
      </c>
      <c r="B782" t="inlineStr">
        <is>
          <t>round teething biscuits for baby</t>
        </is>
      </c>
      <c r="C782" t="n">
        <v>72759</v>
      </c>
      <c r="D782" s="4" t="n">
        <v>30</v>
      </c>
      <c r="E782" s="1" t="n">
        <v>37900</v>
      </c>
      <c r="F782" t="inlineStr">
        <is>
          <t>this makes about 12 teething cookies for your little one. and they have very few crumbs. cooking time does not include sitting time.</t>
        </is>
      </c>
      <c r="G782" t="n">
        <v>3</v>
      </c>
      <c r="H782" t="n">
        <v>1800</v>
      </c>
      <c r="I782">
        <f>D782*60</f>
        <v/>
      </c>
      <c r="J782">
        <f>COUNTIF(Отзывы!$D:$D, 72759)</f>
        <v/>
      </c>
    </row>
    <row r="783">
      <c r="A783" t="n">
        <v>23771</v>
      </c>
      <c r="B783" t="inlineStr">
        <is>
          <t>seafood thai curry</t>
        </is>
      </c>
      <c r="C783" t="n">
        <v>231346</v>
      </c>
      <c r="D783" s="4" t="n">
        <v>30</v>
      </c>
      <c r="E783" s="1" t="n">
        <v>39232</v>
      </c>
      <c r="F783" t="inlineStr">
        <is>
          <t>one of our favorite regular dishes. this authentic thai red curry has an exotic flavor. it is probably going to be very spicy for most people.</t>
        </is>
      </c>
      <c r="G783" t="n">
        <v>11</v>
      </c>
      <c r="H783" t="n">
        <v>1800</v>
      </c>
      <c r="I783">
        <f>D783*60</f>
        <v/>
      </c>
      <c r="J783">
        <f>COUNTIF(Отзывы!$D:$D, 231346)</f>
        <v/>
      </c>
    </row>
    <row r="784">
      <c r="A784" t="n">
        <v>29641</v>
      </c>
      <c r="B784" t="inlineStr">
        <is>
          <t>yams sensational</t>
        </is>
      </c>
      <c r="C784" t="n">
        <v>12141</v>
      </c>
      <c r="D784" s="4" t="n">
        <v>80</v>
      </c>
      <c r="E784" s="1" t="n">
        <v>37160</v>
      </c>
      <c r="F784" t="inlineStr">
        <is>
          <t>just right for the holidays! serve this delicious, pretty yam dish and your friends will think you're a gourmet chef. hint: it's really easy to prepare! tested at high altitude.</t>
        </is>
      </c>
      <c r="G784" t="n">
        <v>5</v>
      </c>
      <c r="H784" t="n">
        <v>4800</v>
      </c>
      <c r="I784">
        <f>D784*60</f>
        <v/>
      </c>
      <c r="J784">
        <f>COUNTIF(Отзывы!$D:$D, 12141)</f>
        <v/>
      </c>
    </row>
    <row r="785">
      <c r="A785" t="n">
        <v>29283</v>
      </c>
      <c r="B785" t="inlineStr">
        <is>
          <t>white chocolate mousse torte with oreo cookie crust</t>
        </is>
      </c>
      <c r="C785" t="n">
        <v>380164</v>
      </c>
      <c r="D785" s="4" t="n">
        <v>45</v>
      </c>
      <c r="E785" s="1" t="n">
        <v>39997</v>
      </c>
      <c r="F785" t="inlineStr">
        <is>
          <t>i've had this for so long that i can no longer remember where i picked it up.  the one thing i do know is that it's delicious!  the ganache filling is superb with the combination of white chocolate.  i didn't include chill time.</t>
        </is>
      </c>
      <c r="G785" t="n">
        <v>8</v>
      </c>
      <c r="H785" t="n">
        <v>2700</v>
      </c>
      <c r="I785">
        <f>D785*60</f>
        <v/>
      </c>
      <c r="J785">
        <f>COUNTIF(Отзывы!$D:$D, 380164)</f>
        <v/>
      </c>
    </row>
    <row r="786">
      <c r="A786" t="n">
        <v>22061</v>
      </c>
      <c r="B786" t="inlineStr">
        <is>
          <t>rachael ray s vegeterranean pizza</t>
        </is>
      </c>
      <c r="C786" t="n">
        <v>213346</v>
      </c>
      <c r="D786" s="4" t="n">
        <v>25</v>
      </c>
      <c r="E786" s="1" t="n">
        <v>39136</v>
      </c>
      <c r="F786" t="inlineStr">
        <is>
          <t>this is an easy-to-make, fabulous appetizer or main dish.  unlike other mediterranean pizzas posted on the zaar, this one features ricotta cheese as the base. the rest of the ingredients are easily substituted according to personal tastes.  i like it with spinach, kalamata olives, sauteed mushrooms, and fresh roma tomatoes.</t>
        </is>
      </c>
      <c r="H786" t="n">
        <v>1500</v>
      </c>
      <c r="I786">
        <f>D786*60</f>
        <v/>
      </c>
      <c r="J786">
        <f>COUNTIF(Отзывы!$D:$D, 213346)</f>
        <v/>
      </c>
    </row>
    <row r="787">
      <c r="A787" t="n">
        <v>234</v>
      </c>
      <c r="B787" t="inlineStr">
        <is>
          <t>7 ingredient peanut butter cookies</t>
        </is>
      </c>
      <c r="C787" t="n">
        <v>250024</v>
      </c>
      <c r="D787" s="4" t="n">
        <v>20</v>
      </c>
      <c r="E787" s="1" t="n">
        <v>39324</v>
      </c>
      <c r="F787" t="inlineStr">
        <is>
          <t>i was trying to make simple, three ingredient peanut butter cookies, but i ended up short on peanut butter and had to improvise. they turned out very light, crispy and delicious! i am very happy with them----! ^w^</t>
        </is>
      </c>
      <c r="H787" t="n">
        <v>1200</v>
      </c>
      <c r="I787">
        <f>D787*60</f>
        <v/>
      </c>
      <c r="J787">
        <f>COUNTIF(Отзывы!$D:$D, 250024)</f>
        <v/>
      </c>
    </row>
    <row r="788">
      <c r="A788" t="n">
        <v>26786</v>
      </c>
      <c r="B788" t="inlineStr">
        <is>
          <t>sweet tea baby back ribs</t>
        </is>
      </c>
      <c r="C788" t="n">
        <v>535269</v>
      </c>
      <c r="D788" s="4" t="n">
        <v>1560</v>
      </c>
      <c r="E788" s="1" t="n">
        <v>43164</v>
      </c>
      <c r="F788" t="inlineStr">
        <is>
          <t>courtesy of deborah van treece, twisted soul</t>
        </is>
      </c>
      <c r="G788" t="n">
        <v>14</v>
      </c>
      <c r="H788" t="n">
        <v>93600</v>
      </c>
      <c r="I788">
        <f>D788*60</f>
        <v/>
      </c>
      <c r="J788">
        <f>COUNTIF(Отзывы!$D:$D, 535269)</f>
        <v/>
      </c>
    </row>
    <row r="789">
      <c r="A789" t="n">
        <v>33</v>
      </c>
      <c r="B789" t="inlineStr">
        <is>
          <t>tastes like   v 8 juice</t>
        </is>
      </c>
      <c r="C789" t="n">
        <v>116741</v>
      </c>
      <c r="D789" s="4" t="n">
        <v>25</v>
      </c>
      <c r="E789" s="1" t="n">
        <v>38454</v>
      </c>
      <c r="F789" t="inlineStr">
        <is>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is>
      </c>
      <c r="G789" t="n">
        <v>2</v>
      </c>
      <c r="H789" t="n">
        <v>1500</v>
      </c>
      <c r="I789">
        <f>D789*60</f>
        <v/>
      </c>
      <c r="J789">
        <f>COUNTIF(Отзывы!$D:$D, 116741)</f>
        <v/>
      </c>
    </row>
    <row r="790" ht="345" customHeight="1">
      <c r="A790" t="n">
        <v>21171</v>
      </c>
      <c r="B790" t="inlineStr">
        <is>
          <t>pork and prawn shrimp stir fry</t>
        </is>
      </c>
      <c r="C790" t="n">
        <v>330810</v>
      </c>
      <c r="D790" s="4" t="n">
        <v>46</v>
      </c>
      <c r="E790" s="1" t="n">
        <v>39735</v>
      </c>
      <c r="F790" s="2" t="inlineStr">
        <is>
          <t>a really simple stir fry, with loads of flavor and plenty of  vegetables, served with chinese noodles._x000D_
_x000D_
easily to  prepare ahead and so quick to put together.</t>
        </is>
      </c>
      <c r="G790" t="n">
        <v>14</v>
      </c>
      <c r="H790" t="n">
        <v>2760</v>
      </c>
      <c r="I790">
        <f>D790*60</f>
        <v/>
      </c>
      <c r="J790">
        <f>COUNTIF(Отзывы!$D:$D, 330810)</f>
        <v/>
      </c>
    </row>
    <row r="791">
      <c r="A791" t="n">
        <v>10198</v>
      </c>
      <c r="B791" t="inlineStr">
        <is>
          <t>easy roasted red pepper hummus</t>
        </is>
      </c>
      <c r="C791" t="n">
        <v>271049</v>
      </c>
      <c r="D791" s="4" t="n">
        <v>15</v>
      </c>
      <c r="E791" s="1" t="n">
        <v>39427</v>
      </c>
      <c r="F791" t="inlineStr">
        <is>
          <t>this hummus can be made 1 day ahead. keep it refrigerated, and bring to room temperature before serving. tahini is a paste made from sesame seeds and can be found in many grocery stores."</t>
        </is>
      </c>
      <c r="G791" t="n">
        <v>6</v>
      </c>
      <c r="H791" t="n">
        <v>900</v>
      </c>
      <c r="I791">
        <f>D791*60</f>
        <v/>
      </c>
      <c r="J791">
        <f>COUNTIF(Отзывы!$D:$D, 271049)</f>
        <v/>
      </c>
    </row>
    <row r="792">
      <c r="A792" t="n">
        <v>5186</v>
      </c>
      <c r="B792" t="inlineStr">
        <is>
          <t>cheeseburger macaroni  for a crowd</t>
        </is>
      </c>
      <c r="C792" t="n">
        <v>138777</v>
      </c>
      <c r="D792" s="4" t="n">
        <v>17</v>
      </c>
      <c r="E792" s="1" t="n">
        <v>38619</v>
      </c>
      <c r="F792" t="inlineStr">
        <is>
          <t>this is about as far from gourmet as you can get, but it is yummy and filling, budget friendly, and fast.  serve with crusty bread and butter if you have it, or with el cheapo white sandwich bread and butter if you dont.  i came up with it to serve my 3 1/2, &amp; 1 1/2 daughters as well as hubby, and in-laws when i wasn't expecting to feed anyone but my girls and hadn't been to the grocery store.</t>
        </is>
      </c>
      <c r="H792" t="n">
        <v>1020</v>
      </c>
      <c r="I792">
        <f>D792*60</f>
        <v/>
      </c>
      <c r="J792">
        <f>COUNTIF(Отзывы!$D:$D, 138777)</f>
        <v/>
      </c>
    </row>
    <row r="793">
      <c r="A793" t="n">
        <v>15455</v>
      </c>
      <c r="B793" t="inlineStr">
        <is>
          <t>kittencal s tzatziki  greek cucumber and yogurt salad</t>
        </is>
      </c>
      <c r="C793" t="n">
        <v>157176</v>
      </c>
      <c r="D793" s="4" t="n">
        <v>120</v>
      </c>
      <c r="E793" s="1" t="n">
        <v>38770</v>
      </c>
      <c r="F793" t="inlineStr">
        <is>
          <t>this is worth making it is so delicious! greek yogurt is richer and thicker then regular yogurt and is the best used for this recipe, if you cannot find greek yogurt just use 4 cups regular full-fat plain yogurt and drain it in the fridge through a triple thickness of cheesecloth for 8 hours or overnight, if you are using greek yogurt you will not have to strain it, once you try greek yogurt you will never go back to regular yogurt again! plan ahead this needs to chill for a minimum of 2 hours, you won't be able to keep your spoon out of the bowl lol! make certain to drain the cucumber very well for this. serve this anyway or with anything you want to, it is great on pita. prep time is only if you are using the greek yogurt if you are straining the yogurt prep time will be more.</t>
        </is>
      </c>
      <c r="G793" t="n">
        <v>6</v>
      </c>
      <c r="H793" t="n">
        <v>7200</v>
      </c>
      <c r="I793">
        <f>D793*60</f>
        <v/>
      </c>
      <c r="J793">
        <f>COUNTIF(Отзывы!$D:$D, 157176)</f>
        <v/>
      </c>
    </row>
    <row r="794">
      <c r="A794" t="n">
        <v>15620</v>
      </c>
      <c r="B794" t="inlineStr">
        <is>
          <t>lancer s spinach salad</t>
        </is>
      </c>
      <c r="C794" t="n">
        <v>349058</v>
      </c>
      <c r="D794" s="4" t="n">
        <v>30</v>
      </c>
      <c r="E794" s="1" t="n">
        <v>39824</v>
      </c>
      <c r="F794" t="inlineStr">
        <is>
          <t>from the momma &amp; me &amp; you cookbook</t>
        </is>
      </c>
      <c r="G794" t="n">
        <v>11</v>
      </c>
      <c r="H794" t="n">
        <v>1800</v>
      </c>
      <c r="I794">
        <f>D794*60</f>
        <v/>
      </c>
      <c r="J794">
        <f>COUNTIF(Отзывы!$D:$D, 349058)</f>
        <v/>
      </c>
    </row>
    <row r="795">
      <c r="A795" t="n">
        <v>7326</v>
      </c>
      <c r="B795" t="inlineStr">
        <is>
          <t>coconut ginger pineapple upside down cake</t>
        </is>
      </c>
      <c r="C795" t="n">
        <v>354647</v>
      </c>
      <c r="D795" s="4" t="n">
        <v>80</v>
      </c>
      <c r="E795" s="1" t="n">
        <v>39852</v>
      </c>
      <c r="F795" t="inlineStr">
        <is>
          <t>from cook's illustrated, september 2004.  a 9-inch cake pan with sides that are at least 2 inches high is recommended. for a cake with a light tender crumb, it is important to cream the butter and sugar well and to have the eggs at room temperature.</t>
        </is>
      </c>
      <c r="G795" t="n">
        <v>13</v>
      </c>
      <c r="H795" t="n">
        <v>4800</v>
      </c>
      <c r="I795">
        <f>D795*60</f>
        <v/>
      </c>
      <c r="J795">
        <f>COUNTIF(Отзывы!$D:$D, 354647)</f>
        <v/>
      </c>
    </row>
    <row r="796">
      <c r="A796" t="n">
        <v>2853</v>
      </c>
      <c r="B796" t="inlineStr">
        <is>
          <t>besan  chickpea flour  pastry</t>
        </is>
      </c>
      <c r="C796" t="n">
        <v>256143</v>
      </c>
      <c r="D796" s="4" t="n">
        <v>20</v>
      </c>
      <c r="E796" s="1" t="n">
        <v>39354</v>
      </c>
      <c r="F796" t="inlineStr">
        <is>
          <t>this is such a healthy pastry, and has a nutty savoury taste. i use it for all kinds of vegetarian pies and tarts, either as the shell, or as the pastry top/lid.</t>
        </is>
      </c>
      <c r="G796" t="n">
        <v>4</v>
      </c>
      <c r="H796" t="n">
        <v>1200</v>
      </c>
      <c r="I796">
        <f>D796*60</f>
        <v/>
      </c>
      <c r="J796">
        <f>COUNTIF(Отзывы!$D:$D, 256143)</f>
        <v/>
      </c>
    </row>
    <row r="797">
      <c r="A797" t="n">
        <v>5807</v>
      </c>
      <c r="B797" t="inlineStr">
        <is>
          <t>chicken in creamy pan sauce</t>
        </is>
      </c>
      <c r="C797" t="n">
        <v>287625</v>
      </c>
      <c r="D797" s="4" t="n">
        <v>30</v>
      </c>
      <c r="E797" s="1" t="n">
        <v>39500</v>
      </c>
      <c r="F797" t="inlineStr">
        <is>
          <t>i got this recipe from kraft foods magazine and loved it! it's a creamy alfredo-type sauce on chicken. it's delicious!</t>
        </is>
      </c>
      <c r="H797" t="n">
        <v>1800</v>
      </c>
      <c r="I797">
        <f>D797*60</f>
        <v/>
      </c>
      <c r="J797">
        <f>COUNTIF(Отзывы!$D:$D, 287625)</f>
        <v/>
      </c>
    </row>
    <row r="798">
      <c r="A798" t="n">
        <v>13171</v>
      </c>
      <c r="B798" t="inlineStr">
        <is>
          <t>halibut a la tunisia</t>
        </is>
      </c>
      <c r="C798" t="n">
        <v>427761</v>
      </c>
      <c r="D798" s="4" t="n">
        <v>16</v>
      </c>
      <c r="E798" s="1" t="n">
        <v>40329</v>
      </c>
      <c r="F798" t="inlineStr">
        <is>
          <t>this recipe is adapted from weber's real grilling cookbook.  posted for zwt 6 2010.   you can substitute any firm mild, white, thick fish fillet.  time indicated does not include one hour marinating time.</t>
        </is>
      </c>
      <c r="G798" t="n">
        <v>9</v>
      </c>
      <c r="H798" t="n">
        <v>960</v>
      </c>
      <c r="I798">
        <f>D798*60</f>
        <v/>
      </c>
      <c r="J798">
        <f>COUNTIF(Отзывы!$D:$D, 427761)</f>
        <v/>
      </c>
    </row>
    <row r="799">
      <c r="A799" t="n">
        <v>11200</v>
      </c>
      <c r="B799" t="inlineStr">
        <is>
          <t>for   sausage  onion  pepper   mushroom  lovers  only</t>
        </is>
      </c>
      <c r="C799" t="n">
        <v>368762</v>
      </c>
      <c r="D799" s="4" t="n">
        <v>60</v>
      </c>
      <c r="E799" s="1" t="n">
        <v>39933</v>
      </c>
      <c r="F799" t="inlineStr">
        <is>
          <t>for us lovers of a mixture of sausage, onions, peppers and mushrooms you don't need a description, you can taste it by just closing you eyes and thinking about it. you know what you are going to enjoy one more time.</t>
        </is>
      </c>
      <c r="G799" t="n">
        <v>7</v>
      </c>
      <c r="H799" t="n">
        <v>3600</v>
      </c>
      <c r="I799">
        <f>D799*60</f>
        <v/>
      </c>
      <c r="J799">
        <f>COUNTIF(Отзывы!$D:$D, 368762)</f>
        <v/>
      </c>
    </row>
    <row r="800">
      <c r="A800" t="n">
        <v>26905</v>
      </c>
      <c r="B800" t="inlineStr">
        <is>
          <t>taco egg cups</t>
        </is>
      </c>
      <c r="C800" t="n">
        <v>363600</v>
      </c>
      <c r="D800" s="6" t="n">
        <v>10</v>
      </c>
      <c r="E800" s="1" t="n">
        <v>39902</v>
      </c>
      <c r="F800" t="inlineStr">
        <is>
          <t>we combined a few recipes one morning and came up with these!  they can be spicier or milder depending on how hot your salsa is!</t>
        </is>
      </c>
      <c r="G800" t="n">
        <v>8</v>
      </c>
      <c r="H800" t="n">
        <v>600</v>
      </c>
      <c r="I800">
        <f>D800*60</f>
        <v/>
      </c>
      <c r="J800">
        <f>COUNTIF(Отзывы!$D:$D, 363600)</f>
        <v/>
      </c>
    </row>
    <row r="801">
      <c r="A801" t="n">
        <v>20025</v>
      </c>
      <c r="B801" t="inlineStr">
        <is>
          <t>pastina with milk and eggs</t>
        </is>
      </c>
      <c r="C801" t="n">
        <v>165155</v>
      </c>
      <c r="D801" s="4" t="n">
        <v>30</v>
      </c>
      <c r="E801" s="1" t="n">
        <v>38828</v>
      </c>
      <c r="F801" t="inlineStr">
        <is>
          <t>this is so good, great comfort food. this is something that one would make for a small child but its so good adults love it too. as it is, its great but you can also add some prosciutto, pancetta, etc (cook until browned in a pan with a little olive oil). also try adding veggies like peas, spinach, escarole, ect. this is from simply tuscan by pino luongo. (cooking time is just a guess since i always forget to time myself)</t>
        </is>
      </c>
      <c r="G801" t="n">
        <v>5</v>
      </c>
      <c r="H801" t="n">
        <v>1800</v>
      </c>
      <c r="I801">
        <f>D801*60</f>
        <v/>
      </c>
      <c r="J801">
        <f>COUNTIF(Отзывы!$D:$D, 165155)</f>
        <v/>
      </c>
    </row>
    <row r="802">
      <c r="A802" t="n">
        <v>16394</v>
      </c>
      <c r="B802" t="inlineStr">
        <is>
          <t>low   fat fettuccine carbonara  for one</t>
        </is>
      </c>
      <c r="C802" t="n">
        <v>113311</v>
      </c>
      <c r="D802" s="4" t="n">
        <v>20</v>
      </c>
      <c r="E802" s="1" t="n">
        <v>38425</v>
      </c>
      <c r="F802" t="inlineStr">
        <is>
          <t>i made up this recipe by looking at other low fat carbonara recipes and have been making it for ages. it doesn't take long to prepare. it is just the right amount for one serving or just double it for 2 serves. it's so creamy, you can't even tell it is low in fat!</t>
        </is>
      </c>
      <c r="G802" t="n">
        <v>10</v>
      </c>
      <c r="H802" t="n">
        <v>1200</v>
      </c>
      <c r="I802">
        <f>D802*60</f>
        <v/>
      </c>
      <c r="J802">
        <f>COUNTIF(Отзывы!$D:$D, 113311)</f>
        <v/>
      </c>
    </row>
    <row r="803">
      <c r="A803" t="n">
        <v>27123</v>
      </c>
      <c r="B803" t="inlineStr">
        <is>
          <t>teriyaki marinade or sauce</t>
        </is>
      </c>
      <c r="C803" t="n">
        <v>39468</v>
      </c>
      <c r="D803" s="6" t="n">
        <v>5</v>
      </c>
      <c r="E803" s="1" t="n">
        <v>37503</v>
      </c>
      <c r="F803" t="inlineStr">
        <is>
          <t>i made this marinade for making grilled chicken or beef on skewers. i have used it on fish as well. i don't eat pork so i don't know how that would be.</t>
        </is>
      </c>
      <c r="G803" t="n">
        <v>9</v>
      </c>
      <c r="H803" t="n">
        <v>300</v>
      </c>
      <c r="I803">
        <f>D803*60</f>
        <v/>
      </c>
      <c r="J803">
        <f>COUNTIF(Отзывы!$D:$D, 39468)</f>
        <v/>
      </c>
    </row>
    <row r="804">
      <c r="A804" t="n">
        <v>2887</v>
      </c>
      <c r="B804" t="inlineStr">
        <is>
          <t>best darned mussels you ever had</t>
        </is>
      </c>
      <c r="C804" t="n">
        <v>185802</v>
      </c>
      <c r="D804" s="4" t="n">
        <v>45</v>
      </c>
      <c r="E804" s="1" t="n">
        <v>38973</v>
      </c>
      <c r="F804" t="inlineStr">
        <is>
          <t>after many attempts to perfect my own recipe , i've come up with this and i have had many people tell me that these are the best mussels they have ever had.  i hope you enjoy these as much as we do.</t>
        </is>
      </c>
      <c r="G804" t="n">
        <v>13</v>
      </c>
      <c r="H804" t="n">
        <v>2700</v>
      </c>
      <c r="I804">
        <f>D804*60</f>
        <v/>
      </c>
      <c r="J804">
        <f>COUNTIF(Отзывы!$D:$D, 185802)</f>
        <v/>
      </c>
    </row>
    <row r="805">
      <c r="A805" t="n">
        <v>13151</v>
      </c>
      <c r="B805" t="inlineStr">
        <is>
          <t>guy s veggie soup  not vegetarian</t>
        </is>
      </c>
      <c r="C805" t="n">
        <v>85583</v>
      </c>
      <c r="D805" s="4" t="n">
        <v>70</v>
      </c>
      <c r="E805" s="1" t="n">
        <v>38049</v>
      </c>
      <c r="F805" t="inlineStr">
        <is>
          <t>guy, my husband, is from oklahoma. i am a native californian who never tasted okra until we married. i introduced him to the finer points of serrano chilies and, in return, he created this delicious soup recipe that combines both okra and serranos.</t>
        </is>
      </c>
      <c r="G805" t="n">
        <v>14</v>
      </c>
      <c r="H805" t="n">
        <v>4200</v>
      </c>
      <c r="I805">
        <f>D805*60</f>
        <v/>
      </c>
      <c r="J805">
        <f>COUNTIF(Отзывы!$D:$D, 85583)</f>
        <v/>
      </c>
    </row>
    <row r="806" ht="409.5" customHeight="1">
      <c r="A806" t="n">
        <v>9520</v>
      </c>
      <c r="B806" t="inlineStr">
        <is>
          <t>dobosh torta from hungary</t>
        </is>
      </c>
      <c r="C806" t="n">
        <v>343087</v>
      </c>
      <c r="D806" s="4" t="n">
        <v>12</v>
      </c>
      <c r="E806" s="1" t="n">
        <v>39793</v>
      </c>
      <c r="F806" s="2" t="inlineStr">
        <is>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is>
      </c>
      <c r="G806" t="n">
        <v>11</v>
      </c>
      <c r="H806" t="n">
        <v>720</v>
      </c>
      <c r="I806">
        <f>D806*60</f>
        <v/>
      </c>
      <c r="J806">
        <f>COUNTIF(Отзывы!$D:$D, 343087)</f>
        <v/>
      </c>
    </row>
    <row r="807">
      <c r="A807" t="n">
        <v>289</v>
      </c>
      <c r="B807" t="inlineStr">
        <is>
          <t>aab goosht e lappeh</t>
        </is>
      </c>
      <c r="C807" t="n">
        <v>213133</v>
      </c>
      <c r="D807" s="4" t="n">
        <v>135</v>
      </c>
      <c r="E807" s="1" t="n">
        <v>39135</v>
      </c>
      <c r="F807" t="inlineStr">
        <is>
          <t>persian/iranian dinner</t>
        </is>
      </c>
      <c r="G807" t="n">
        <v>9</v>
      </c>
      <c r="H807" t="n">
        <v>8100</v>
      </c>
      <c r="I807">
        <f>D807*60</f>
        <v/>
      </c>
      <c r="J807">
        <f>COUNTIF(Отзывы!$D:$D, 213133)</f>
        <v/>
      </c>
    </row>
    <row r="808">
      <c r="A808" t="n">
        <v>13682</v>
      </c>
      <c r="B808" t="inlineStr">
        <is>
          <t>herbed pork tenderloin</t>
        </is>
      </c>
      <c r="C808" t="n">
        <v>34335</v>
      </c>
      <c r="D808" s="4" t="n">
        <v>50</v>
      </c>
      <c r="E808" s="1" t="n">
        <v>37452</v>
      </c>
      <c r="F808" t="inlineStr">
        <is>
          <t>this special pork is tender and juicy and seasoned just right.</t>
        </is>
      </c>
      <c r="G808" t="n">
        <v>12</v>
      </c>
      <c r="H808" t="n">
        <v>3000</v>
      </c>
      <c r="I808">
        <f>D808*60</f>
        <v/>
      </c>
      <c r="J808">
        <f>COUNTIF(Отзывы!$D:$D, 34335)</f>
        <v/>
      </c>
    </row>
    <row r="809">
      <c r="A809" t="n">
        <v>24402</v>
      </c>
      <c r="B809" t="inlineStr">
        <is>
          <t>skinny portuguese kale and potato soup  caldo verde</t>
        </is>
      </c>
      <c r="C809" t="n">
        <v>448886</v>
      </c>
      <c r="D809" s="4" t="n">
        <v>45</v>
      </c>
      <c r="E809" s="1" t="n">
        <v>40590</v>
      </c>
      <c r="F809" t="inlineStr">
        <is>
          <t>a skinny version of a portuguese classic</t>
        </is>
      </c>
      <c r="G809" t="n">
        <v>10</v>
      </c>
      <c r="H809" t="n">
        <v>2700</v>
      </c>
      <c r="I809">
        <f>D809*60</f>
        <v/>
      </c>
      <c r="J809">
        <f>COUNTIF(Отзывы!$D:$D, 448886)</f>
        <v/>
      </c>
    </row>
    <row r="810">
      <c r="A810" t="n">
        <v>3974</v>
      </c>
      <c r="B810" t="inlineStr">
        <is>
          <t>brownie in a mug  6 variations</t>
        </is>
      </c>
      <c r="C810" t="n">
        <v>486659</v>
      </c>
      <c r="D810" s="5" t="n">
        <v>4</v>
      </c>
      <c r="E810" s="1" t="n">
        <v>41162</v>
      </c>
      <c r="F810" t="inlineStr">
        <is>
          <t>if you are thinking about making a tin of brownies, or baking a cake, or even going to the store and buying donuts, stop. don't proceed. instead make this amazing chocolate brownie in less than 2 minutes. indulging in a treat like this is perfect for those of you (me included) on a diet, who are craving dessert but don't want to go overboard by baking a dozen cookies or so. a single serving is very satisfying, and i've included 6 different variations so you can adjust the toppings/mix-ins to your taste. i tried the mounds one tonight and it was amazing! i also used hersheys special dark cocoa powder instead of regular cocoa, and it came out extra rich and chocolatey. this is a dense, moist and rich mug brownie, perfect with a glass of milk or a scoop of ice cream, enjoy!!!</t>
        </is>
      </c>
      <c r="G810" t="n">
        <v>7</v>
      </c>
      <c r="H810" t="n">
        <v>240</v>
      </c>
      <c r="I810">
        <f>D810*60</f>
        <v/>
      </c>
      <c r="J810">
        <f>COUNTIF(Отзывы!$D:$D, 486659)</f>
        <v/>
      </c>
    </row>
    <row r="811" ht="409.5" customHeight="1">
      <c r="A811" t="n">
        <v>29112</v>
      </c>
      <c r="B811" t="inlineStr">
        <is>
          <t>weight watcher s 2 pts slow cooker beef chili</t>
        </is>
      </c>
      <c r="C811" t="n">
        <v>208146</v>
      </c>
      <c r="D811" s="4" t="n">
        <v>320</v>
      </c>
      <c r="E811" s="1" t="n">
        <v>39111</v>
      </c>
      <c r="F811" s="2" t="inlineStr">
        <is>
          <t>not certain as to how many servings are in this recipe so the amount is only estimated. this is a very low fat chili, you can substitute ground turkey for the beef. this can also be made on top of the stove._x000D_
1/2 cup serving = 2 pts.</t>
        </is>
      </c>
      <c r="G811" t="n">
        <v>12</v>
      </c>
      <c r="H811" t="n">
        <v>19200</v>
      </c>
      <c r="I811">
        <f>D811*60</f>
        <v/>
      </c>
      <c r="J811">
        <f>COUNTIF(Отзывы!$D:$D, 208146)</f>
        <v/>
      </c>
    </row>
    <row r="812">
      <c r="A812" t="n">
        <v>19143</v>
      </c>
      <c r="B812" t="inlineStr">
        <is>
          <t>oma s apfelkuchen</t>
        </is>
      </c>
      <c r="C812" t="n">
        <v>188489</v>
      </c>
      <c r="D812" s="4" t="n">
        <v>95</v>
      </c>
      <c r="E812" s="1" t="n">
        <v>38989</v>
      </c>
      <c r="F812" t="inlineStr">
        <is>
          <t>or sunken apple cake.  this is based on a recipe my grandmother used.  the apples are placed on top of the dough, which raises as baked, making the apples appear as if they have sunk into the cake.</t>
        </is>
      </c>
      <c r="G812" t="n">
        <v>14</v>
      </c>
      <c r="H812" t="n">
        <v>5700</v>
      </c>
      <c r="I812">
        <f>D812*60</f>
        <v/>
      </c>
      <c r="J812">
        <f>COUNTIF(Отзывы!$D:$D, 188489)</f>
        <v/>
      </c>
    </row>
    <row r="813">
      <c r="A813" t="n">
        <v>10741</v>
      </c>
      <c r="B813" t="inlineStr">
        <is>
          <t>fancy shmancy baked chard stuffed onions</t>
        </is>
      </c>
      <c r="C813" t="n">
        <v>222807</v>
      </c>
      <c r="D813" s="4" t="n">
        <v>80</v>
      </c>
      <c r="E813" s="1" t="n">
        <v>39188</v>
      </c>
      <c r="F813" t="inlineStr">
        <is>
          <t>adapted from a cookbook called flavoring with herbs, this is a great recipe for stuffed onions, but only if you really like onions.  the presentation of them is amazing, and they can be used as a side dish to any main course, or as a vegetarian main dish (that's what we do!)</t>
        </is>
      </c>
      <c r="G813" t="n">
        <v>14</v>
      </c>
      <c r="H813" t="n">
        <v>4800</v>
      </c>
      <c r="I813">
        <f>D813*60</f>
        <v/>
      </c>
      <c r="J813">
        <f>COUNTIF(Отзывы!$D:$D, 222807)</f>
        <v/>
      </c>
    </row>
    <row r="814">
      <c r="A814" t="n">
        <v>11454</v>
      </c>
      <c r="B814" t="inlineStr">
        <is>
          <t>fried biscuits</t>
        </is>
      </c>
      <c r="C814" t="n">
        <v>101361</v>
      </c>
      <c r="D814" s="4" t="n">
        <v>22</v>
      </c>
      <c r="E814" s="1" t="n">
        <v>38266</v>
      </c>
      <c r="F814" t="inlineStr">
        <is>
          <t>deep fried biscuits not for for dieters but delicious for breakfast or with soup. these can also be made ahead and reheated. recipe source: bon appetit (july 1980)</t>
        </is>
      </c>
      <c r="H814" t="n">
        <v>1320</v>
      </c>
      <c r="I814">
        <f>D814*60</f>
        <v/>
      </c>
      <c r="J814">
        <f>COUNTIF(Отзывы!$D:$D, 101361)</f>
        <v/>
      </c>
    </row>
    <row r="815">
      <c r="A815" t="n">
        <v>29642</v>
      </c>
      <c r="B815" t="inlineStr">
        <is>
          <t>yams with lemon</t>
        </is>
      </c>
      <c r="C815" t="n">
        <v>128741</v>
      </c>
      <c r="D815" s="4" t="n">
        <v>55</v>
      </c>
      <c r="E815" s="1" t="n">
        <v>38538</v>
      </c>
      <c r="F815" t="inlineStr">
        <is>
          <t>another great recipe to add to the growing sweet potato/yam collection. healthy to boot.</t>
        </is>
      </c>
      <c r="G815" t="n">
        <v>5</v>
      </c>
      <c r="H815" t="n">
        <v>3300</v>
      </c>
      <c r="I815">
        <f>D815*60</f>
        <v/>
      </c>
      <c r="J815">
        <f>COUNTIF(Отзывы!$D:$D, 128741)</f>
        <v/>
      </c>
    </row>
    <row r="816">
      <c r="A816" t="n">
        <v>17543</v>
      </c>
      <c r="B816" t="inlineStr">
        <is>
          <t>mexican take out frijoles refritos  refried beans</t>
        </is>
      </c>
      <c r="C816" t="n">
        <v>320847</v>
      </c>
      <c r="D816" s="4" t="n">
        <v>1470</v>
      </c>
      <c r="E816" s="1" t="n">
        <v>39683</v>
      </c>
      <c r="F816" t="inlineStr">
        <is>
          <t>refried beans are a matter of taste, and for those who grew up eating good mexican food, they can also be a point of contention.  some think they should be spiced with cumin and chili powder, while others think the flavor of the beans should shine.  some think they should be mashed and refried to a thick, mortar-like paste, while others feel they should be kept loose, perhaps even adding extra water to thin them.  we like ours simple, with just the flavor of caramelized onions in the background to give them depth.</t>
        </is>
      </c>
      <c r="H816" t="n">
        <v>88200</v>
      </c>
      <c r="I816">
        <f>D816*60</f>
        <v/>
      </c>
      <c r="J816">
        <f>COUNTIF(Отзывы!$D:$D, 320847)</f>
        <v/>
      </c>
    </row>
    <row r="817">
      <c r="A817" t="n">
        <v>28008</v>
      </c>
      <c r="B817" t="inlineStr">
        <is>
          <t>triple layer mud pie</t>
        </is>
      </c>
      <c r="C817" t="n">
        <v>271466</v>
      </c>
      <c r="D817" s="4" t="n">
        <v>190</v>
      </c>
      <c r="E817" s="1" t="n">
        <v>39428</v>
      </c>
      <c r="F817" t="inlineStr">
        <is>
          <t>this is heaven. found this recipe in keebler ready crust.</t>
        </is>
      </c>
      <c r="G817" t="n">
        <v>7</v>
      </c>
      <c r="H817" t="n">
        <v>11400</v>
      </c>
      <c r="I817">
        <f>D817*60</f>
        <v/>
      </c>
      <c r="J817">
        <f>COUNTIF(Отзывы!$D:$D, 271466)</f>
        <v/>
      </c>
    </row>
    <row r="818">
      <c r="A818" t="n">
        <v>6672</v>
      </c>
      <c r="B818" t="inlineStr">
        <is>
          <t>chocolate monkey</t>
        </is>
      </c>
      <c r="C818" t="n">
        <v>338167</v>
      </c>
      <c r="D818" s="6" t="n">
        <v>5</v>
      </c>
      <c r="E818" s="1" t="n">
        <v>39771</v>
      </c>
      <c r="F818" t="inlineStr">
        <is>
          <t>this is so good.  it is more like dessert than a drink.</t>
        </is>
      </c>
      <c r="G818" t="n">
        <v>8</v>
      </c>
      <c r="H818" t="n">
        <v>300</v>
      </c>
      <c r="I818">
        <f>D818*60</f>
        <v/>
      </c>
      <c r="J818">
        <f>COUNTIF(Отзывы!$D:$D, 338167)</f>
        <v/>
      </c>
    </row>
    <row r="819" ht="375" customHeight="1">
      <c r="A819" t="n">
        <v>20216</v>
      </c>
      <c r="B819" t="inlineStr">
        <is>
          <t>peanut butter candy bar brownies</t>
        </is>
      </c>
      <c r="C819" t="n">
        <v>297494</v>
      </c>
      <c r="D819" s="4" t="n">
        <v>61</v>
      </c>
      <c r="E819" s="1" t="n">
        <v>39547</v>
      </c>
      <c r="F819" s="2" t="inlineStr">
        <is>
          <t>peanut butter sandwich cookies become the crumb crust for these hunky bars loaded with chunks of candy bar. this is from myrecipes.com_x000D_
_x000D_
prep: 26 min.; cook: 35 min.</t>
        </is>
      </c>
      <c r="G819" t="n">
        <v>10</v>
      </c>
      <c r="H819" t="n">
        <v>3660</v>
      </c>
      <c r="I819">
        <f>D819*60</f>
        <v/>
      </c>
      <c r="J819">
        <f>COUNTIF(Отзывы!$D:$D, 297494)</f>
        <v/>
      </c>
    </row>
    <row r="820">
      <c r="A820" t="n">
        <v>9156</v>
      </c>
      <c r="B820" t="inlineStr">
        <is>
          <t>das dutchman essenhaus raspberry cream pie</t>
        </is>
      </c>
      <c r="C820" t="n">
        <v>113143</v>
      </c>
      <c r="D820" s="4" t="n">
        <v>135</v>
      </c>
      <c r="E820" s="1" t="n">
        <v>38421</v>
      </c>
      <c r="F820" t="inlineStr">
        <is>
          <t>this is the very best recipe..i have used the formula when making other fruit pies for a different change of pace...i had this the first time at an amish restaurant and fell in love with it..begged and finally got the recipe...hope you enjoy..passive time includes chilling and cooling times</t>
        </is>
      </c>
      <c r="H820" t="n">
        <v>8100</v>
      </c>
      <c r="I820">
        <f>D820*60</f>
        <v/>
      </c>
      <c r="J820">
        <f>COUNTIF(Отзывы!$D:$D, 113143)</f>
        <v/>
      </c>
    </row>
    <row r="821">
      <c r="A821" t="n">
        <v>19467</v>
      </c>
      <c r="B821" t="inlineStr">
        <is>
          <t>oriental almond ponzu slaw</t>
        </is>
      </c>
      <c r="C821" t="n">
        <v>495304</v>
      </c>
      <c r="D821" s="4" t="n">
        <v>45</v>
      </c>
      <c r="E821" s="1" t="n">
        <v>41316</v>
      </c>
      <c r="F821" t="inlineStr">
        <is>
          <t>served any time of the year with fish, chicken or with hamburgers.</t>
        </is>
      </c>
      <c r="G821" t="n">
        <v>12</v>
      </c>
      <c r="H821" t="n">
        <v>2700</v>
      </c>
      <c r="I821">
        <f>D821*60</f>
        <v/>
      </c>
      <c r="J821">
        <f>COUNTIF(Отзывы!$D:$D, 495304)</f>
        <v/>
      </c>
    </row>
    <row r="822">
      <c r="A822" t="n">
        <v>20119</v>
      </c>
      <c r="B822" t="inlineStr">
        <is>
          <t>peach cosmo</t>
        </is>
      </c>
      <c r="C822" t="n">
        <v>400654</v>
      </c>
      <c r="D822" s="5" t="n">
        <v>2</v>
      </c>
      <c r="E822" s="1" t="n">
        <v>40139</v>
      </c>
      <c r="F822" t="inlineStr">
        <is>
          <t>this drink is from the signature lounge in the john hancock center in chicago.  the signature lounge on the 96th floor, opened in 1993, and from there you can gaze out over the windy city.  the drink to order, in true sex and the city fashion: the sugary peach cosmo.</t>
        </is>
      </c>
      <c r="H822" t="n">
        <v>120</v>
      </c>
      <c r="I822">
        <f>D822*60</f>
        <v/>
      </c>
      <c r="J822">
        <f>COUNTIF(Отзывы!$D:$D, 400654)</f>
        <v/>
      </c>
    </row>
    <row r="823">
      <c r="A823" t="n">
        <v>24600</v>
      </c>
      <c r="B823" t="inlineStr">
        <is>
          <t>smoked salmon hash with puffed pastry nest</t>
        </is>
      </c>
      <c r="C823" t="n">
        <v>146066</v>
      </c>
      <c r="D823" s="4" t="n">
        <v>50</v>
      </c>
      <c r="E823" s="1" t="n">
        <v>38679</v>
      </c>
      <c r="F823" t="inlineStr">
        <is>
          <t>i like this--it's a cute concept.</t>
        </is>
      </c>
      <c r="G823" t="n">
        <v>16</v>
      </c>
      <c r="H823" t="n">
        <v>3000</v>
      </c>
      <c r="I823">
        <f>D823*60</f>
        <v/>
      </c>
      <c r="J823">
        <f>COUNTIF(Отзывы!$D:$D, 146066)</f>
        <v/>
      </c>
    </row>
    <row r="824">
      <c r="A824" t="n">
        <v>11576</v>
      </c>
      <c r="B824" t="inlineStr">
        <is>
          <t>frozen souffle amaretto  windows on the world</t>
        </is>
      </c>
      <c r="C824" t="n">
        <v>527825</v>
      </c>
      <c r="D824" s="4" t="n">
        <v>390</v>
      </c>
      <c r="E824" s="1" t="n">
        <v>42589</v>
      </c>
      <c r="F824" t="inlineStr">
        <is>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is>
      </c>
      <c r="H824" t="n">
        <v>23400</v>
      </c>
      <c r="I824">
        <f>D824*60</f>
        <v/>
      </c>
      <c r="J824">
        <f>COUNTIF(Отзывы!$D:$D, 527825)</f>
        <v/>
      </c>
    </row>
    <row r="825">
      <c r="A825" t="n">
        <v>11026</v>
      </c>
      <c r="B825" t="inlineStr">
        <is>
          <t>fireweed jelly</t>
        </is>
      </c>
      <c r="C825" t="n">
        <v>208809</v>
      </c>
      <c r="D825" s="4" t="n">
        <v>80</v>
      </c>
      <c r="E825" s="1" t="n">
        <v>39115</v>
      </c>
      <c r="F825" t="inlineStr">
        <is>
          <t>i make several batches of this each summer when the fireweed in alaska is in bloom.  my kids always help pick the blooms and are always eager to eat the finished product.  its important that only the blooms are harvested - not the stems.  also, i have tried this recipe several times with certo and it will not set so be sure to use sure-jell or a powdered pectin.  prep time is estimated (depends on how long it takes you to pick fireweed, i guess!)  extra juice can be stored in fridge or freezer.</t>
        </is>
      </c>
      <c r="G825" t="n">
        <v>5</v>
      </c>
      <c r="H825" t="n">
        <v>4800</v>
      </c>
      <c r="I825">
        <f>D825*60</f>
        <v/>
      </c>
      <c r="J825">
        <f>COUNTIF(Отзывы!$D:$D, 208809)</f>
        <v/>
      </c>
    </row>
    <row r="826">
      <c r="A826" t="n">
        <v>1697</v>
      </c>
      <c r="B826" t="inlineStr">
        <is>
          <t>bacon feta stuffed chicken</t>
        </is>
      </c>
      <c r="C826" t="n">
        <v>181538</v>
      </c>
      <c r="D826" s="4" t="n">
        <v>40</v>
      </c>
      <c r="E826" s="1" t="n">
        <v>38943</v>
      </c>
      <c r="F826" t="inlineStr">
        <is>
          <t>this dish is so colorful when served on a diced tomatoes.  it comes from quick cooking (2003) and is simple to prepare.</t>
        </is>
      </c>
      <c r="H826" t="n">
        <v>2400</v>
      </c>
      <c r="I826">
        <f>D826*60</f>
        <v/>
      </c>
      <c r="J826">
        <f>COUNTIF(Отзывы!$D:$D, 181538)</f>
        <v/>
      </c>
    </row>
    <row r="827">
      <c r="A827" t="n">
        <v>16694</v>
      </c>
      <c r="B827" t="inlineStr">
        <is>
          <t>macaroni salad  dinosaur bbq</t>
        </is>
      </c>
      <c r="C827" t="n">
        <v>231672</v>
      </c>
      <c r="D827" s="4" t="n">
        <v>25</v>
      </c>
      <c r="E827" s="1" t="n">
        <v>39234</v>
      </c>
      <c r="F827" t="inlineStr">
        <is>
          <t>from the dinosaur bbq cookbook</t>
        </is>
      </c>
      <c r="H827" t="n">
        <v>1500</v>
      </c>
      <c r="I827">
        <f>D827*60</f>
        <v/>
      </c>
      <c r="J827">
        <f>COUNTIF(Отзывы!$D:$D, 231672)</f>
        <v/>
      </c>
    </row>
    <row r="828">
      <c r="A828" t="n">
        <v>639</v>
      </c>
      <c r="B828" t="inlineStr">
        <is>
          <t>amazing solan family chocolate cake  aka 3 hole cake</t>
        </is>
      </c>
      <c r="C828" t="n">
        <v>83061</v>
      </c>
      <c r="D828" s="4" t="n">
        <v>55</v>
      </c>
      <c r="E828" s="1" t="n">
        <v>38021</v>
      </c>
      <c r="F828" t="inlineStr">
        <is>
          <t>this is a swedish cake recipe; i got it from a dear friend who made it at several parties during college and always got rave reviews. now i'm the one who gets all the credit when i make it : ) my family loves it; i play the "guess-the-secret-ingredient" game (the vinegar) and no one ever has... though they've guessed everything from peanut butter to cheese! i love it because it's relatively "healthy" (no dairy, no eggs, low-fat), while it's still amazingly moist and chocolaty and dense. (you can make it even lower fat if you use only 1/4 c oil and sub. 1/2 c applesauce).</t>
        </is>
      </c>
      <c r="G828" t="n">
        <v>13</v>
      </c>
      <c r="H828" t="n">
        <v>3300</v>
      </c>
      <c r="I828">
        <f>D828*60</f>
        <v/>
      </c>
      <c r="J828">
        <f>COUNTIF(Отзывы!$D:$D, 83061)</f>
        <v/>
      </c>
    </row>
    <row r="829">
      <c r="A829" t="n">
        <v>22740</v>
      </c>
      <c r="B829" t="inlineStr">
        <is>
          <t>roasted cherry tomato  spinach and asiago pasta</t>
        </is>
      </c>
      <c r="C829" t="n">
        <v>298491</v>
      </c>
      <c r="D829" s="4" t="n">
        <v>40</v>
      </c>
      <c r="E829" s="1" t="n">
        <v>39553</v>
      </c>
      <c r="F829" t="inlineStr">
        <is>
          <t>great for lunch and light dinner.  from healthy living.</t>
        </is>
      </c>
      <c r="H829" t="n">
        <v>2400</v>
      </c>
      <c r="I829">
        <f>D829*60</f>
        <v/>
      </c>
      <c r="J829">
        <f>COUNTIF(Отзывы!$D:$D, 298491)</f>
        <v/>
      </c>
    </row>
    <row r="830">
      <c r="A830" t="n">
        <v>3143</v>
      </c>
      <c r="B830" t="inlineStr">
        <is>
          <t>black bean sweet potato burritos</t>
        </is>
      </c>
      <c r="C830" t="n">
        <v>146555</v>
      </c>
      <c r="D830" s="4" t="n">
        <v>50</v>
      </c>
      <c r="E830" s="1" t="n">
        <v>38684</v>
      </c>
      <c r="F830" t="inlineStr">
        <is>
          <t>i made these before a busy week and discovered that they are a covenient, healthy and savory quick meal that's great for travel or a short lunch. i'm not a vegan, but i use vegan cheese because it's much quicker to grate, tastes good and melts instantly. baking the burritos allows the tortillas to create a crispy seal around the contents so nothing falls out.</t>
        </is>
      </c>
      <c r="H830" t="n">
        <v>3000</v>
      </c>
      <c r="I830">
        <f>D830*60</f>
        <v/>
      </c>
      <c r="J830">
        <f>COUNTIF(Отзывы!$D:$D, 146555)</f>
        <v/>
      </c>
    </row>
    <row r="831">
      <c r="A831" t="n">
        <v>24220</v>
      </c>
      <c r="B831" t="inlineStr">
        <is>
          <t>simple chocolate iced coffee</t>
        </is>
      </c>
      <c r="C831" t="n">
        <v>245348</v>
      </c>
      <c r="D831" s="5" t="n">
        <v>2</v>
      </c>
      <c r="E831" s="1" t="n">
        <v>39302</v>
      </c>
      <c r="F831" t="inlineStr">
        <is>
          <t>a wonderfully refreshing cold treat for a hot day. easy to make with ingredients you probably have on hand. best to make up double-strong coffee the night before, but the cold remains of this morning's pot will do.</t>
        </is>
      </c>
      <c r="G831" t="n">
        <v>4</v>
      </c>
      <c r="H831" t="n">
        <v>120</v>
      </c>
      <c r="I831">
        <f>D831*60</f>
        <v/>
      </c>
      <c r="J831">
        <f>COUNTIF(Отзывы!$D:$D, 245348)</f>
        <v/>
      </c>
    </row>
    <row r="832">
      <c r="A832" t="n">
        <v>15934</v>
      </c>
      <c r="B832" t="inlineStr">
        <is>
          <t>lemon pepper flank pinwheels</t>
        </is>
      </c>
      <c r="C832" t="n">
        <v>199337</v>
      </c>
      <c r="D832" s="4" t="n">
        <v>40</v>
      </c>
      <c r="E832" s="1" t="n">
        <v>39056</v>
      </c>
      <c r="F832" t="inlineStr">
        <is>
          <t>this has been my all time favorite flank steak recipe. i usually make it without pinwheeling (is that a word?). i got this out of a better homes and gardens barbecue cookbook back in the late 70's. here i go again telling my age. cooking time does not include marinating.</t>
        </is>
      </c>
      <c r="G832" t="n">
        <v>8</v>
      </c>
      <c r="H832" t="n">
        <v>2400</v>
      </c>
      <c r="I832">
        <f>D832*60</f>
        <v/>
      </c>
      <c r="J832">
        <f>COUNTIF(Отзывы!$D:$D, 199337)</f>
        <v/>
      </c>
    </row>
    <row r="833">
      <c r="A833" t="n">
        <v>22</v>
      </c>
      <c r="B833" t="inlineStr">
        <is>
          <t>kicked up  oven fried chicken</t>
        </is>
      </c>
      <c r="C833" t="n">
        <v>141939</v>
      </c>
      <c r="D833" s="4" t="n">
        <v>345</v>
      </c>
      <c r="E833" s="1" t="n">
        <v>38644</v>
      </c>
      <c r="F833" t="inlineStr">
        <is>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is>
      </c>
      <c r="G833" t="n">
        <v>17</v>
      </c>
      <c r="H833" t="n">
        <v>20700</v>
      </c>
      <c r="I833">
        <f>D833*60</f>
        <v/>
      </c>
      <c r="J833">
        <f>COUNTIF(Отзывы!$D:$D, 141939)</f>
        <v/>
      </c>
    </row>
    <row r="834">
      <c r="A834" t="n">
        <v>23399</v>
      </c>
      <c r="B834" t="inlineStr">
        <is>
          <t>saucy pork  n noodle bake for 2</t>
        </is>
      </c>
      <c r="C834" t="n">
        <v>265339</v>
      </c>
      <c r="D834" s="4" t="n">
        <v>60</v>
      </c>
      <c r="E834" s="1" t="n">
        <v>39399</v>
      </c>
      <c r="F834" t="inlineStr">
        <is>
          <t>tasty.</t>
        </is>
      </c>
      <c r="G834" t="n">
        <v>8</v>
      </c>
      <c r="H834" t="n">
        <v>3600</v>
      </c>
      <c r="I834">
        <f>D834*60</f>
        <v/>
      </c>
      <c r="J834">
        <f>COUNTIF(Отзывы!$D:$D, 265339)</f>
        <v/>
      </c>
    </row>
    <row r="835">
      <c r="A835" t="n">
        <v>28603</v>
      </c>
      <c r="B835" t="inlineStr">
        <is>
          <t>vegan mashed cauliflower  instead of mashed potatoes</t>
        </is>
      </c>
      <c r="C835" t="n">
        <v>208857</v>
      </c>
      <c r="D835" s="4" t="n">
        <v>20</v>
      </c>
      <c r="E835" s="1" t="n">
        <v>39115</v>
      </c>
      <c r="F835" t="inlineStr">
        <is>
          <t>my husband doesn't like to eat starchy food so i found this recipe on fatfreevegan.com and modified it a bit.  this is an excellent replacement for mashed potatoes.  i like this with recipe #208856 with vegan gravy and either broccoli or green beans.</t>
        </is>
      </c>
      <c r="G835" t="n">
        <v>8</v>
      </c>
      <c r="H835" t="n">
        <v>1200</v>
      </c>
      <c r="I835">
        <f>D835*60</f>
        <v/>
      </c>
      <c r="J835">
        <f>COUNTIF(Отзывы!$D:$D, 208857)</f>
        <v/>
      </c>
    </row>
    <row r="836">
      <c r="A836" t="n">
        <v>2298</v>
      </c>
      <c r="B836" t="inlineStr">
        <is>
          <t>barbecued buzzard wings</t>
        </is>
      </c>
      <c r="C836" t="n">
        <v>346660</v>
      </c>
      <c r="D836" s="4" t="n">
        <v>50</v>
      </c>
      <c r="E836" s="1" t="n">
        <v>39818</v>
      </c>
      <c r="F836" t="inlineStr">
        <is>
          <t>inspired by the world of warcraft game. rich and tangy were the words he used to describe these delicious treats, and maybe a little spicy too, due to the hot spices used to make them. this is my own barbecue sauce recipe, especially made to be rich, tangy and spicy... just like good old rigglefuzz's.</t>
        </is>
      </c>
      <c r="H836" t="n">
        <v>3000</v>
      </c>
      <c r="I836">
        <f>D836*60</f>
        <v/>
      </c>
      <c r="J836">
        <f>COUNTIF(Отзывы!$D:$D, 346660)</f>
        <v/>
      </c>
    </row>
    <row r="837">
      <c r="A837" t="n">
        <v>15446</v>
      </c>
      <c r="B837" t="inlineStr">
        <is>
          <t>kittencal s overnight layered caramel french toast</t>
        </is>
      </c>
      <c r="C837" t="n">
        <v>92963</v>
      </c>
      <c r="D837" s="4" t="n">
        <v>1485</v>
      </c>
      <c r="E837" s="1" t="n">
        <v>38147</v>
      </c>
      <c r="F837" t="inlineStr">
        <is>
          <t>this makes the most ultimate weekend brunch, i have even made it for dinner my family, i prepare it early in morning and bake in the evening, i just use the whole loaf of french bread for this --- plan ahead this needs to stay in the fridge overnight... you will love this!</t>
        </is>
      </c>
      <c r="G837" t="n">
        <v>8</v>
      </c>
      <c r="H837" t="n">
        <v>89100</v>
      </c>
      <c r="I837">
        <f>D837*60</f>
        <v/>
      </c>
      <c r="J837">
        <f>COUNTIF(Отзывы!$D:$D, 92963)</f>
        <v/>
      </c>
    </row>
    <row r="838">
      <c r="A838" t="n">
        <v>16210</v>
      </c>
      <c r="B838" t="inlineStr">
        <is>
          <t>lime pineapple dessert  fluffy green stuff</t>
        </is>
      </c>
      <c r="C838" t="n">
        <v>59059</v>
      </c>
      <c r="D838" s="4" t="n">
        <v>220</v>
      </c>
      <c r="E838" s="1" t="n">
        <v>37720</v>
      </c>
      <c r="F838" t="inlineStr">
        <is>
          <t>posted in response to a request. this is an old family favourite. it is light and fluffy - ideal after a fairly heavy meal. always a favourite around easter time at our house. prep time includes setting time.</t>
        </is>
      </c>
      <c r="G838" t="n">
        <v>7</v>
      </c>
      <c r="H838" t="n">
        <v>13200</v>
      </c>
      <c r="I838">
        <f>D838*60</f>
        <v/>
      </c>
      <c r="J838">
        <f>COUNTIF(Отзывы!$D:$D, 59059)</f>
        <v/>
      </c>
    </row>
    <row r="839">
      <c r="A839" t="n">
        <v>23999</v>
      </c>
      <c r="B839" t="inlineStr">
        <is>
          <t>show off cheesecake</t>
        </is>
      </c>
      <c r="C839" t="n">
        <v>21791</v>
      </c>
      <c r="D839" s="4" t="n">
        <v>75</v>
      </c>
      <c r="E839" s="1" t="n">
        <v>37324</v>
      </c>
      <c r="F839" t="inlineStr">
        <is>
          <t>this is my "make an impression" cheesecake. everyone loves it. and it's really easy to make.</t>
        </is>
      </c>
      <c r="G839" t="n">
        <v>12</v>
      </c>
      <c r="H839" t="n">
        <v>4500</v>
      </c>
      <c r="I839">
        <f>D839*60</f>
        <v/>
      </c>
      <c r="J839">
        <f>COUNTIF(Отзывы!$D:$D, 21791)</f>
        <v/>
      </c>
    </row>
    <row r="840">
      <c r="A840" t="n">
        <v>8879</v>
      </c>
      <c r="B840" t="inlineStr">
        <is>
          <t>cuban sandwich with fresh goat cheese</t>
        </is>
      </c>
      <c r="C840" t="n">
        <v>363666</v>
      </c>
      <c r="D840" s="4" t="n">
        <v>20</v>
      </c>
      <c r="E840" s="1" t="n">
        <v>39902</v>
      </c>
      <c r="F840" t="inlineStr">
        <is>
          <t>a classic cuban sandwich with baked ham, pork, whole-grain mustard and pickles.  the new twist... fresh chavrie goat cheese!</t>
        </is>
      </c>
      <c r="G840" t="n">
        <v>6</v>
      </c>
      <c r="H840" t="n">
        <v>1200</v>
      </c>
      <c r="I840">
        <f>D840*60</f>
        <v/>
      </c>
      <c r="J840">
        <f>COUNTIF(Отзывы!$D:$D, 363666)</f>
        <v/>
      </c>
    </row>
    <row r="841">
      <c r="A841" t="n">
        <v>4412</v>
      </c>
      <c r="B841" t="inlineStr">
        <is>
          <t>cajun shrimp and sausage boil with garlic mayo</t>
        </is>
      </c>
      <c r="C841" t="n">
        <v>372959</v>
      </c>
      <c r="D841" s="4" t="n">
        <v>55</v>
      </c>
      <c r="E841" s="1" t="n">
        <v>39952</v>
      </c>
      <c r="F841" t="inlineStr">
        <is>
          <t>originally from better homes and gardens. easy to do, easy to share.</t>
        </is>
      </c>
      <c r="H841" t="n">
        <v>3300</v>
      </c>
      <c r="I841">
        <f>D841*60</f>
        <v/>
      </c>
      <c r="J841">
        <f>COUNTIF(Отзывы!$D:$D, 372959)</f>
        <v/>
      </c>
    </row>
    <row r="842">
      <c r="A842" t="n">
        <v>8628</v>
      </c>
      <c r="B842" t="inlineStr">
        <is>
          <t>crock pot creamy italian chicken</t>
        </is>
      </c>
      <c r="C842" t="n">
        <v>19859</v>
      </c>
      <c r="D842" s="4" t="n">
        <v>245</v>
      </c>
      <c r="E842" s="1" t="n">
        <v>37303</v>
      </c>
      <c r="G842" t="n">
        <v>7</v>
      </c>
      <c r="H842" t="n">
        <v>14700</v>
      </c>
      <c r="I842">
        <f>D842*60</f>
        <v/>
      </c>
      <c r="J842">
        <f>COUNTIF(Отзывы!$D:$D, 19859)</f>
        <v/>
      </c>
    </row>
    <row r="843">
      <c r="A843" t="n">
        <v>6417</v>
      </c>
      <c r="B843" t="inlineStr">
        <is>
          <t>chocodamia coconut delights</t>
        </is>
      </c>
      <c r="C843" t="n">
        <v>149202</v>
      </c>
      <c r="D843" s="4" t="n">
        <v>20</v>
      </c>
      <c r="E843" s="1" t="n">
        <v>38710</v>
      </c>
      <c r="F843" t="inlineStr">
        <is>
          <t>yummy chocolate cookies with macadamia nuts and coconut.</t>
        </is>
      </c>
      <c r="H843" t="n">
        <v>1200</v>
      </c>
      <c r="I843">
        <f>D843*60</f>
        <v/>
      </c>
      <c r="J843">
        <f>COUNTIF(Отзывы!$D:$D, 149202)</f>
        <v/>
      </c>
    </row>
    <row r="844">
      <c r="A844" t="n">
        <v>26859</v>
      </c>
      <c r="B844" t="inlineStr">
        <is>
          <t>swordfish steaks with tomato basil sauce</t>
        </is>
      </c>
      <c r="C844" t="n">
        <v>88303</v>
      </c>
      <c r="D844" s="4" t="n">
        <v>25</v>
      </c>
      <c r="E844" s="1" t="n">
        <v>38082</v>
      </c>
      <c r="F844" t="inlineStr">
        <is>
          <t xml:space="preserve">my own invention, a quick and easy </t>
        </is>
      </c>
      <c r="G844" t="n">
        <v>5</v>
      </c>
      <c r="H844" t="n">
        <v>1500</v>
      </c>
      <c r="I844">
        <f>D844*60</f>
        <v/>
      </c>
      <c r="J844">
        <f>COUNTIF(Отзывы!$D:$D, 88303)</f>
        <v/>
      </c>
    </row>
    <row r="845">
      <c r="A845" t="n">
        <v>22115</v>
      </c>
      <c r="B845" t="inlineStr">
        <is>
          <t>ranch bacon dip</t>
        </is>
      </c>
      <c r="C845" t="n">
        <v>175508</v>
      </c>
      <c r="D845" s="6" t="n">
        <v>5</v>
      </c>
      <c r="E845" s="1" t="n">
        <v>38898</v>
      </c>
      <c r="F845" t="inlineStr">
        <is>
          <t>a kraft recipe.  i usually kick it up a notch by adding diced pickled jalapenos or nacho slices and red pepper flakes.  tastes so much better the next day.  great for dip, wraps, or sandwich spreads.</t>
        </is>
      </c>
      <c r="G845" t="n">
        <v>7</v>
      </c>
      <c r="H845" t="n">
        <v>300</v>
      </c>
      <c r="I845">
        <f>D845*60</f>
        <v/>
      </c>
      <c r="J845">
        <f>COUNTIF(Отзывы!$D:$D, 175508)</f>
        <v/>
      </c>
    </row>
    <row r="846">
      <c r="A846" t="n">
        <v>25228</v>
      </c>
      <c r="B846" t="inlineStr">
        <is>
          <t>spiced chicken couscous with cinnamon onions</t>
        </is>
      </c>
      <c r="C846" t="n">
        <v>257244</v>
      </c>
      <c r="D846" s="4" t="n">
        <v>105</v>
      </c>
      <c r="E846" s="1" t="n">
        <v>39360</v>
      </c>
      <c r="F846" t="inlineStr">
        <is>
          <t>the cinnamon caramelized onions perk up an already great couscous.  passive time includes 30-60 minute marinade time.</t>
        </is>
      </c>
      <c r="G846" t="n">
        <v>14</v>
      </c>
      <c r="H846" t="n">
        <v>6300</v>
      </c>
      <c r="I846">
        <f>D846*60</f>
        <v/>
      </c>
      <c r="J846">
        <f>COUNTIF(Отзывы!$D:$D, 257244)</f>
        <v/>
      </c>
    </row>
    <row r="847">
      <c r="A847" t="n">
        <v>28189</v>
      </c>
      <c r="B847" t="inlineStr">
        <is>
          <t>turkey focaccia club w  special cranberry mayonnaise</t>
        </is>
      </c>
      <c r="C847" t="n">
        <v>394318</v>
      </c>
      <c r="D847" s="4" t="n">
        <v>15</v>
      </c>
      <c r="E847" s="1" t="n">
        <v>40098</v>
      </c>
      <c r="F847" t="inlineStr">
        <is>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is>
      </c>
      <c r="G847" t="n">
        <v>11</v>
      </c>
      <c r="H847" t="n">
        <v>900</v>
      </c>
      <c r="I847">
        <f>D847*60</f>
        <v/>
      </c>
      <c r="J847">
        <f>COUNTIF(Отзывы!$D:$D, 394318)</f>
        <v/>
      </c>
    </row>
    <row r="848">
      <c r="A848" t="n">
        <v>13647</v>
      </c>
      <c r="B848" t="inlineStr">
        <is>
          <t>herbal mustard cream sauce</t>
        </is>
      </c>
      <c r="C848" t="n">
        <v>427776</v>
      </c>
      <c r="D848" s="6" t="n">
        <v>5</v>
      </c>
      <c r="E848" s="1" t="n">
        <v>40329</v>
      </c>
      <c r="F848" t="inlineStr">
        <is>
          <t>created by queens of quisine for zwt #6 wild card challenge.   this british influenced sauce is great on fried, baked or grilled salmon.</t>
        </is>
      </c>
      <c r="H848" t="n">
        <v>300</v>
      </c>
      <c r="I848">
        <f>D848*60</f>
        <v/>
      </c>
      <c r="J848">
        <f>COUNTIF(Отзывы!$D:$D, 427776)</f>
        <v/>
      </c>
    </row>
    <row r="849">
      <c r="A849" t="n">
        <v>13006</v>
      </c>
      <c r="B849" t="inlineStr">
        <is>
          <t>grilled scallop teriyaki salad</t>
        </is>
      </c>
      <c r="C849" t="n">
        <v>361971</v>
      </c>
      <c r="D849" s="4" t="n">
        <v>30</v>
      </c>
      <c r="E849" s="1" t="n">
        <v>39893</v>
      </c>
      <c r="F849" t="inlineStr">
        <is>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is>
      </c>
      <c r="G849" t="n">
        <v>12</v>
      </c>
      <c r="H849" t="n">
        <v>1800</v>
      </c>
      <c r="I849">
        <f>D849*60</f>
        <v/>
      </c>
      <c r="J849">
        <f>COUNTIF(Отзывы!$D:$D, 361971)</f>
        <v/>
      </c>
    </row>
    <row r="850" ht="409.5" customHeight="1">
      <c r="A850" t="n">
        <v>7632</v>
      </c>
      <c r="B850" t="inlineStr">
        <is>
          <t>corned beef and cabbage in guinness</t>
        </is>
      </c>
      <c r="C850" t="n">
        <v>86868</v>
      </c>
      <c r="D850" s="4" t="n">
        <v>230</v>
      </c>
      <c r="E850" s="1" t="n">
        <v>38063</v>
      </c>
      <c r="F850" s="2" t="inlineStr">
        <is>
          <t>the irish butcher at my market gave me a new (to me anyway) recipe for corned beef &amp; cabbage; he told me to cook it in guinness draught. (guinness stout will make the dish bitter).  since everyone raved about it, i thought i'd share the recipe he gave me. _x000D_
_x000D_
note: some reviewers have mentioned that the broth/sauce is very salty. it is important to rinse your corned beef in cold water before cooking it to remove some of the excess salt from the corning process. (i usually soak mine in cold water for a bit depending on the brand - some are much saltier than others).  --- i have tried 5 times today to change the wording of the last ingredient on the list from "1-2lbs carrot, peeled and cut into 3-inch pieces" to "1 - 2 pounds of carrots, peeled and cut into 3-inch pieces". every time the change "goes through," it does not reflect the new wording. grrrrrrr!</t>
        </is>
      </c>
      <c r="H850" t="n">
        <v>13800</v>
      </c>
      <c r="I850">
        <f>D850*60</f>
        <v/>
      </c>
      <c r="J850">
        <f>COUNTIF(Отзывы!$D:$D, 86868)</f>
        <v/>
      </c>
    </row>
    <row r="851">
      <c r="A851" t="n">
        <v>25803</v>
      </c>
      <c r="B851" t="inlineStr">
        <is>
          <t>stamped shortbread cookies</t>
        </is>
      </c>
      <c r="C851" t="n">
        <v>118586</v>
      </c>
      <c r="D851" s="4" t="n">
        <v>24</v>
      </c>
      <c r="E851" s="1" t="n">
        <v>38464</v>
      </c>
      <c r="F851" t="inlineStr">
        <is>
          <t>this is an excellent recipe to use with my collection of cookie stamps..holds the pattern very well..</t>
        </is>
      </c>
      <c r="G851" t="n">
        <v>5</v>
      </c>
      <c r="H851" t="n">
        <v>1440</v>
      </c>
      <c r="I851">
        <f>D851*60</f>
        <v/>
      </c>
      <c r="J851">
        <f>COUNTIF(Отзывы!$D:$D, 118586)</f>
        <v/>
      </c>
    </row>
    <row r="852" ht="195" customHeight="1">
      <c r="A852" t="n">
        <v>14170</v>
      </c>
      <c r="B852" t="inlineStr">
        <is>
          <t>hot cheesy artichoke dip appetizer</t>
        </is>
      </c>
      <c r="C852" t="n">
        <v>312767</v>
      </c>
      <c r="D852" s="4" t="n">
        <v>30</v>
      </c>
      <c r="E852" s="1" t="n">
        <v>39637</v>
      </c>
      <c r="F852" s="2" t="inlineStr">
        <is>
          <t>so fast! so simple! so delicious! just four ingredients!_x000D_
make it in the crock pot too!</t>
        </is>
      </c>
      <c r="H852" t="n">
        <v>1800</v>
      </c>
      <c r="I852">
        <f>D852*60</f>
        <v/>
      </c>
      <c r="J852">
        <f>COUNTIF(Отзывы!$D:$D, 312767)</f>
        <v/>
      </c>
    </row>
    <row r="853">
      <c r="A853" t="n">
        <v>10727</v>
      </c>
      <c r="B853" t="inlineStr">
        <is>
          <t>family reunion casserole</t>
        </is>
      </c>
      <c r="C853" t="n">
        <v>83672</v>
      </c>
      <c r="D853" s="4" t="n">
        <v>60</v>
      </c>
      <c r="E853" s="1" t="n">
        <v>38028</v>
      </c>
      <c r="F853" t="inlineStr">
        <is>
          <t>chicken casserole made famous at my grandmother's family reunions.</t>
        </is>
      </c>
      <c r="H853" t="n">
        <v>3600</v>
      </c>
      <c r="I853">
        <f>D853*60</f>
        <v/>
      </c>
      <c r="J853">
        <f>COUNTIF(Отзывы!$D:$D, 83672)</f>
        <v/>
      </c>
    </row>
    <row r="854">
      <c r="A854" t="n">
        <v>21988</v>
      </c>
      <c r="B854" t="inlineStr">
        <is>
          <t>quick steamed scallops</t>
        </is>
      </c>
      <c r="C854" t="n">
        <v>425928</v>
      </c>
      <c r="D854" s="4" t="n">
        <v>20</v>
      </c>
      <c r="E854" s="1" t="n">
        <v>40315</v>
      </c>
      <c r="F854" t="inlineStr">
        <is>
          <t>this is far from a gourmet recipe but something quick and tasty i came up with after i threw something similar together recently and found the juices from the scallops falling into the water added to the flavour. what i was really thinking initially was just less washing up! but anyway just a nice simple dish for one or two you can change to suit your tastes...</t>
        </is>
      </c>
      <c r="G854" t="n">
        <v>7</v>
      </c>
      <c r="H854" t="n">
        <v>1200</v>
      </c>
      <c r="I854">
        <f>D854*60</f>
        <v/>
      </c>
      <c r="J854">
        <f>COUNTIF(Отзывы!$D:$D, 425928)</f>
        <v/>
      </c>
    </row>
    <row r="855">
      <c r="A855" t="n">
        <v>7868</v>
      </c>
      <c r="B855" t="inlineStr">
        <is>
          <t>cracker crumb topped chicken and noodle casserole</t>
        </is>
      </c>
      <c r="C855" t="n">
        <v>285591</v>
      </c>
      <c r="D855" s="4" t="n">
        <v>55</v>
      </c>
      <c r="E855" s="1" t="n">
        <v>39487</v>
      </c>
      <c r="F855" t="inlineStr">
        <is>
          <t>this recipe comes from an old local cookbook where i live. this is a great dish to take to someone that has been sick or had a baby.</t>
        </is>
      </c>
      <c r="G855" t="n">
        <v>11</v>
      </c>
      <c r="H855" t="n">
        <v>3300</v>
      </c>
      <c r="I855">
        <f>D855*60</f>
        <v/>
      </c>
      <c r="J855">
        <f>COUNTIF(Отзывы!$D:$D, 285591)</f>
        <v/>
      </c>
    </row>
    <row r="856">
      <c r="A856" t="n">
        <v>13193</v>
      </c>
      <c r="B856" t="inlineStr">
        <is>
          <t>halloween sandwich treats</t>
        </is>
      </c>
      <c r="C856" t="n">
        <v>140474</v>
      </c>
      <c r="D856" s="6" t="n">
        <v>10</v>
      </c>
      <c r="E856" s="1" t="n">
        <v>38632</v>
      </c>
      <c r="F856" t="inlineStr">
        <is>
          <t>turn simple sandwiches into an impressive halloween spread. we like to serve these with hot pumpkin or squash soup.</t>
        </is>
      </c>
      <c r="H856" t="n">
        <v>600</v>
      </c>
      <c r="I856">
        <f>D856*60</f>
        <v/>
      </c>
      <c r="J856">
        <f>COUNTIF(Отзывы!$D:$D, 140474)</f>
        <v/>
      </c>
    </row>
    <row r="857">
      <c r="A857" t="n">
        <v>27142</v>
      </c>
      <c r="B857" t="inlineStr">
        <is>
          <t>tex mex bake</t>
        </is>
      </c>
      <c r="C857" t="n">
        <v>167254</v>
      </c>
      <c r="D857" s="4" t="n">
        <v>60</v>
      </c>
      <c r="E857" s="1" t="n">
        <v>38845</v>
      </c>
      <c r="F857" t="inlineStr">
        <is>
          <t>this is one of my adopted recipes that i haven't tried yet. the original author wrote: "this may not be authentic tex-mex, but, we like it and i am sure you will too!"</t>
        </is>
      </c>
      <c r="H857" t="n">
        <v>3600</v>
      </c>
      <c r="I857">
        <f>D857*60</f>
        <v/>
      </c>
      <c r="J857">
        <f>COUNTIF(Отзывы!$D:$D, 167254)</f>
        <v/>
      </c>
    </row>
    <row r="858">
      <c r="A858" t="n">
        <v>14977</v>
      </c>
      <c r="B858" t="inlineStr">
        <is>
          <t>jerk snapper</t>
        </is>
      </c>
      <c r="C858" t="n">
        <v>95421</v>
      </c>
      <c r="D858" s="4" t="n">
        <v>72</v>
      </c>
      <c r="E858" s="1" t="n">
        <v>38180</v>
      </c>
      <c r="F858" t="inlineStr">
        <is>
          <t>easy to make in your oven or you may opt to cook it on the grill if you wish. has a nice spicy flavor. if you like blackened snapper, you will love this! if you like the fish, but want it less spicy, just cut back on the cayenne and pepper sauce.</t>
        </is>
      </c>
      <c r="G858" t="n">
        <v>16</v>
      </c>
      <c r="H858" t="n">
        <v>4320</v>
      </c>
      <c r="I858">
        <f>D858*60</f>
        <v/>
      </c>
      <c r="J858">
        <f>COUNTIF(Отзывы!$D:$D, 95421)</f>
        <v/>
      </c>
    </row>
    <row r="859">
      <c r="A859" t="n">
        <v>28900</v>
      </c>
      <c r="B859" t="inlineStr">
        <is>
          <t>vine ripened tomato  sweet onion and basil salad</t>
        </is>
      </c>
      <c r="C859" t="n">
        <v>244158</v>
      </c>
      <c r="D859" s="4" t="n">
        <v>20</v>
      </c>
      <c r="E859" s="1" t="n">
        <v>39296</v>
      </c>
      <c r="F859" t="inlineStr">
        <is>
          <t>make sure that the tomatoes are fresh vine-ripened tomatoes--they make all the difference in the world.  a delicious and quick summer salad using fresh ingredients.  for the garlic infused olive oil, i used the olive oil from juenessa's recipe #221637.</t>
        </is>
      </c>
      <c r="G859" t="n">
        <v>7</v>
      </c>
      <c r="H859" t="n">
        <v>1200</v>
      </c>
      <c r="I859">
        <f>D859*60</f>
        <v/>
      </c>
      <c r="J859">
        <f>COUNTIF(Отзывы!$D:$D, 244158)</f>
        <v/>
      </c>
    </row>
    <row r="860">
      <c r="A860" t="n">
        <v>27422</v>
      </c>
      <c r="B860" t="inlineStr">
        <is>
          <t>the easiest and most wonderful salmon sauce</t>
        </is>
      </c>
      <c r="C860" t="n">
        <v>110422</v>
      </c>
      <c r="D860" s="4" t="n">
        <v>15</v>
      </c>
      <c r="E860" s="1" t="n">
        <v>38390</v>
      </c>
      <c r="F860" t="inlineStr">
        <is>
          <t>this a scrumptious tangy sauce from my mil. just grill or bake your salmon how ever you like and then pour the sauce over. you will love it, i promise!</t>
        </is>
      </c>
      <c r="G860" t="n">
        <v>6</v>
      </c>
      <c r="H860" t="n">
        <v>900</v>
      </c>
      <c r="I860">
        <f>D860*60</f>
        <v/>
      </c>
      <c r="J860">
        <f>COUNTIF(Отзывы!$D:$D, 110422)</f>
        <v/>
      </c>
    </row>
    <row r="861">
      <c r="A861" t="n">
        <v>17406</v>
      </c>
      <c r="B861" t="inlineStr">
        <is>
          <t>memphis style barbecue sauce</t>
        </is>
      </c>
      <c r="C861" t="n">
        <v>236377</v>
      </c>
      <c r="D861" s="6" t="n">
        <v>10</v>
      </c>
      <c r="E861" s="1" t="n">
        <v>39254</v>
      </c>
      <c r="F861" t="inlineStr">
        <is>
          <t>bring the flavors of a memphis bbq pit to your backyard this summer. great on sandwiches, ribs, chicken or steaks.</t>
        </is>
      </c>
      <c r="G861" t="n">
        <v>10</v>
      </c>
      <c r="H861" t="n">
        <v>600</v>
      </c>
      <c r="I861">
        <f>D861*60</f>
        <v/>
      </c>
      <c r="J861">
        <f>COUNTIF(Отзывы!$D:$D, 236377)</f>
        <v/>
      </c>
    </row>
    <row r="862">
      <c r="A862" t="n">
        <v>26034</v>
      </c>
      <c r="B862" t="inlineStr">
        <is>
          <t>strawberry fudge balls</t>
        </is>
      </c>
      <c r="C862" t="n">
        <v>141064</v>
      </c>
      <c r="D862" s="4" t="n">
        <v>85</v>
      </c>
      <c r="E862" s="1" t="n">
        <v>38637</v>
      </c>
      <c r="F862" t="inlineStr">
        <is>
          <t>my mother in law always sends us various flavors of fudge for christmas. the package can get prety expensive so she gave me the recipes so i could make them myself.</t>
        </is>
      </c>
      <c r="G862" t="n">
        <v>5</v>
      </c>
      <c r="H862" t="n">
        <v>5100</v>
      </c>
      <c r="I862">
        <f>D862*60</f>
        <v/>
      </c>
      <c r="J862">
        <f>COUNTIF(Отзывы!$D:$D, 141064)</f>
        <v/>
      </c>
    </row>
    <row r="863" ht="285" customHeight="1">
      <c r="A863" t="n">
        <v>18337</v>
      </c>
      <c r="B863" t="inlineStr">
        <is>
          <t>mushroom olive bruschetta</t>
        </is>
      </c>
      <c r="C863" t="n">
        <v>444282</v>
      </c>
      <c r="D863" s="4" t="n">
        <v>20</v>
      </c>
      <c r="E863" s="1" t="n">
        <v>40528</v>
      </c>
      <c r="F863" s="2" t="inlineStr">
        <is>
          <t>mushrooms and olive mixture tops toasted bread slices in a tasty appetizer you can have ready in 20 minutes._x000D_
from eatbetteramerica.com</t>
        </is>
      </c>
      <c r="G863" t="n">
        <v>7</v>
      </c>
      <c r="H863" t="n">
        <v>1200</v>
      </c>
      <c r="I863">
        <f>D863*60</f>
        <v/>
      </c>
      <c r="J863">
        <f>COUNTIF(Отзывы!$D:$D, 444282)</f>
        <v/>
      </c>
    </row>
    <row r="864">
      <c r="A864" t="n">
        <v>19622</v>
      </c>
      <c r="B864" t="inlineStr">
        <is>
          <t>oven fried chicken and black bean chimichangas  oamc</t>
        </is>
      </c>
      <c r="C864" t="n">
        <v>494529</v>
      </c>
      <c r="D864" s="4" t="n">
        <v>85</v>
      </c>
      <c r="E864" s="1" t="n">
        <v>41305</v>
      </c>
      <c r="F864" t="inlineStr">
        <is>
          <t>these can be frozen and baked later.  or you can bake them and after they cool, wrap each chimichanga separately in waxed paper and freeze.</t>
        </is>
      </c>
      <c r="G864" t="n">
        <v>10</v>
      </c>
      <c r="H864" t="n">
        <v>5100</v>
      </c>
      <c r="I864">
        <f>D864*60</f>
        <v/>
      </c>
      <c r="J864">
        <f>COUNTIF(Отзывы!$D:$D, 494529)</f>
        <v/>
      </c>
    </row>
    <row r="865">
      <c r="A865" t="n">
        <v>15120</v>
      </c>
      <c r="B865" t="inlineStr">
        <is>
          <t>just plain bread pudding</t>
        </is>
      </c>
      <c r="C865" t="n">
        <v>396475</v>
      </c>
      <c r="D865" s="4" t="n">
        <v>65</v>
      </c>
      <c r="E865" s="1" t="n">
        <v>40112</v>
      </c>
      <c r="F865" t="inlineStr">
        <is>
          <t>nothing fancy, but it is the bread pudding we have had for many years and we love it.</t>
        </is>
      </c>
      <c r="G865" t="n">
        <v>7</v>
      </c>
      <c r="H865" t="n">
        <v>3900</v>
      </c>
      <c r="I865">
        <f>D865*60</f>
        <v/>
      </c>
      <c r="J865">
        <f>COUNTIF(Отзывы!$D:$D, 396475)</f>
        <v/>
      </c>
    </row>
    <row r="866">
      <c r="A866" t="n">
        <v>4464</v>
      </c>
      <c r="B866" t="inlineStr">
        <is>
          <t>california club sandwich</t>
        </is>
      </c>
      <c r="C866" t="n">
        <v>233109</v>
      </c>
      <c r="D866" s="4" t="n">
        <v>15</v>
      </c>
      <c r="E866" s="1" t="n">
        <v>39240</v>
      </c>
      <c r="F866" t="inlineStr">
        <is>
          <t>a longtime favorite sandwich of mine, since first trying the california sandwich many moons ago at a little "healthfood" deli stand in pacific beach, california. this is my version. use recipe #173076 for ease of preparation. also good with thinly sliced tomatoes, in place of the cucumbers. i hope you enjoy!</t>
        </is>
      </c>
      <c r="G866" t="n">
        <v>9</v>
      </c>
      <c r="H866" t="n">
        <v>900</v>
      </c>
      <c r="I866">
        <f>D866*60</f>
        <v/>
      </c>
      <c r="J866">
        <f>COUNTIF(Отзывы!$D:$D, 233109)</f>
        <v/>
      </c>
    </row>
    <row r="867">
      <c r="A867" t="n">
        <v>10262</v>
      </c>
      <c r="B867" t="inlineStr">
        <is>
          <t>easy toffee squares  candy</t>
        </is>
      </c>
      <c r="C867" t="n">
        <v>269030</v>
      </c>
      <c r="D867" s="4" t="n">
        <v>25</v>
      </c>
      <c r="E867" s="1" t="n">
        <v>39416</v>
      </c>
      <c r="F867" t="inlineStr">
        <is>
          <t>nice texture, not too sticky and not too hard.  saved this recipe from home ec a long time ago.</t>
        </is>
      </c>
      <c r="G867" t="n">
        <v>5</v>
      </c>
      <c r="H867" t="n">
        <v>1500</v>
      </c>
      <c r="I867">
        <f>D867*60</f>
        <v/>
      </c>
      <c r="J867">
        <f>COUNTIF(Отзывы!$D:$D, 269030)</f>
        <v/>
      </c>
    </row>
    <row r="868">
      <c r="A868" t="n">
        <v>26791</v>
      </c>
      <c r="B868" t="inlineStr">
        <is>
          <t>sweet tomato chutney</t>
        </is>
      </c>
      <c r="C868" t="n">
        <v>482649</v>
      </c>
      <c r="D868" s="4" t="n">
        <v>35</v>
      </c>
      <c r="E868" s="1" t="n">
        <v>41098</v>
      </c>
      <c r="F868" t="inlineStr">
        <is>
          <t>chutney's are very common in indian meals.  this chutney goes very well with lamb or pork korma or recipe #482473 482473.</t>
        </is>
      </c>
      <c r="G868" t="n">
        <v>12</v>
      </c>
      <c r="H868" t="n">
        <v>2100</v>
      </c>
      <c r="I868">
        <f>D868*60</f>
        <v/>
      </c>
      <c r="J868">
        <f>COUNTIF(Отзывы!$D:$D, 482649)</f>
        <v/>
      </c>
    </row>
    <row r="869" ht="409.5" customHeight="1">
      <c r="A869" t="n">
        <v>17960</v>
      </c>
      <c r="B869" t="inlineStr">
        <is>
          <t>mom s best ever pineapple  pork chops</t>
        </is>
      </c>
      <c r="C869" t="n">
        <v>404528</v>
      </c>
      <c r="D869" s="4" t="n">
        <v>80</v>
      </c>
      <c r="E869" s="1" t="n">
        <v>40168</v>
      </c>
      <c r="F869" s="2" t="inlineStr">
        <is>
          <t>this is a receipe mom mom has done since i was little and it is a easy tasty way to please guests and children are sure to all love this , anyone i make it for always asks for the receipe . it is great for family or potluck or even crock pot party _x000D_
yummmmm _x000D_
must try</t>
        </is>
      </c>
      <c r="G869" t="n">
        <v>11</v>
      </c>
      <c r="H869" t="n">
        <v>4800</v>
      </c>
      <c r="I869">
        <f>D869*60</f>
        <v/>
      </c>
      <c r="J869">
        <f>COUNTIF(Отзывы!$D:$D, 404528)</f>
        <v/>
      </c>
    </row>
    <row r="870">
      <c r="A870" t="n">
        <v>21526</v>
      </c>
      <c r="B870" t="inlineStr">
        <is>
          <t>prawns in an apple sauternes broth</t>
        </is>
      </c>
      <c r="C870" t="n">
        <v>118420</v>
      </c>
      <c r="D870" s="4" t="n">
        <v>45</v>
      </c>
      <c r="E870" s="1" t="n">
        <v>38464</v>
      </c>
      <c r="F870" t="inlineStr">
        <is>
          <t>this recipe is part of a meal i made at culinary communion, with chef gabriel claycamp.  culinary communion teaches cooking and wine classes in the seattle area in an effort to create a community of food enthusiasts.  in each class, we drink wine, laugh, and talk. and, of course, sit down to enjoy the meal we've created together.  this dish, the first our class made together, was delicious and surprisingly easy to make!  recipe posted with permission.</t>
        </is>
      </c>
      <c r="G870" t="n">
        <v>17</v>
      </c>
      <c r="H870" t="n">
        <v>2700</v>
      </c>
      <c r="I870">
        <f>D870*60</f>
        <v/>
      </c>
      <c r="J870">
        <f>COUNTIF(Отзывы!$D:$D, 118420)</f>
        <v/>
      </c>
    </row>
    <row r="871">
      <c r="A871" t="n">
        <v>29684</v>
      </c>
      <c r="B871" t="inlineStr">
        <is>
          <t>yogurt and apple raita</t>
        </is>
      </c>
      <c r="C871" t="n">
        <v>173961</v>
      </c>
      <c r="D871" s="6" t="n">
        <v>5</v>
      </c>
      <c r="E871" s="1" t="n">
        <v>38888</v>
      </c>
      <c r="F871" t="inlineStr">
        <is>
          <t>this is from india.  posted for zwt 2006.  great accompaniment to any meal, or on its own.</t>
        </is>
      </c>
      <c r="H871" t="n">
        <v>300</v>
      </c>
      <c r="I871">
        <f>D871*60</f>
        <v/>
      </c>
      <c r="J871">
        <f>COUNTIF(Отзывы!$D:$D, 173961)</f>
        <v/>
      </c>
    </row>
    <row r="872">
      <c r="A872" t="n">
        <v>24996</v>
      </c>
      <c r="B872" t="inlineStr">
        <is>
          <t>southwestern chicken</t>
        </is>
      </c>
      <c r="C872" t="n">
        <v>160967</v>
      </c>
      <c r="D872" s="4" t="n">
        <v>490</v>
      </c>
      <c r="E872" s="1" t="n">
        <v>38798</v>
      </c>
      <c r="F872" t="inlineStr">
        <is>
          <t>yummy! add some v8 juice, and shred the chicken for a tasty soup on a cold day :)</t>
        </is>
      </c>
      <c r="H872" t="n">
        <v>29400</v>
      </c>
      <c r="I872">
        <f>D872*60</f>
        <v/>
      </c>
      <c r="J872">
        <f>COUNTIF(Отзывы!$D:$D, 160967)</f>
        <v/>
      </c>
    </row>
    <row r="873">
      <c r="A873" t="n">
        <v>20393</v>
      </c>
      <c r="B873" t="inlineStr">
        <is>
          <t>pecan spice cake</t>
        </is>
      </c>
      <c r="C873" t="n">
        <v>13414</v>
      </c>
      <c r="D873" s="4" t="n">
        <v>172</v>
      </c>
      <c r="E873" s="1" t="n">
        <v>37193</v>
      </c>
      <c r="F873" t="inlineStr">
        <is>
          <t>i have not made this (yet), but it is here for all who want to try it. it sounds to-die-for!</t>
        </is>
      </c>
      <c r="G873" t="n">
        <v>13</v>
      </c>
      <c r="H873" t="n">
        <v>10320</v>
      </c>
      <c r="I873">
        <f>D873*60</f>
        <v/>
      </c>
      <c r="J873">
        <f>COUNTIF(Отзывы!$D:$D, 13414)</f>
        <v/>
      </c>
    </row>
    <row r="874">
      <c r="A874" t="n">
        <v>27971</v>
      </c>
      <c r="B874" t="inlineStr">
        <is>
          <t>tricolor fusilli salad with herbed wine dressing  pasta salad</t>
        </is>
      </c>
      <c r="C874" t="n">
        <v>226589</v>
      </c>
      <c r="D874" s="4" t="n">
        <v>40</v>
      </c>
      <c r="E874" s="1" t="n">
        <v>39209</v>
      </c>
      <c r="F874" t="inlineStr">
        <is>
          <t>fusilli pasta with raisins, olives, and nuts tossed in a fresh herb white wine dressing. this cool and refreshing salad is perfect for lunch or as a side to dinner.</t>
        </is>
      </c>
      <c r="G874" t="n">
        <v>12</v>
      </c>
      <c r="H874" t="n">
        <v>2400</v>
      </c>
      <c r="I874">
        <f>D874*60</f>
        <v/>
      </c>
      <c r="J874">
        <f>COUNTIF(Отзывы!$D:$D, 226589)</f>
        <v/>
      </c>
    </row>
    <row r="875">
      <c r="A875" t="n">
        <v>24544</v>
      </c>
      <c r="B875" t="inlineStr">
        <is>
          <t>slow roasted balsamic tomatoes with leeks and basil</t>
        </is>
      </c>
      <c r="C875" t="n">
        <v>113428</v>
      </c>
      <c r="D875" s="4" t="n">
        <v>75</v>
      </c>
      <c r="E875" s="1" t="n">
        <v>38426</v>
      </c>
      <c r="F875" t="inlineStr">
        <is>
          <t>this is adapted from a jamie oliver recipe in "jamie's kitchen". it's so easy to make and is delicious. goes beautifully with chicken breast fillets stuffed with feta, olives and whatever else you like .....yum! to fit in with 'zaar's publishing requirements, i have put in specific quantities for the salt and pepper, whereas the original recipe doesn't, so please change them to suit your personal taste.</t>
        </is>
      </c>
      <c r="G875" t="n">
        <v>9</v>
      </c>
      <c r="H875" t="n">
        <v>4500</v>
      </c>
      <c r="I875">
        <f>D875*60</f>
        <v/>
      </c>
      <c r="J875">
        <f>COUNTIF(Отзывы!$D:$D, 113428)</f>
        <v/>
      </c>
    </row>
    <row r="876">
      <c r="A876" t="n">
        <v>16703</v>
      </c>
      <c r="B876" t="inlineStr">
        <is>
          <t>machli aur tamatar  curried halibut</t>
        </is>
      </c>
      <c r="C876" t="n">
        <v>481893</v>
      </c>
      <c r="D876" s="4" t="n">
        <v>33</v>
      </c>
      <c r="E876" s="1" t="n">
        <v>41091</v>
      </c>
      <c r="F876" t="inlineStr">
        <is>
          <t>adapted from time-life foods of the world.  any firm white fish steak may be substituted for the halibut.  when you measure fresh cilantro, make sure it is dry.  if it is wet, it will pack down and you'll get too much.</t>
        </is>
      </c>
      <c r="G876" t="n">
        <v>12</v>
      </c>
      <c r="H876" t="n">
        <v>1980</v>
      </c>
      <c r="I876">
        <f>D876*60</f>
        <v/>
      </c>
      <c r="J876">
        <f>COUNTIF(Отзывы!$D:$D, 481893)</f>
        <v/>
      </c>
    </row>
    <row r="877">
      <c r="A877" t="n">
        <v>24180</v>
      </c>
      <c r="B877" t="inlineStr">
        <is>
          <t>simi s pasta al forno</t>
        </is>
      </c>
      <c r="C877" t="n">
        <v>464639</v>
      </c>
      <c r="D877" s="4" t="n">
        <v>75</v>
      </c>
      <c r="E877" s="1" t="n">
        <v>40807</v>
      </c>
      <c r="F877" t="inlineStr">
        <is>
          <t>one of simi's favorite dishes is pasta al forno from nick's, a little italian place by home. she declared this recipe even better. it is gooey with the mozzarella and provolone and healthy with the spinach. this like lasagne or baked ziti can be put together ahead of time and as with most pasta dishes the leftovers are even better. this freezes well in individual portions for a quick meal the kids can "make" for themselves.</t>
        </is>
      </c>
      <c r="G877" t="n">
        <v>20</v>
      </c>
      <c r="H877" t="n">
        <v>4500</v>
      </c>
      <c r="I877">
        <f>D877*60</f>
        <v/>
      </c>
      <c r="J877">
        <f>COUNTIF(Отзывы!$D:$D, 464639)</f>
        <v/>
      </c>
    </row>
    <row r="878">
      <c r="A878" t="n">
        <v>24503</v>
      </c>
      <c r="B878" t="inlineStr">
        <is>
          <t>slow cooker pork barbecue</t>
        </is>
      </c>
      <c r="C878" t="n">
        <v>95238</v>
      </c>
      <c r="D878" s="4" t="n">
        <v>425</v>
      </c>
      <c r="E878" s="1" t="n">
        <v>38175</v>
      </c>
      <c r="F878" t="inlineStr">
        <is>
          <t>this comes from my southern living homestyle cooking cookbook. this is incredibly easy to throw in the pot before you leave for work, and come home to a nice, hot and tasty dinner. my husband loves this. i always half the recipe, and only use pork, but i am posting it the way it appears in the cookbook. cubed pork chops work fine for this. goes great with pickles and cole slaw.</t>
        </is>
      </c>
      <c r="G878" t="n">
        <v>12</v>
      </c>
      <c r="H878" t="n">
        <v>25500</v>
      </c>
      <c r="I878">
        <f>D878*60</f>
        <v/>
      </c>
      <c r="J878">
        <f>COUNTIF(Отзывы!$D:$D, 95238)</f>
        <v/>
      </c>
    </row>
    <row r="879">
      <c r="A879" t="n">
        <v>23238</v>
      </c>
      <c r="B879" t="inlineStr">
        <is>
          <t>salmon stew  scandinavian style</t>
        </is>
      </c>
      <c r="C879" t="n">
        <v>425949</v>
      </c>
      <c r="D879" s="4" t="n">
        <v>50</v>
      </c>
      <c r="E879" s="1" t="n">
        <v>40315</v>
      </c>
      <c r="F879" t="inlineStr">
        <is>
          <t>a rich, creamy stew with potatoes, mushrooms, onions, and bacon. indulge yourself. modified from a recipe on the slow cook website. posted for zwt.</t>
        </is>
      </c>
      <c r="G879" t="n">
        <v>9</v>
      </c>
      <c r="H879" t="n">
        <v>3000</v>
      </c>
      <c r="I879">
        <f>D879*60</f>
        <v/>
      </c>
      <c r="J879">
        <f>COUNTIF(Отзывы!$D:$D, 425949)</f>
        <v/>
      </c>
    </row>
    <row r="880">
      <c r="A880" t="n">
        <v>4359</v>
      </c>
      <c r="B880" t="inlineStr">
        <is>
          <t>cafe pucci</t>
        </is>
      </c>
      <c r="C880" t="n">
        <v>457808</v>
      </c>
      <c r="D880" s="6" t="n">
        <v>8</v>
      </c>
      <c r="E880" s="1" t="n">
        <v>40696</v>
      </c>
      <c r="F880" t="inlineStr">
        <is>
          <t>an italian coffee dream served warm</t>
        </is>
      </c>
      <c r="G880" t="n">
        <v>5</v>
      </c>
      <c r="H880" t="n">
        <v>480</v>
      </c>
      <c r="I880">
        <f>D880*60</f>
        <v/>
      </c>
      <c r="J880">
        <f>COUNTIF(Отзывы!$D:$D, 457808)</f>
        <v/>
      </c>
    </row>
    <row r="881">
      <c r="A881" t="n">
        <v>10284</v>
      </c>
      <c r="B881" t="inlineStr">
        <is>
          <t>easy weeknight casserole</t>
        </is>
      </c>
      <c r="C881" t="n">
        <v>304101</v>
      </c>
      <c r="D881" s="4" t="n">
        <v>35</v>
      </c>
      <c r="E881" s="1" t="n">
        <v>39586</v>
      </c>
      <c r="F881" t="inlineStr">
        <is>
          <t>this is a casserole my dad (who never cooks) made when my mom was late coming home from work.  it is super fast and easy and now it is in regular rotation in my family's weekly menus.</t>
        </is>
      </c>
      <c r="G881" t="n">
        <v>4</v>
      </c>
      <c r="H881" t="n">
        <v>2100</v>
      </c>
      <c r="I881">
        <f>D881*60</f>
        <v/>
      </c>
      <c r="J881">
        <f>COUNTIF(Отзывы!$D:$D, 304101)</f>
        <v/>
      </c>
    </row>
    <row r="882">
      <c r="A882" t="n">
        <v>22645</v>
      </c>
      <c r="B882" t="inlineStr">
        <is>
          <t>riz za pizza</t>
        </is>
      </c>
      <c r="C882" t="n">
        <v>191839</v>
      </c>
      <c r="D882" s="4" t="n">
        <v>25</v>
      </c>
      <c r="E882" s="1" t="n">
        <v>39013</v>
      </c>
      <c r="F882" t="inlineStr">
        <is>
          <t>rice pizza is a good alternative for those with such conditions as diabetes, cellac disease and even those following a vegetarian diet because it is nutritious and gluten free. (from the local newspaper)</t>
        </is>
      </c>
      <c r="G882" t="n">
        <v>8</v>
      </c>
      <c r="H882" t="n">
        <v>1500</v>
      </c>
      <c r="I882">
        <f>D882*60</f>
        <v/>
      </c>
      <c r="J882">
        <f>COUNTIF(Отзывы!$D:$D, 191839)</f>
        <v/>
      </c>
    </row>
    <row r="883">
      <c r="A883" t="n">
        <v>16345</v>
      </c>
      <c r="B883" t="inlineStr">
        <is>
          <t>lone star tomato pie</t>
        </is>
      </c>
      <c r="C883" t="n">
        <v>379117</v>
      </c>
      <c r="D883" s="4" t="n">
        <v>60</v>
      </c>
      <c r="E883" s="1" t="n">
        <v>39990</v>
      </c>
      <c r="F883" t="inlineStr">
        <is>
          <t>this recipe originally came from lone star restaurant in santee, south carolina.  my sister gave it to me and it is delicious.  using day old flavored bread is a plus.  you can tweak it with fresh herbs in the cheese mixture to your taste.  for us, this has never turned out too "watery" as with other recipes.  bon apetit!</t>
        </is>
      </c>
      <c r="G883" t="n">
        <v>6</v>
      </c>
      <c r="H883" t="n">
        <v>3600</v>
      </c>
      <c r="I883">
        <f>D883*60</f>
        <v/>
      </c>
      <c r="J883">
        <f>COUNTIF(Отзывы!$D:$D, 379117)</f>
        <v/>
      </c>
    </row>
    <row r="884">
      <c r="A884" t="n">
        <v>22852</v>
      </c>
      <c r="B884" t="inlineStr">
        <is>
          <t>roasted sweet potato fries or rounds</t>
        </is>
      </c>
      <c r="C884" t="n">
        <v>98439</v>
      </c>
      <c r="D884" s="4" t="n">
        <v>35</v>
      </c>
      <c r="E884" s="1" t="n">
        <v>38224</v>
      </c>
      <c r="F884" t="inlineStr">
        <is>
          <t>a nice change of pace from "regular" fries. i like dipping them in sour cream or eating them plain.</t>
        </is>
      </c>
      <c r="G884" t="n">
        <v>4</v>
      </c>
      <c r="H884" t="n">
        <v>2100</v>
      </c>
      <c r="I884">
        <f>D884*60</f>
        <v/>
      </c>
      <c r="J884">
        <f>COUNTIF(Отзывы!$D:$D, 98439)</f>
        <v/>
      </c>
    </row>
    <row r="885">
      <c r="A885" t="n">
        <v>19754</v>
      </c>
      <c r="B885" t="inlineStr">
        <is>
          <t>pan seared scallops with bacon and spinach</t>
        </is>
      </c>
      <c r="C885" t="n">
        <v>421336</v>
      </c>
      <c r="D885" s="4" t="n">
        <v>30</v>
      </c>
      <c r="E885" s="1" t="n">
        <v>40290</v>
      </c>
      <c r="F885" t="inlineStr">
        <is>
          <t>outstanding! scallops are simple to prepare, and with a screaming hot skillet, you get a gorgeous crust without having to bread the shellfish. serve with multi-grain baguette and a glass of wine cooking light magazine, may 2010 edition.;)</t>
        </is>
      </c>
      <c r="G885" t="n">
        <v>9</v>
      </c>
      <c r="H885" t="n">
        <v>1800</v>
      </c>
      <c r="I885">
        <f>D885*60</f>
        <v/>
      </c>
      <c r="J885">
        <f>COUNTIF(Отзывы!$D:$D, 421336)</f>
        <v/>
      </c>
    </row>
    <row r="886">
      <c r="A886" t="n">
        <v>25568</v>
      </c>
      <c r="B886" t="inlineStr">
        <is>
          <t>spinach   kiwi salad</t>
        </is>
      </c>
      <c r="C886" t="n">
        <v>327976</v>
      </c>
      <c r="D886" s="6" t="n">
        <v>8</v>
      </c>
      <c r="E886" s="1" t="n">
        <v>39721</v>
      </c>
      <c r="F886" t="inlineStr">
        <is>
          <t>i have a spinach with strawberry salad that i wanted to make, but only had a kiwi, so i came up with this. plus, i needed it in a hurry, so used the prepared dressing. dh volunteered that he loved the fruit in the salad, so...</t>
        </is>
      </c>
      <c r="H886" t="n">
        <v>480</v>
      </c>
      <c r="I886">
        <f>D886*60</f>
        <v/>
      </c>
      <c r="J886">
        <f>COUNTIF(Отзывы!$D:$D, 327976)</f>
        <v/>
      </c>
    </row>
    <row r="887">
      <c r="A887" t="n">
        <v>10217</v>
      </c>
      <c r="B887" t="inlineStr">
        <is>
          <t>easy slow cooker ground beef stroganoff</t>
        </is>
      </c>
      <c r="C887" t="n">
        <v>352815</v>
      </c>
      <c r="D887" s="4" t="n">
        <v>200</v>
      </c>
      <c r="E887" s="1" t="n">
        <v>39842</v>
      </c>
      <c r="F887" t="inlineStr">
        <is>
          <t>easy crock pot recipe!</t>
        </is>
      </c>
      <c r="G887" t="n">
        <v>9</v>
      </c>
      <c r="H887" t="n">
        <v>12000</v>
      </c>
      <c r="I887">
        <f>D887*60</f>
        <v/>
      </c>
      <c r="J887">
        <f>COUNTIF(Отзывы!$D:$D, 352815)</f>
        <v/>
      </c>
    </row>
    <row r="888">
      <c r="A888" t="n">
        <v>14174</v>
      </c>
      <c r="B888" t="inlineStr">
        <is>
          <t>hot chicken super bowls</t>
        </is>
      </c>
      <c r="C888" t="n">
        <v>207714</v>
      </c>
      <c r="D888" s="4" t="n">
        <v>30</v>
      </c>
      <c r="E888" s="1" t="n">
        <v>39108</v>
      </c>
      <c r="F888" t="inlineStr">
        <is>
          <t>an honorable mention from the state fair of texas prize winning recipes cookbook.  hot chicken salad stuffed in rolls topped with potato chips - almost makes a girl salivate to imagine.  the original version contained 15 grams of fat per serving - excluding the potato chips!  we loved this dish but not the fat so i tweaked it to make it more heart friendly. should you not want to go to the trouble of stuffing the rolls, the chicken salad by itself is one of the best i've tasted.  i made lettuce wraps with some salad that was leftover and it was scrumptious.</t>
        </is>
      </c>
      <c r="H888" t="n">
        <v>1800</v>
      </c>
      <c r="I888">
        <f>D888*60</f>
        <v/>
      </c>
      <c r="J888">
        <f>COUNTIF(Отзывы!$D:$D, 207714)</f>
        <v/>
      </c>
    </row>
    <row r="889">
      <c r="A889" t="n">
        <v>12152</v>
      </c>
      <c r="B889" t="inlineStr">
        <is>
          <t>gluten free vegan zucchini eggplant lasagna</t>
        </is>
      </c>
      <c r="C889" t="n">
        <v>512214</v>
      </c>
      <c r="D889" s="4" t="n">
        <v>95</v>
      </c>
      <c r="E889" s="1" t="n">
        <v>41655</v>
      </c>
      <c r="F889" t="inlineStr">
        <is>
          <t>pasta free, no eggs or dairy and simply delicious!</t>
        </is>
      </c>
      <c r="G889" t="n">
        <v>16</v>
      </c>
      <c r="H889" t="n">
        <v>5700</v>
      </c>
      <c r="I889">
        <f>D889*60</f>
        <v/>
      </c>
      <c r="J889">
        <f>COUNTIF(Отзывы!$D:$D, 512214)</f>
        <v/>
      </c>
    </row>
    <row r="890">
      <c r="A890" t="n">
        <v>17052</v>
      </c>
      <c r="B890" t="inlineStr">
        <is>
          <t>marinated ham biscuits</t>
        </is>
      </c>
      <c r="C890" t="n">
        <v>235650</v>
      </c>
      <c r="D890" s="4" t="n">
        <v>45</v>
      </c>
      <c r="E890" s="1" t="n">
        <v>39252</v>
      </c>
      <c r="F890" t="inlineStr">
        <is>
          <t>don't know if these are posted or not but they are too good to pass up! this is a recipe my mother has made for years. every time there is a household or bridal shower these are requested. we have even had to make these for wedding receptions and i make them for our schools graduation dinner. last year i made 150 of these and they were gone within minutes.</t>
        </is>
      </c>
      <c r="G890" t="n">
        <v>6</v>
      </c>
      <c r="H890" t="n">
        <v>2700</v>
      </c>
      <c r="I890">
        <f>D890*60</f>
        <v/>
      </c>
      <c r="J890">
        <f>COUNTIF(Отзывы!$D:$D, 235650)</f>
        <v/>
      </c>
    </row>
    <row r="891">
      <c r="A891" t="n">
        <v>6856</v>
      </c>
      <c r="B891" t="inlineStr">
        <is>
          <t>chorizo and shrimp quesadillas with smoky guacamole</t>
        </is>
      </c>
      <c r="C891" t="n">
        <v>229384</v>
      </c>
      <c r="D891" s="4" t="n">
        <v>25</v>
      </c>
      <c r="E891" s="1" t="n">
        <v>39224</v>
      </c>
      <c r="F891" t="inlineStr">
        <is>
          <t>this one is so very, very good!  the smoky guacamole is a must; it just won't taste the same without the chipotle.  i got the recipe from my sister, who got it from someone at the food network.</t>
        </is>
      </c>
      <c r="G891" t="n">
        <v>12</v>
      </c>
      <c r="H891" t="n">
        <v>1500</v>
      </c>
      <c r="I891">
        <f>D891*60</f>
        <v/>
      </c>
      <c r="J891">
        <f>COUNTIF(Отзывы!$D:$D, 229384)</f>
        <v/>
      </c>
    </row>
    <row r="892" ht="409.5" customHeight="1">
      <c r="A892" t="n">
        <v>16104</v>
      </c>
      <c r="B892" t="inlineStr">
        <is>
          <t>lidia s italy chicken with artichokes</t>
        </is>
      </c>
      <c r="C892" t="n">
        <v>294717</v>
      </c>
      <c r="D892" s="4" t="n">
        <v>80</v>
      </c>
      <c r="E892" s="1" t="n">
        <v>39534</v>
      </c>
      <c r="F892" s="2" t="inlineStr">
        <is>
          <t>i was watching the today show the other day and they had lidia on preparing this recipe. i was so excited because i had some artichoke and didn't know what to do with them so i made this. yum!!!!! _x000D_
my boyfriend absolutely loved this. he said it was one of my bests! :) i served it with baked carrots in butter, parsley and garlic salt. which he also loved. _x000D_
this is defiantly a crowd pleaser.</t>
        </is>
      </c>
      <c r="G892" t="n">
        <v>11</v>
      </c>
      <c r="H892" t="n">
        <v>4800</v>
      </c>
      <c r="I892">
        <f>D892*60</f>
        <v/>
      </c>
      <c r="J892">
        <f>COUNTIF(Отзывы!$D:$D, 294717)</f>
        <v/>
      </c>
    </row>
    <row r="893" ht="409.5" customHeight="1">
      <c r="A893" t="n">
        <v>2882</v>
      </c>
      <c r="B893" t="inlineStr">
        <is>
          <t>best chocolate zucchini cake  freezes well</t>
        </is>
      </c>
      <c r="C893" t="n">
        <v>411697</v>
      </c>
      <c r="D893" s="4" t="n">
        <v>65</v>
      </c>
      <c r="E893" s="1" t="n">
        <v>40213</v>
      </c>
      <c r="F893" s="2" t="inlineStr">
        <is>
          <t>moist and fluffy chocolate cake with no hint of zucchini flavour. the zucchini just keeps it moist! extremely quick to prepare, and always turns out well. plus, there's so much zucchini in it, it's practically health food ... _x000D_
from my mom's friend dina ...</t>
        </is>
      </c>
      <c r="H893" t="n">
        <v>3900</v>
      </c>
      <c r="I893">
        <f>D893*60</f>
        <v/>
      </c>
      <c r="J893">
        <f>COUNTIF(Отзывы!$D:$D, 411697)</f>
        <v/>
      </c>
    </row>
    <row r="894">
      <c r="A894" t="n">
        <v>12078</v>
      </c>
      <c r="B894" t="inlineStr">
        <is>
          <t>girl   the goat roasted cauliflower</t>
        </is>
      </c>
      <c r="C894" t="n">
        <v>491805</v>
      </c>
      <c r="D894" s="4" t="n">
        <v>30</v>
      </c>
      <c r="E894" s="1" t="n">
        <v>41257</v>
      </c>
      <c r="F894" t="inlineStr">
        <is>
          <t>this recipe is stephanie izard's, and is served at her restaurant girl&amp; the goat in chicago. i recommend checking out stephanie's video to see how she slices the cauliflower for optimal cooking in this dish: http://www.youtube.com/watch?v=tk_tymx2uiq</t>
        </is>
      </c>
      <c r="H894" t="n">
        <v>1800</v>
      </c>
      <c r="I894">
        <f>D894*60</f>
        <v/>
      </c>
      <c r="J894">
        <f>COUNTIF(Отзывы!$D:$D, 491805)</f>
        <v/>
      </c>
    </row>
    <row r="895">
      <c r="A895" t="n">
        <v>18619</v>
      </c>
      <c r="B895" t="inlineStr">
        <is>
          <t>new orleans rosemary shrimp</t>
        </is>
      </c>
      <c r="C895" t="n">
        <v>223400</v>
      </c>
      <c r="D895" s="4" t="n">
        <v>25</v>
      </c>
      <c r="E895" s="1" t="n">
        <v>39190</v>
      </c>
      <c r="F895" t="inlineStr">
        <is>
          <t>delicious and spicy! this dish is elegant and easy. it goes well with a chilled sweet white wine.</t>
        </is>
      </c>
      <c r="G895" t="n">
        <v>12</v>
      </c>
      <c r="H895" t="n">
        <v>1500</v>
      </c>
      <c r="I895">
        <f>D895*60</f>
        <v/>
      </c>
      <c r="J895">
        <f>COUNTIF(Отзывы!$D:$D, 223400)</f>
        <v/>
      </c>
    </row>
    <row r="896">
      <c r="A896" t="n">
        <v>21802</v>
      </c>
      <c r="B896" t="inlineStr">
        <is>
          <t>purple crayon</t>
        </is>
      </c>
      <c r="C896" t="n">
        <v>189562</v>
      </c>
      <c r="D896" s="6" t="n">
        <v>5</v>
      </c>
      <c r="E896" s="1" t="n">
        <v>38998</v>
      </c>
      <c r="F896" t="inlineStr">
        <is>
          <t>a sweet and fruity drink. and it is a great color purple!!!</t>
        </is>
      </c>
      <c r="H896" t="n">
        <v>300</v>
      </c>
      <c r="I896">
        <f>D896*60</f>
        <v/>
      </c>
      <c r="J896">
        <f>COUNTIF(Отзывы!$D:$D, 189562)</f>
        <v/>
      </c>
    </row>
    <row r="897">
      <c r="A897" t="n">
        <v>8770</v>
      </c>
      <c r="B897" t="inlineStr">
        <is>
          <t>croutons</t>
        </is>
      </c>
      <c r="C897" t="n">
        <v>93223</v>
      </c>
      <c r="D897" s="4" t="n">
        <v>20</v>
      </c>
      <c r="E897" s="1" t="n">
        <v>38149</v>
      </c>
      <c r="F897" t="inlineStr">
        <is>
          <t>now that i make these, i won't settle for the ones in the store. (i originally got this recipe from chef doozer, now that she is at zaar, it is sweet of her to review it for me!)</t>
        </is>
      </c>
      <c r="H897" t="n">
        <v>1200</v>
      </c>
      <c r="I897">
        <f>D897*60</f>
        <v/>
      </c>
      <c r="J897">
        <f>COUNTIF(Отзывы!$D:$D, 93223)</f>
        <v/>
      </c>
    </row>
    <row r="898" ht="409.5" customHeight="1">
      <c r="A898" t="n">
        <v>29121</v>
      </c>
      <c r="B898" t="inlineStr">
        <is>
          <t>weight watchers bbq sauce</t>
        </is>
      </c>
      <c r="C898" t="n">
        <v>288151</v>
      </c>
      <c r="D898" s="4" t="n">
        <v>20</v>
      </c>
      <c r="E898" s="1" t="n">
        <v>39501</v>
      </c>
      <c r="F898" s="2" t="inlineStr">
        <is>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_x000D_
hope you like it - scales very well_x000D_
2 drumsticks is 4 ww points</t>
        </is>
      </c>
      <c r="G898" t="n">
        <v>8</v>
      </c>
      <c r="H898" t="n">
        <v>1200</v>
      </c>
      <c r="I898">
        <f>D898*60</f>
        <v/>
      </c>
      <c r="J898">
        <f>COUNTIF(Отзывы!$D:$D, 288151)</f>
        <v/>
      </c>
    </row>
    <row r="899">
      <c r="A899" t="n">
        <v>21643</v>
      </c>
      <c r="B899" t="inlineStr">
        <is>
          <t>pumpkin   corn chowder</t>
        </is>
      </c>
      <c r="C899" t="n">
        <v>294822</v>
      </c>
      <c r="D899" s="4" t="n">
        <v>35</v>
      </c>
      <c r="E899" s="1" t="n">
        <v>39534</v>
      </c>
      <c r="F899" t="inlineStr">
        <is>
          <t>low fat pumpkin chowder, one of my son's favorites (without the cayenne). very easy to put together with very little prep time.  ww  points = 3/serving</t>
        </is>
      </c>
      <c r="G899" t="n">
        <v>8</v>
      </c>
      <c r="H899" t="n">
        <v>2100</v>
      </c>
      <c r="I899">
        <f>D899*60</f>
        <v/>
      </c>
      <c r="J899">
        <f>COUNTIF(Отзывы!$D:$D, 294822)</f>
        <v/>
      </c>
    </row>
    <row r="900">
      <c r="A900" t="n">
        <v>20210</v>
      </c>
      <c r="B900" t="inlineStr">
        <is>
          <t>peanut butter banana toast</t>
        </is>
      </c>
      <c r="C900" t="n">
        <v>95711</v>
      </c>
      <c r="D900" s="6" t="n">
        <v>5</v>
      </c>
      <c r="E900" s="1" t="n">
        <v>38183</v>
      </c>
      <c r="F900" t="inlineStr">
        <is>
          <t>my husband made this for me one sunday morning. i make it all the time now. great pick-me-up when you have an energy leakage. make sure you have lots of milk on hand when you eat this!</t>
        </is>
      </c>
      <c r="G900" t="n">
        <v>4</v>
      </c>
      <c r="H900" t="n">
        <v>300</v>
      </c>
      <c r="I900">
        <f>D900*60</f>
        <v/>
      </c>
      <c r="J900">
        <f>COUNTIF(Отзывы!$D:$D, 95711)</f>
        <v/>
      </c>
    </row>
    <row r="901">
      <c r="A901" t="n">
        <v>22328</v>
      </c>
      <c r="B901" t="inlineStr">
        <is>
          <t>red lentil and vegetable stew</t>
        </is>
      </c>
      <c r="C901" t="n">
        <v>82568</v>
      </c>
      <c r="D901" s="4" t="n">
        <v>40</v>
      </c>
      <c r="E901" s="1" t="n">
        <v>38016</v>
      </c>
      <c r="F901" t="inlineStr">
        <is>
          <t>wonderful stew, can be a vegetarian meal on its own. or you can add some diced or shredded smoked duck, if you like meat. the red lentils break down, and cause this to be like a really rich soup. if you need to stretch this out, you can serve it over white rice, to do a sort of "beans and rice" thing.</t>
        </is>
      </c>
      <c r="H901" t="n">
        <v>2400</v>
      </c>
      <c r="I901">
        <f>D901*60</f>
        <v/>
      </c>
      <c r="J901">
        <f>COUNTIF(Отзывы!$D:$D, 82568)</f>
        <v/>
      </c>
    </row>
    <row r="902">
      <c r="A902" t="n">
        <v>6050</v>
      </c>
      <c r="B902" t="inlineStr">
        <is>
          <t>chicken with bamba</t>
        </is>
      </c>
      <c r="C902" t="n">
        <v>13456</v>
      </c>
      <c r="D902" s="4" t="n">
        <v>40</v>
      </c>
      <c r="E902" s="1" t="n">
        <v>37193</v>
      </c>
      <c r="F902" t="inlineStr">
        <is>
          <t>what is bamba? bamba to an israeli kid is like cheetos to an american one. it is a snack made of peanuts, that melts in the mouth. even though it is technically junk food, it is highly recommended by pediatricians all over the country because it is coated with vitamins (???!!!), at least that's what pediatricians tell mothers. it is safe, because it melts in the mouth. for many ki</t>
        </is>
      </c>
      <c r="H902" t="n">
        <v>2400</v>
      </c>
      <c r="I902">
        <f>D902*60</f>
        <v/>
      </c>
      <c r="J902">
        <f>COUNTIF(Отзывы!$D:$D, 13456)</f>
        <v/>
      </c>
    </row>
    <row r="903">
      <c r="A903" t="n">
        <v>28383</v>
      </c>
      <c r="B903" t="inlineStr">
        <is>
          <t>ultimate cream of tomato soup</t>
        </is>
      </c>
      <c r="C903" t="n">
        <v>391660</v>
      </c>
      <c r="D903" s="4" t="n">
        <v>55</v>
      </c>
      <c r="E903" s="1" t="n">
        <v>40080</v>
      </c>
      <c r="F903" t="inlineStr">
        <is>
          <t>hard to believe this delicious soup is made with canned tomatoes!   besure to use whole tomatoes packed in juice, not puree; you'll need some of the juice for the soup.   do not skip the roasting of the tomatoes; a little more effort, but worth it!   recipe comes from cook's illustrated with a slight modification.</t>
        </is>
      </c>
      <c r="G903" t="n">
        <v>12</v>
      </c>
      <c r="H903" t="n">
        <v>3300</v>
      </c>
      <c r="I903">
        <f>D903*60</f>
        <v/>
      </c>
      <c r="J903">
        <f>COUNTIF(Отзывы!$D:$D, 391660)</f>
        <v/>
      </c>
    </row>
    <row r="904">
      <c r="A904" t="n">
        <v>24602</v>
      </c>
      <c r="B904" t="inlineStr">
        <is>
          <t>smoked salmon in vodka cream sauce</t>
        </is>
      </c>
      <c r="C904" t="n">
        <v>188996</v>
      </c>
      <c r="D904" s="4" t="n">
        <v>30</v>
      </c>
      <c r="E904" s="1" t="n">
        <v>38993</v>
      </c>
      <c r="F904" t="inlineStr">
        <is>
          <t>just something i through together the other night because i had the ingredients on hand and my kids said i should post it.</t>
        </is>
      </c>
      <c r="G904" t="n">
        <v>18</v>
      </c>
      <c r="H904" t="n">
        <v>1800</v>
      </c>
      <c r="I904">
        <f>D904*60</f>
        <v/>
      </c>
      <c r="J904">
        <f>COUNTIF(Отзывы!$D:$D, 188996)</f>
        <v/>
      </c>
    </row>
    <row r="905">
      <c r="A905" t="n">
        <v>7795</v>
      </c>
      <c r="B905" t="inlineStr">
        <is>
          <t>crme de brie mango cranberry crostini</t>
        </is>
      </c>
      <c r="C905" t="n">
        <v>421109</v>
      </c>
      <c r="D905" s="4" t="n">
        <v>20</v>
      </c>
      <c r="E905" s="1" t="n">
        <v>40289</v>
      </c>
      <c r="F905" t="inlineStr">
        <is>
          <t>creamy brie with sweet and tangy mango-cranberry chutney is a perfect afternoon snack!</t>
        </is>
      </c>
      <c r="G905" t="n">
        <v>6</v>
      </c>
      <c r="H905" t="n">
        <v>1200</v>
      </c>
      <c r="I905">
        <f>D905*60</f>
        <v/>
      </c>
      <c r="J905">
        <f>COUNTIF(Отзывы!$D:$D, 421109)</f>
        <v/>
      </c>
    </row>
    <row r="906">
      <c r="A906" t="n">
        <v>1628</v>
      </c>
      <c r="B906" t="inlineStr">
        <is>
          <t>bacon and egg empanadas</t>
        </is>
      </c>
      <c r="C906" t="n">
        <v>130244</v>
      </c>
      <c r="D906" s="4" t="n">
        <v>35</v>
      </c>
      <c r="E906" s="1" t="n">
        <v>38551</v>
      </c>
      <c r="F906" t="inlineStr">
        <is>
          <t>this recipe is different than empanadas i have seen here. this can also be made ahead of time and reheated later. *oamc*</t>
        </is>
      </c>
      <c r="G906" t="n">
        <v>11</v>
      </c>
      <c r="H906" t="n">
        <v>2100</v>
      </c>
      <c r="I906">
        <f>D906*60</f>
        <v/>
      </c>
      <c r="J906">
        <f>COUNTIF(Отзывы!$D:$D, 130244)</f>
        <v/>
      </c>
    </row>
    <row r="907">
      <c r="A907" t="n">
        <v>6603</v>
      </c>
      <c r="B907" t="inlineStr">
        <is>
          <t>chocolate eclair pie</t>
        </is>
      </c>
      <c r="C907" t="n">
        <v>355000</v>
      </c>
      <c r="D907" s="4" t="n">
        <v>620</v>
      </c>
      <c r="E907" s="1" t="n">
        <v>39853</v>
      </c>
      <c r="F907" t="inlineStr">
        <is>
          <t>dessert</t>
        </is>
      </c>
      <c r="H907" t="n">
        <v>37200</v>
      </c>
      <c r="I907">
        <f>D907*60</f>
        <v/>
      </c>
      <c r="J907">
        <f>COUNTIF(Отзывы!$D:$D, 355000)</f>
        <v/>
      </c>
    </row>
    <row r="908">
      <c r="A908" t="n">
        <v>5789</v>
      </c>
      <c r="B908" t="inlineStr">
        <is>
          <t>chicken fromage</t>
        </is>
      </c>
      <c r="C908" t="n">
        <v>82654</v>
      </c>
      <c r="D908" s="4" t="n">
        <v>35</v>
      </c>
      <c r="E908" s="1" t="n">
        <v>38017</v>
      </c>
      <c r="F908" t="inlineStr">
        <is>
          <t>this is a very rich, delicious recipe that my sister gave me many years ago. if you love green olives, as i do, you will enjoy this filling and tasty recipe. i don't know where my sister found the recipe originally. she lives alone and i know it is one she makes often and freezes up portions for herself to have again later. hope you enjoy it!</t>
        </is>
      </c>
      <c r="H908" t="n">
        <v>2100</v>
      </c>
      <c r="I908">
        <f>D908*60</f>
        <v/>
      </c>
      <c r="J908">
        <f>COUNTIF(Отзывы!$D:$D, 82654)</f>
        <v/>
      </c>
    </row>
    <row r="909">
      <c r="A909" t="n">
        <v>6758</v>
      </c>
      <c r="B909" t="inlineStr">
        <is>
          <t>chocolate slim fast slimfast peanut butter smoothie healthy</t>
        </is>
      </c>
      <c r="C909" t="n">
        <v>462416</v>
      </c>
      <c r="D909" s="5" t="n">
        <v>3</v>
      </c>
      <c r="E909" s="1" t="n">
        <v>40770</v>
      </c>
      <c r="F909" t="inlineStr">
        <is>
          <t>this is a recipe i make thats quick, easy, and healthy. you are getting your nutrients from the slimfast, as well as protein from the peanut butter, and dairy from the milk. it's quick and easy to make. (the recipe publisher didn't find the slimfast powder for calorie purposes, add 110 calories to the total for an accurate number).</t>
        </is>
      </c>
      <c r="G909" t="n">
        <v>4</v>
      </c>
      <c r="H909" t="n">
        <v>180</v>
      </c>
      <c r="I909">
        <f>D909*60</f>
        <v/>
      </c>
      <c r="J909">
        <f>COUNTIF(Отзывы!$D:$D, 462416)</f>
        <v/>
      </c>
    </row>
    <row r="910">
      <c r="A910" t="n">
        <v>25651</v>
      </c>
      <c r="B910" t="inlineStr">
        <is>
          <t>spinach pies</t>
        </is>
      </c>
      <c r="C910" t="n">
        <v>310864</v>
      </c>
      <c r="D910" s="4" t="n">
        <v>65</v>
      </c>
      <c r="E910" s="1" t="n">
        <v>39629</v>
      </c>
      <c r="F910" t="inlineStr">
        <is>
          <t>my good friend laura made these pies for us at a girls' movie night at her house. they were delicious! easy to prepare, you can make them ahead of time, as they are served at room temperature.</t>
        </is>
      </c>
      <c r="H910" t="n">
        <v>3900</v>
      </c>
      <c r="I910">
        <f>D910*60</f>
        <v/>
      </c>
      <c r="J910">
        <f>COUNTIF(Отзывы!$D:$D, 310864)</f>
        <v/>
      </c>
    </row>
    <row r="911">
      <c r="A911" t="n">
        <v>10944</v>
      </c>
      <c r="B911" t="inlineStr">
        <is>
          <t>fiesta beef rib eye steaks</t>
        </is>
      </c>
      <c r="C911" t="n">
        <v>383346</v>
      </c>
      <c r="D911" s="4" t="n">
        <v>23</v>
      </c>
      <c r="E911" s="1" t="n">
        <v>40023</v>
      </c>
      <c r="F911" t="inlineStr">
        <is>
          <t>courtesy of national cattlemen's beef association from foodlion's website.</t>
        </is>
      </c>
      <c r="G911" t="n">
        <v>5</v>
      </c>
      <c r="H911" t="n">
        <v>1380</v>
      </c>
      <c r="I911">
        <f>D911*60</f>
        <v/>
      </c>
      <c r="J911">
        <f>COUNTIF(Отзывы!$D:$D, 383346)</f>
        <v/>
      </c>
    </row>
    <row r="912">
      <c r="A912" t="n">
        <v>14748</v>
      </c>
      <c r="B912" t="inlineStr">
        <is>
          <t>italian stuffed meatloaf</t>
        </is>
      </c>
      <c r="C912" t="n">
        <v>249633</v>
      </c>
      <c r="D912" s="4" t="n">
        <v>60</v>
      </c>
      <c r="E912" s="1" t="n">
        <v>39323</v>
      </c>
      <c r="F912" t="inlineStr">
        <is>
          <t>meatloaf gets flair with this moist, italian flavored meatloaf stuffed with cheese, spinach, and roasted peppers.</t>
        </is>
      </c>
      <c r="H912" t="n">
        <v>3600</v>
      </c>
      <c r="I912">
        <f>D912*60</f>
        <v/>
      </c>
      <c r="J912">
        <f>COUNTIF(Отзывы!$D:$D, 249633)</f>
        <v/>
      </c>
    </row>
    <row r="913">
      <c r="A913" t="n">
        <v>4220</v>
      </c>
      <c r="B913" t="inlineStr">
        <is>
          <t>buttermilk pie diabetic</t>
        </is>
      </c>
      <c r="C913" t="n">
        <v>255498</v>
      </c>
      <c r="D913" s="4" t="n">
        <v>55</v>
      </c>
      <c r="E913" s="1" t="n">
        <v>39351</v>
      </c>
      <c r="F913" t="inlineStr">
        <is>
          <t>great pie for a diabetic, and you don't miss the sugar at all.</t>
        </is>
      </c>
      <c r="G913" t="n">
        <v>8</v>
      </c>
      <c r="H913" t="n">
        <v>3300</v>
      </c>
      <c r="I913">
        <f>D913*60</f>
        <v/>
      </c>
      <c r="J913">
        <f>COUNTIF(Отзывы!$D:$D, 255498)</f>
        <v/>
      </c>
    </row>
    <row r="914">
      <c r="A914" t="n">
        <v>8253</v>
      </c>
      <c r="B914" t="inlineStr">
        <is>
          <t>creamy frozen fruit cups</t>
        </is>
      </c>
      <c r="C914" t="n">
        <v>110121</v>
      </c>
      <c r="D914" s="4" t="n">
        <v>30</v>
      </c>
      <c r="E914" s="1" t="n">
        <v>38385</v>
      </c>
      <c r="F914" t="inlineStr">
        <is>
          <t>i found this recipe in a taste of home magazine.</t>
        </is>
      </c>
      <c r="G914" t="n">
        <v>8</v>
      </c>
      <c r="H914" t="n">
        <v>1800</v>
      </c>
      <c r="I914">
        <f>D914*60</f>
        <v/>
      </c>
      <c r="J914">
        <f>COUNTIF(Отзывы!$D:$D, 110121)</f>
        <v/>
      </c>
    </row>
    <row r="915">
      <c r="A915" t="n">
        <v>3468</v>
      </c>
      <c r="B915" t="inlineStr">
        <is>
          <t>bob s pasta sauce</t>
        </is>
      </c>
      <c r="C915" t="n">
        <v>53557</v>
      </c>
      <c r="D915" s="4" t="n">
        <v>180</v>
      </c>
      <c r="E915" s="1" t="n">
        <v>37657</v>
      </c>
      <c r="F915" t="inlineStr">
        <is>
          <t>this pasta sauce has always been a favorite when i serve it at home or at parties. the spice amounts are not precise, since i don't measure. i strongly recommend tasting and adjusting the spices during the simmering process. as always, when i use mushrooms, i try to use a variety, but it isn't necessary to do so. i sometimes like to add a cup of frozen baby peas towards the end of the cooking.</t>
        </is>
      </c>
      <c r="G915" t="n">
        <v>15</v>
      </c>
      <c r="H915" t="n">
        <v>10800</v>
      </c>
      <c r="I915">
        <f>D915*60</f>
        <v/>
      </c>
      <c r="J915">
        <f>COUNTIF(Отзывы!$D:$D, 53557)</f>
        <v/>
      </c>
    </row>
    <row r="916" ht="409.5" customHeight="1">
      <c r="A916" t="n">
        <v>9331</v>
      </c>
      <c r="B916" t="inlineStr">
        <is>
          <t>deliciously decadent mexican dip  vegetarian</t>
        </is>
      </c>
      <c r="C916" t="n">
        <v>198920</v>
      </c>
      <c r="D916" s="4" t="n">
        <v>15</v>
      </c>
      <c r="E916" s="1" t="n">
        <v>39054</v>
      </c>
      <c r="F916" s="2" t="inlineStr">
        <is>
          <t>---update: when doubling (or any multiplier) this recipe, please avoid that step with the garlic salt. instead substitute garlic powder and add salt to taste. :) enjoy!----_x000D_
so easy to make!!! i was hungry a wee bit late at night and came up with this super quick  delicious and creamy dip. my db gobbled it up with me and loved it. it tastes amazing on tortilla chips, crackers, fritos, whatever your heart (and tummy) desires! mix and match different cheeses or add meat/vegetables for a variety of flavors. this recipe can be made vegan by using soy-cheese substitutes. :) **use a glass or aluminum pie pan to heat in the oven and you can serve it in no time.</t>
        </is>
      </c>
      <c r="G916" t="n">
        <v>10</v>
      </c>
      <c r="H916" t="n">
        <v>900</v>
      </c>
      <c r="I916">
        <f>D916*60</f>
        <v/>
      </c>
      <c r="J916">
        <f>COUNTIF(Отзывы!$D:$D, 198920)</f>
        <v/>
      </c>
    </row>
    <row r="917">
      <c r="A917" t="n">
        <v>29746</v>
      </c>
      <c r="B917" t="inlineStr">
        <is>
          <t>yummy dill dip</t>
        </is>
      </c>
      <c r="C917" t="n">
        <v>109436</v>
      </c>
      <c r="D917" s="6" t="n">
        <v>10</v>
      </c>
      <c r="E917" s="1" t="n">
        <v>38377</v>
      </c>
      <c r="F917" t="inlineStr">
        <is>
          <t>it is so creamy and delicious.  good with recipe 109249.</t>
        </is>
      </c>
      <c r="G917" t="n">
        <v>6</v>
      </c>
      <c r="H917" t="n">
        <v>600</v>
      </c>
      <c r="I917">
        <f>D917*60</f>
        <v/>
      </c>
      <c r="J917">
        <f>COUNTIF(Отзывы!$D:$D, 109436)</f>
        <v/>
      </c>
    </row>
    <row r="918">
      <c r="A918" t="n">
        <v>18646</v>
      </c>
      <c r="B918" t="inlineStr">
        <is>
          <t>new zealand meat patties</t>
        </is>
      </c>
      <c r="C918" t="n">
        <v>478125</v>
      </c>
      <c r="D918" s="4" t="n">
        <v>35</v>
      </c>
      <c r="E918" s="1" t="n">
        <v>41016</v>
      </c>
      <c r="F918" t="inlineStr">
        <is>
          <t>adapted from the complete round the world meat cookbook.  feel free to reduce the amount of butter.</t>
        </is>
      </c>
      <c r="H918" t="n">
        <v>2100</v>
      </c>
      <c r="I918">
        <f>D918*60</f>
        <v/>
      </c>
      <c r="J918">
        <f>COUNTIF(Отзывы!$D:$D, 478125)</f>
        <v/>
      </c>
    </row>
    <row r="919">
      <c r="A919" t="n">
        <v>8885</v>
      </c>
      <c r="B919" t="inlineStr">
        <is>
          <t>cube steak in gravy  slow cooker</t>
        </is>
      </c>
      <c r="C919" t="n">
        <v>509192</v>
      </c>
      <c r="D919" s="4" t="n">
        <v>450</v>
      </c>
      <c r="E919" s="1" t="n">
        <v>41586</v>
      </c>
      <c r="F919" t="inlineStr">
        <is>
          <t>i bought some cube steaks on a whim and then was not sure what to do with them. i liked the idea of slow cooking, but not the cream of soups and mixes that so many recipes featured. so i made this up based on what i had in my pantry. mr grumpy did not speak while eating, just made little moaning noises.. i guess that means he likes it!</t>
        </is>
      </c>
      <c r="G919" t="n">
        <v>12</v>
      </c>
      <c r="H919" t="n">
        <v>27000</v>
      </c>
      <c r="I919">
        <f>D919*60</f>
        <v/>
      </c>
      <c r="J919">
        <f>COUNTIF(Отзывы!$D:$D, 509192)</f>
        <v/>
      </c>
    </row>
    <row r="920">
      <c r="A920" t="n">
        <v>25411</v>
      </c>
      <c r="B920" t="inlineStr">
        <is>
          <t>spicy lemon shrimp with basil mayonnaise</t>
        </is>
      </c>
      <c r="C920" t="n">
        <v>438227</v>
      </c>
      <c r="D920" s="4" t="n">
        <v>15</v>
      </c>
      <c r="E920" s="1" t="n">
        <v>40446</v>
      </c>
      <c r="F920" t="inlineStr">
        <is>
          <t>a recipe from betty crocker : this lovely restaurant-style appetizer can be made ahead of time.  the shrimp can marinate in the lemon mixture up to 3 hours in the refrigerator before broiling.  make the basil mayonnaise up to a day ahead, and store covered in the refrigerator.</t>
        </is>
      </c>
      <c r="G920" t="n">
        <v>9</v>
      </c>
      <c r="H920" t="n">
        <v>900</v>
      </c>
      <c r="I920">
        <f>D920*60</f>
        <v/>
      </c>
      <c r="J920">
        <f>COUNTIF(Отзывы!$D:$D, 438227)</f>
        <v/>
      </c>
    </row>
    <row r="921">
      <c r="A921" t="n">
        <v>20034</v>
      </c>
      <c r="B921" t="inlineStr">
        <is>
          <t>pat s buttermilk pancakes</t>
        </is>
      </c>
      <c r="C921" t="n">
        <v>404962</v>
      </c>
      <c r="D921" s="4" t="n">
        <v>45</v>
      </c>
      <c r="E921" s="1" t="n">
        <v>40173</v>
      </c>
      <c r="F921" t="inlineStr">
        <is>
          <t>these are fluffy and delicious--they taste like you're out at your favorite restaurant for breakfast.  the recipe doesn't state exactly how much flour to use--i am posting 3 cups (it worked for me), but feel free to adjust.  pat thompson says if you have leftover batter use it to fry onion rings.  you may also substitute corn meal for flour and use for egg bread.  recipe courtesy of dee bassett, recipes to remember 2003 chattahoochee chapter #1064 abwa.  serving size is estimated.</t>
        </is>
      </c>
      <c r="G921" t="n">
        <v>8</v>
      </c>
      <c r="H921" t="n">
        <v>2700</v>
      </c>
      <c r="I921">
        <f>D921*60</f>
        <v/>
      </c>
      <c r="J921">
        <f>COUNTIF(Отзывы!$D:$D, 404962)</f>
        <v/>
      </c>
    </row>
    <row r="922">
      <c r="A922" t="n">
        <v>15530</v>
      </c>
      <c r="B922" t="inlineStr">
        <is>
          <t>kumara  sweet potato  dampers</t>
        </is>
      </c>
      <c r="C922" t="n">
        <v>376528</v>
      </c>
      <c r="D922" s="4" t="n">
        <v>40</v>
      </c>
      <c r="E922" s="1" t="n">
        <v>39973</v>
      </c>
      <c r="F922" t="inlineStr">
        <is>
          <t>from the australian women's weekly gluten-free and allergy-free cookbook.  haven't tried so times are as per recipe in cookbook.  after first two reviews i have changed the cooking times, hopefully they will reflect the right timing.</t>
        </is>
      </c>
      <c r="G922" t="n">
        <v>8</v>
      </c>
      <c r="H922" t="n">
        <v>2400</v>
      </c>
      <c r="I922">
        <f>D922*60</f>
        <v/>
      </c>
      <c r="J922">
        <f>COUNTIF(Отзывы!$D:$D, 376528)</f>
        <v/>
      </c>
    </row>
    <row r="923">
      <c r="A923" t="n">
        <v>27801</v>
      </c>
      <c r="B923" t="inlineStr">
        <is>
          <t>tomato onion salad</t>
        </is>
      </c>
      <c r="C923" t="n">
        <v>122377</v>
      </c>
      <c r="D923" s="4" t="n">
        <v>15</v>
      </c>
      <c r="E923" s="1" t="n">
        <v>38488</v>
      </c>
      <c r="F923" t="inlineStr">
        <is>
          <t>this is from a taste of home magazine.  looked so good in the picture i had to give it a try.</t>
        </is>
      </c>
      <c r="G923" t="n">
        <v>11</v>
      </c>
      <c r="H923" t="n">
        <v>900</v>
      </c>
      <c r="I923">
        <f>D923*60</f>
        <v/>
      </c>
      <c r="J923">
        <f>COUNTIF(Отзывы!$D:$D, 122377)</f>
        <v/>
      </c>
    </row>
    <row r="924" ht="409.5" customHeight="1">
      <c r="A924" t="n">
        <v>26075</v>
      </c>
      <c r="B924" t="inlineStr">
        <is>
          <t>strawberry rhubarb cream</t>
        </is>
      </c>
      <c r="C924" t="n">
        <v>426746</v>
      </c>
      <c r="D924" s="4" t="n">
        <v>20</v>
      </c>
      <c r="E924" s="1" t="n">
        <v>40321</v>
      </c>
      <c r="F924" s="2" t="inlineStr">
        <is>
          <t>got this on line from tast of home and it looks so rich and creamy yet refreshing. i think this would be great to make in early summer when rhubarb is readily available.  there are several other recipes called this here also from taste of home but this is a little differant.  i think i'll add a few drops of red food coloring to make it a little brighter and then use additinal slices of fresh strawberries to garnish the tops.  i may even prefer to puree the rhubarb to get a really creamy texture._x000D_
prep time does not include chilling time</t>
        </is>
      </c>
      <c r="G924" t="n">
        <v>6</v>
      </c>
      <c r="H924" t="n">
        <v>1200</v>
      </c>
      <c r="I924">
        <f>D924*60</f>
        <v/>
      </c>
      <c r="J924">
        <f>COUNTIF(Отзывы!$D:$D, 426746)</f>
        <v/>
      </c>
    </row>
    <row r="925">
      <c r="A925" t="n">
        <v>21389</v>
      </c>
      <c r="B925" t="inlineStr">
        <is>
          <t>potato and pepperoni pizza patties  5fix</t>
        </is>
      </c>
      <c r="C925" t="n">
        <v>496401</v>
      </c>
      <c r="D925" s="4" t="n">
        <v>25</v>
      </c>
      <c r="E925" s="1" t="n">
        <v>41335</v>
      </c>
      <c r="F925" t="inlineStr">
        <is>
          <t>5-ingredient fix contest entry. in a collaborative effort, one snowy weekend my partner and i made homemade pizza.  the memory lasted, as did the delicious aroma of pepperoni, while i created recipes for this contest.  this was the result of it all.</t>
        </is>
      </c>
      <c r="G925" t="n">
        <v>5</v>
      </c>
      <c r="H925" t="n">
        <v>1500</v>
      </c>
      <c r="I925">
        <f>D925*60</f>
        <v/>
      </c>
      <c r="J925">
        <f>COUNTIF(Отзывы!$D:$D, 496401)</f>
        <v/>
      </c>
    </row>
    <row r="926">
      <c r="A926" t="n">
        <v>9759</v>
      </c>
      <c r="B926" t="inlineStr">
        <is>
          <t>eastenders jim branning s favourite bacon sarnie  by lynn slater</t>
        </is>
      </c>
      <c r="C926" t="n">
        <v>375848</v>
      </c>
      <c r="D926" s="6" t="n">
        <v>7</v>
      </c>
      <c r="E926" s="1" t="n">
        <v>39970</v>
      </c>
      <c r="F926" t="inlineStr">
        <is>
          <t>great sandwich to eat while watching "as time goes by" or "eastenders".</t>
        </is>
      </c>
      <c r="H926" t="n">
        <v>420</v>
      </c>
      <c r="I926">
        <f>D926*60</f>
        <v/>
      </c>
      <c r="J926">
        <f>COUNTIF(Отзывы!$D:$D, 375848)</f>
        <v/>
      </c>
    </row>
    <row r="927">
      <c r="A927" t="n">
        <v>23096</v>
      </c>
      <c r="B927" t="inlineStr">
        <is>
          <t>ryanzgurl s amazing alfredo sauce</t>
        </is>
      </c>
      <c r="C927" t="n">
        <v>247832</v>
      </c>
      <c r="D927" s="6" t="n">
        <v>10</v>
      </c>
      <c r="E927" s="1" t="n">
        <v>39315</v>
      </c>
      <c r="F927" t="inlineStr">
        <is>
          <t>a friend of mine got this recipe from a friend whose husband learned it in culinary school. its absolutely amazing -- rich and wonderful, but lower in fat than the classic alfredo because there is less butter and it uses milk instead of cream. try it with chicken and broccoli. try it with mixed, garden vegetables. try it as the sauce on a white lasagna. just try it!</t>
        </is>
      </c>
      <c r="G927" t="n">
        <v>5</v>
      </c>
      <c r="H927" t="n">
        <v>600</v>
      </c>
      <c r="I927">
        <f>D927*60</f>
        <v/>
      </c>
      <c r="J927">
        <f>COUNTIF(Отзывы!$D:$D, 247832)</f>
        <v/>
      </c>
    </row>
    <row r="928">
      <c r="A928" t="n">
        <v>6939</v>
      </c>
      <c r="B928" t="inlineStr">
        <is>
          <t>church chicken casserole</t>
        </is>
      </c>
      <c r="C928" t="n">
        <v>323373</v>
      </c>
      <c r="D928" s="4" t="n">
        <v>50</v>
      </c>
      <c r="E928" s="1" t="n">
        <v>39696</v>
      </c>
      <c r="F928" t="inlineStr">
        <is>
          <t>recipe given to me for a church function and quickly became one of my family's favorites.  thanks, michelle gardiner :).</t>
        </is>
      </c>
      <c r="H928" t="n">
        <v>3000</v>
      </c>
      <c r="I928">
        <f>D928*60</f>
        <v/>
      </c>
      <c r="J928">
        <f>COUNTIF(Отзывы!$D:$D, 323373)</f>
        <v/>
      </c>
    </row>
    <row r="929">
      <c r="A929" t="n">
        <v>12020</v>
      </c>
      <c r="B929" t="inlineStr">
        <is>
          <t>ginger vinaigrette</t>
        </is>
      </c>
      <c r="C929" t="n">
        <v>166446</v>
      </c>
      <c r="D929" s="5" t="n">
        <v>2</v>
      </c>
      <c r="E929" s="1" t="n">
        <v>38838</v>
      </c>
      <c r="F929" t="inlineStr">
        <is>
          <t>a delicious, easy vinaigrette to be used for salads or anything else you choose!</t>
        </is>
      </c>
      <c r="G929" t="n">
        <v>6</v>
      </c>
      <c r="H929" t="n">
        <v>120</v>
      </c>
      <c r="I929">
        <f>D929*60</f>
        <v/>
      </c>
      <c r="J929">
        <f>COUNTIF(Отзывы!$D:$D, 166446)</f>
        <v/>
      </c>
    </row>
    <row r="930">
      <c r="A930" t="n">
        <v>15945</v>
      </c>
      <c r="B930" t="inlineStr">
        <is>
          <t>lemon pudding souffles</t>
        </is>
      </c>
      <c r="C930" t="n">
        <v>297048</v>
      </c>
      <c r="D930" s="4" t="n">
        <v>45</v>
      </c>
      <c r="E930" s="1" t="n">
        <v>39546</v>
      </c>
      <c r="F930" t="inlineStr">
        <is>
          <t>found this in taste of home magazine and it sounds wonderful.  tangy lemon flavor with creamy souffles, recommends dressing up each serving with lemon peel or other garnish.  what a wonderful taste of lemon (i put in a little extra as i like it tart) and the cake soufle mixed with the lemony pudding. yum!</t>
        </is>
      </c>
      <c r="G930" t="n">
        <v>8</v>
      </c>
      <c r="H930" t="n">
        <v>2700</v>
      </c>
      <c r="I930">
        <f>D930*60</f>
        <v/>
      </c>
      <c r="J930">
        <f>COUNTIF(Отзывы!$D:$D, 297048)</f>
        <v/>
      </c>
    </row>
    <row r="931">
      <c r="A931" t="n">
        <v>26541</v>
      </c>
      <c r="B931" t="inlineStr">
        <is>
          <t>swedish herring salad</t>
        </is>
      </c>
      <c r="C931" t="n">
        <v>234695</v>
      </c>
      <c r="D931" s="4" t="n">
        <v>25</v>
      </c>
      <c r="E931" s="1" t="n">
        <v>39247</v>
      </c>
      <c r="F931" t="inlineStr">
        <is>
          <t>my company just published a danish cookbook and it was full of salads like this.</t>
        </is>
      </c>
      <c r="G931" t="n">
        <v>12</v>
      </c>
      <c r="H931" t="n">
        <v>1500</v>
      </c>
      <c r="I931">
        <f>D931*60</f>
        <v/>
      </c>
      <c r="J931">
        <f>COUNTIF(Отзывы!$D:$D, 234695)</f>
        <v/>
      </c>
    </row>
    <row r="932" ht="409.5" customHeight="1">
      <c r="A932" t="n">
        <v>9850</v>
      </c>
      <c r="B932" t="inlineStr">
        <is>
          <t>easy boneless pork chop with an amazing flavour</t>
        </is>
      </c>
      <c r="C932" t="n">
        <v>404222</v>
      </c>
      <c r="D932" s="4" t="n">
        <v>75</v>
      </c>
      <c r="E932" s="1" t="n">
        <v>40165</v>
      </c>
      <c r="F932" s="2" t="inlineStr">
        <is>
          <t>this is an easy recipe to make, you can prepare and store the coating/spread a week in advance and use as a marinade or coating for other meats through the week or thicken up with more butter and use to roast vegetables in._x000D_
_x000D_
fresh or dried sage and rosemary can be used. i don't use a lot of garlic in this as i just like to taste a little hint, not a big kick._x000D_
_x000D_
preparation takes around 15 minutes and cooking will take around 60 minutes, leaving you time to help the kids get their homework finished, or have a cheeky glass of wine._x000D_
_x000D_
oh, this recipe is to serve 4 family members (1 pork loin each)</t>
        </is>
      </c>
      <c r="G932" t="n">
        <v>10</v>
      </c>
      <c r="H932" t="n">
        <v>4500</v>
      </c>
      <c r="I932">
        <f>D932*60</f>
        <v/>
      </c>
      <c r="J932">
        <f>COUNTIF(Отзывы!$D:$D, 404222)</f>
        <v/>
      </c>
    </row>
    <row r="933">
      <c r="A933" t="n">
        <v>26626</v>
      </c>
      <c r="B933" t="inlineStr">
        <is>
          <t>sweet and spicy pork burgers</t>
        </is>
      </c>
      <c r="C933" t="n">
        <v>439460</v>
      </c>
      <c r="D933" s="4" t="n">
        <v>20</v>
      </c>
      <c r="E933" s="1" t="n">
        <v>40465</v>
      </c>
      <c r="F933" t="inlineStr">
        <is>
          <t>this tasty burger recipe is from "5-ingredient grilling".  these burgers are great with sweet potato fries and a cold beer!</t>
        </is>
      </c>
      <c r="G933" t="n">
        <v>5</v>
      </c>
      <c r="H933" t="n">
        <v>1200</v>
      </c>
      <c r="I933">
        <f>D933*60</f>
        <v/>
      </c>
      <c r="J933">
        <f>COUNTIF(Отзывы!$D:$D, 439460)</f>
        <v/>
      </c>
    </row>
    <row r="934" ht="409.5" customHeight="1">
      <c r="A934" t="n">
        <v>21794</v>
      </c>
      <c r="B934" t="inlineStr">
        <is>
          <t>punjabi rajma  kidney beans</t>
        </is>
      </c>
      <c r="C934" t="n">
        <v>334391</v>
      </c>
      <c r="D934" s="4" t="n">
        <v>65</v>
      </c>
      <c r="E934" s="1" t="n">
        <v>39754</v>
      </c>
      <c r="F934" s="2" t="inlineStr">
        <is>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is>
      </c>
      <c r="H934" t="n">
        <v>3900</v>
      </c>
      <c r="I934">
        <f>D934*60</f>
        <v/>
      </c>
      <c r="J934">
        <f>COUNTIF(Отзывы!$D:$D, 334391)</f>
        <v/>
      </c>
    </row>
    <row r="935">
      <c r="A935" t="n">
        <v>6346</v>
      </c>
      <c r="B935" t="inlineStr">
        <is>
          <t>chinese potato salad</t>
        </is>
      </c>
      <c r="C935" t="n">
        <v>35038</v>
      </c>
      <c r="D935" s="4" t="n">
        <v>30</v>
      </c>
      <c r="E935" s="1" t="n">
        <v>37462</v>
      </c>
      <c r="F935" t="inlineStr">
        <is>
          <t>a different kind of potato salad. good in the summer time when you are cooking outdoors.</t>
        </is>
      </c>
      <c r="G935" t="n">
        <v>12</v>
      </c>
      <c r="H935" t="n">
        <v>1800</v>
      </c>
      <c r="I935">
        <f>D935*60</f>
        <v/>
      </c>
      <c r="J935">
        <f>COUNTIF(Отзывы!$D:$D, 35038)</f>
        <v/>
      </c>
    </row>
    <row r="936">
      <c r="A936" t="n">
        <v>4385</v>
      </c>
      <c r="B936" t="inlineStr">
        <is>
          <t>cajun chicken linguine</t>
        </is>
      </c>
      <c r="C936" t="n">
        <v>479461</v>
      </c>
      <c r="D936" s="4" t="n">
        <v>30</v>
      </c>
      <c r="E936" s="1" t="n">
        <v>41044</v>
      </c>
      <c r="F936" t="inlineStr">
        <is>
          <t>this is a twist on chicken alfredo.</t>
        </is>
      </c>
      <c r="H936" t="n">
        <v>1800</v>
      </c>
      <c r="I936">
        <f>D936*60</f>
        <v/>
      </c>
      <c r="J936">
        <f>COUNTIF(Отзывы!$D:$D, 479461)</f>
        <v/>
      </c>
    </row>
    <row r="937">
      <c r="A937" t="n">
        <v>11689</v>
      </c>
      <c r="B937" t="inlineStr">
        <is>
          <t>fuzzy navel cheesecake</t>
        </is>
      </c>
      <c r="C937" t="n">
        <v>163768</v>
      </c>
      <c r="D937" s="4" t="n">
        <v>140</v>
      </c>
      <c r="E937" s="1" t="n">
        <v>38818</v>
      </c>
      <c r="F937" t="inlineStr">
        <is>
          <t>this is another one of my dad's recipes. this is a specialty cheesecake - guaranteed to bring in rave reviews!!</t>
        </is>
      </c>
      <c r="G937" t="n">
        <v>13</v>
      </c>
      <c r="H937" t="n">
        <v>8400</v>
      </c>
      <c r="I937">
        <f>D937*60</f>
        <v/>
      </c>
      <c r="J937">
        <f>COUNTIF(Отзывы!$D:$D, 163768)</f>
        <v/>
      </c>
    </row>
    <row r="938">
      <c r="A938" t="n">
        <v>18540</v>
      </c>
      <c r="B938" t="inlineStr">
        <is>
          <t>napa cabbage salad with buttermilk dressing</t>
        </is>
      </c>
      <c r="C938" t="n">
        <v>260610</v>
      </c>
      <c r="D938" s="4" t="n">
        <v>20</v>
      </c>
      <c r="E938" s="1" t="n">
        <v>39377</v>
      </c>
      <c r="F938" t="inlineStr">
        <is>
          <t>recipe clipped from the 2007/nov gourmet magazine.</t>
        </is>
      </c>
      <c r="G938" t="n">
        <v>11</v>
      </c>
      <c r="H938" t="n">
        <v>1200</v>
      </c>
      <c r="I938">
        <f>D938*60</f>
        <v/>
      </c>
      <c r="J938">
        <f>COUNTIF(Отзывы!$D:$D, 260610)</f>
        <v/>
      </c>
    </row>
    <row r="939">
      <c r="A939" t="n">
        <v>28103</v>
      </c>
      <c r="B939" t="inlineStr">
        <is>
          <t>tuna cheese spread</t>
        </is>
      </c>
      <c r="C939" t="n">
        <v>289444</v>
      </c>
      <c r="D939" s="6" t="n">
        <v>10</v>
      </c>
      <c r="E939" s="1" t="n">
        <v>39508</v>
      </c>
      <c r="F939" t="inlineStr">
        <is>
          <t>from taste of home magazine. the crushed black pepper is my own addition.</t>
        </is>
      </c>
      <c r="H939" t="n">
        <v>600</v>
      </c>
      <c r="I939">
        <f>D939*60</f>
        <v/>
      </c>
      <c r="J939">
        <f>COUNTIF(Отзывы!$D:$D, 289444)</f>
        <v/>
      </c>
    </row>
    <row r="940">
      <c r="A940" t="n">
        <v>10849</v>
      </c>
      <c r="B940" t="inlineStr">
        <is>
          <t>favorite chile con queso  a k a  chile cheese dip</t>
        </is>
      </c>
      <c r="C940" t="n">
        <v>203207</v>
      </c>
      <c r="D940" s="4" t="n">
        <v>15</v>
      </c>
      <c r="E940" s="1" t="n">
        <v>39085</v>
      </c>
      <c r="F940" t="inlineStr">
        <is>
          <t>i tweaked a recipe from the back of a can of rotel tomatoes to suit my friends and i.  i have made it this way for many parties and have always gotten rave reviews.  it works well in the crock pot also, and that way is recommended if you are making it for a party, etc. where it will need to be kept warm.</t>
        </is>
      </c>
      <c r="G940" t="n">
        <v>3</v>
      </c>
      <c r="H940" t="n">
        <v>900</v>
      </c>
      <c r="I940">
        <f>D940*60</f>
        <v/>
      </c>
      <c r="J940">
        <f>COUNTIF(Отзывы!$D:$D, 203207)</f>
        <v/>
      </c>
    </row>
    <row r="941">
      <c r="A941" t="n">
        <v>25248</v>
      </c>
      <c r="B941" t="inlineStr">
        <is>
          <t>spiced orange wine</t>
        </is>
      </c>
      <c r="C941" t="n">
        <v>314351</v>
      </c>
      <c r="D941" s="4" t="n">
        <v>315</v>
      </c>
      <c r="E941" s="1" t="n">
        <v>39646</v>
      </c>
      <c r="F941" t="inlineStr">
        <is>
          <t>what could be more french countryside than pulling a chilled bottle of homemade (or at least home-doctored) wine from the fridge for a special celebration? this orange sipping wine is a little sweeter and stronger than a regular glass of white, and it's the perfect aperitif. cook time is chill time.</t>
        </is>
      </c>
      <c r="G941" t="n">
        <v>7</v>
      </c>
      <c r="H941" t="n">
        <v>18900</v>
      </c>
      <c r="I941">
        <f>D941*60</f>
        <v/>
      </c>
      <c r="J941">
        <f>COUNTIF(Отзывы!$D:$D, 314351)</f>
        <v/>
      </c>
    </row>
    <row r="942">
      <c r="A942" t="n">
        <v>2581</v>
      </c>
      <c r="B942" t="inlineStr">
        <is>
          <t>beef  california roll  salad</t>
        </is>
      </c>
      <c r="C942" t="n">
        <v>479954</v>
      </c>
      <c r="D942" s="4" t="n">
        <v>50</v>
      </c>
      <c r="E942" s="1" t="n">
        <v>41054</v>
      </c>
      <c r="F942" t="inlineStr">
        <is>
          <t>marinating time is not included in prep time.</t>
        </is>
      </c>
      <c r="G942" t="n">
        <v>14</v>
      </c>
      <c r="H942" t="n">
        <v>3000</v>
      </c>
      <c r="I942">
        <f>D942*60</f>
        <v/>
      </c>
      <c r="J942">
        <f>COUNTIF(Отзывы!$D:$D, 479954)</f>
        <v/>
      </c>
    </row>
    <row r="943">
      <c r="A943" t="n">
        <v>20878</v>
      </c>
      <c r="B943" t="inlineStr">
        <is>
          <t>pink cow</t>
        </is>
      </c>
      <c r="C943" t="n">
        <v>246427</v>
      </c>
      <c r="D943" s="6" t="n">
        <v>10</v>
      </c>
      <c r="E943" s="1" t="n">
        <v>39308</v>
      </c>
      <c r="F943" t="inlineStr">
        <is>
          <t>this is a yummy cold shake for the hot weather. recipe from woman's day.</t>
        </is>
      </c>
      <c r="G943" t="n">
        <v>5</v>
      </c>
      <c r="H943" t="n">
        <v>600</v>
      </c>
      <c r="I943">
        <f>D943*60</f>
        <v/>
      </c>
      <c r="J943">
        <f>COUNTIF(Отзывы!$D:$D, 246427)</f>
        <v/>
      </c>
    </row>
    <row r="944">
      <c r="A944" t="n">
        <v>22530</v>
      </c>
      <c r="B944" t="inlineStr">
        <is>
          <t>rice krispies funnel kisses</t>
        </is>
      </c>
      <c r="C944" t="n">
        <v>16934</v>
      </c>
      <c r="D944" s="4" t="n">
        <v>17</v>
      </c>
      <c r="E944" s="1" t="n">
        <v>37264</v>
      </c>
      <c r="F944" t="inlineStr">
        <is>
          <t>this is a fun recipe to do with the kids. you can use any size funnel for little kisses, or huge kisses (my kids' favorite).</t>
        </is>
      </c>
      <c r="G944" t="n">
        <v>3</v>
      </c>
      <c r="H944" t="n">
        <v>1020</v>
      </c>
      <c r="I944">
        <f>D944*60</f>
        <v/>
      </c>
      <c r="J944">
        <f>COUNTIF(Отзывы!$D:$D, 16934)</f>
        <v/>
      </c>
    </row>
    <row r="945">
      <c r="A945" t="n">
        <v>17381</v>
      </c>
      <c r="B945" t="inlineStr">
        <is>
          <t>mellow yellow smoothie</t>
        </is>
      </c>
      <c r="C945" t="n">
        <v>368288</v>
      </c>
      <c r="D945" s="6" t="n">
        <v>10</v>
      </c>
      <c r="E945" s="1" t="n">
        <v>39931</v>
      </c>
      <c r="F945" t="inlineStr">
        <is>
          <t>serve this for breakfast or for an afternoon snack</t>
        </is>
      </c>
      <c r="G945" t="n">
        <v>4</v>
      </c>
      <c r="H945" t="n">
        <v>600</v>
      </c>
      <c r="I945">
        <f>D945*60</f>
        <v/>
      </c>
      <c r="J945">
        <f>COUNTIF(Отзывы!$D:$D, 368288)</f>
        <v/>
      </c>
    </row>
    <row r="946">
      <c r="A946" t="n">
        <v>7084</v>
      </c>
      <c r="B946" t="inlineStr">
        <is>
          <t>cinnamon vanilla hot chocolate</t>
        </is>
      </c>
      <c r="C946" t="n">
        <v>382837</v>
      </c>
      <c r="D946" s="6" t="n">
        <v>10</v>
      </c>
      <c r="E946" s="1" t="n">
        <v>40020</v>
      </c>
      <c r="F946" t="inlineStr">
        <is>
          <t>this drink can be made with ingredients already contained in most cupboards, and is a soothing, sweet drink. it may be enjoyed hot or cold.</t>
        </is>
      </c>
      <c r="H946" t="n">
        <v>600</v>
      </c>
      <c r="I946">
        <f>D946*60</f>
        <v/>
      </c>
      <c r="J946">
        <f>COUNTIF(Отзывы!$D:$D, 382837)</f>
        <v/>
      </c>
    </row>
    <row r="947">
      <c r="A947" t="n">
        <v>1652</v>
      </c>
      <c r="B947" t="inlineStr">
        <is>
          <t>bacon cheeseburger pie</t>
        </is>
      </c>
      <c r="C947" t="n">
        <v>329138</v>
      </c>
      <c r="D947" s="4" t="n">
        <v>55</v>
      </c>
      <c r="E947" s="1" t="n">
        <v>39727</v>
      </c>
      <c r="F947" t="inlineStr">
        <is>
          <t>this is my version of the bisquick classic 'impossibly easy cheeseburger pie'. my hubby loves his bacon and garlic so i've add those ingredients to  to the mix. i've found it gives this sometimes bland recipe a new kick. i've even thought of adding 1/4 cup of bulls eye barbecue sauce. if anyone tries it, let me know how that turns out. hope you gals enjoy this quick and easy crowd pleaser!</t>
        </is>
      </c>
      <c r="G947" t="n">
        <v>9</v>
      </c>
      <c r="H947" t="n">
        <v>3300</v>
      </c>
      <c r="I947">
        <f>D947*60</f>
        <v/>
      </c>
      <c r="J947">
        <f>COUNTIF(Отзывы!$D:$D, 329138)</f>
        <v/>
      </c>
    </row>
    <row r="948">
      <c r="A948" t="n">
        <v>10561</v>
      </c>
      <c r="B948" t="inlineStr">
        <is>
          <t>enchilada meatballs</t>
        </is>
      </c>
      <c r="C948" t="n">
        <v>106677</v>
      </c>
      <c r="D948" s="4" t="n">
        <v>40</v>
      </c>
      <c r="E948" s="1" t="n">
        <v>38343</v>
      </c>
      <c r="F948" t="inlineStr">
        <is>
          <t>these little mexican flavored meatballs are so good. i like them for dinner or for an appetizer.</t>
        </is>
      </c>
      <c r="G948" t="n">
        <v>6</v>
      </c>
      <c r="H948" t="n">
        <v>2400</v>
      </c>
      <c r="I948">
        <f>D948*60</f>
        <v/>
      </c>
      <c r="J948">
        <f>COUNTIF(Отзывы!$D:$D, 106677)</f>
        <v/>
      </c>
    </row>
    <row r="949">
      <c r="A949" t="n">
        <v>23241</v>
      </c>
      <c r="B949" t="inlineStr">
        <is>
          <t>salmon with bok choy and mushrooms</t>
        </is>
      </c>
      <c r="C949" t="n">
        <v>311113</v>
      </c>
      <c r="D949" s="4" t="n">
        <v>30</v>
      </c>
      <c r="E949" s="1" t="n">
        <v>39630</v>
      </c>
      <c r="F949" t="inlineStr">
        <is>
          <t>this recipe calls for some of my favorite ingredients.... sesame oil, shitake mushrooms, ghili-garlic sauce just to name a few. sooooo delish! original recipe found in june, 08 edition of bon apetit.</t>
        </is>
      </c>
      <c r="H949" t="n">
        <v>1800</v>
      </c>
      <c r="I949">
        <f>D949*60</f>
        <v/>
      </c>
      <c r="J949">
        <f>COUNTIF(Отзывы!$D:$D, 311113)</f>
        <v/>
      </c>
    </row>
    <row r="950">
      <c r="A950" t="n">
        <v>4567</v>
      </c>
      <c r="B950" t="inlineStr">
        <is>
          <t>canned salmon</t>
        </is>
      </c>
      <c r="C950" t="n">
        <v>9360</v>
      </c>
      <c r="D950" s="4" t="n">
        <v>120</v>
      </c>
      <c r="E950" s="1" t="n">
        <v>37047</v>
      </c>
      <c r="F950" t="inlineStr">
        <is>
          <t>have not tried this one yet, was in a recipe collection cd.</t>
        </is>
      </c>
      <c r="H950" t="n">
        <v>7200</v>
      </c>
      <c r="I950">
        <f>D950*60</f>
        <v/>
      </c>
      <c r="J950">
        <f>COUNTIF(Отзывы!$D:$D, 9360)</f>
        <v/>
      </c>
    </row>
    <row r="951">
      <c r="A951" t="n">
        <v>14283</v>
      </c>
      <c r="B951" t="inlineStr">
        <is>
          <t>huckleberry   or blueberry  coffee cake</t>
        </is>
      </c>
      <c r="C951" t="n">
        <v>124810</v>
      </c>
      <c r="D951" s="4" t="n">
        <v>75</v>
      </c>
      <c r="E951" s="1" t="n">
        <v>38509</v>
      </c>
      <c r="F951" t="inlineStr">
        <is>
          <t>cooking light published this in their book, five star recipes--the best of 10 years, and their staff voted this as one of their top five recipes from the first 10 years. it is very, very good, either for breakfast, brunch, or as dessert, warm out of the oven with a scoop of vanilla ice cream.</t>
        </is>
      </c>
      <c r="H951" t="n">
        <v>4500</v>
      </c>
      <c r="I951">
        <f>D951*60</f>
        <v/>
      </c>
      <c r="J951">
        <f>COUNTIF(Отзывы!$D:$D, 124810)</f>
        <v/>
      </c>
    </row>
    <row r="952">
      <c r="A952" t="n">
        <v>13215</v>
      </c>
      <c r="B952" t="inlineStr">
        <is>
          <t>ham and cheese corn muffins</t>
        </is>
      </c>
      <c r="C952" t="n">
        <v>46301</v>
      </c>
      <c r="D952" s="4" t="n">
        <v>35</v>
      </c>
      <c r="E952" s="1" t="n">
        <v>37576</v>
      </c>
      <c r="F952" t="inlineStr">
        <is>
          <t>these are good served with a meal or as a snack. i got the recipe from diabetic cooking. my husband is a diabetic.</t>
        </is>
      </c>
      <c r="G952" t="n">
        <v>6</v>
      </c>
      <c r="H952" t="n">
        <v>2100</v>
      </c>
      <c r="I952">
        <f>D952*60</f>
        <v/>
      </c>
      <c r="J952">
        <f>COUNTIF(Отзывы!$D:$D, 46301)</f>
        <v/>
      </c>
    </row>
    <row r="953">
      <c r="A953" t="n">
        <v>28879</v>
      </c>
      <c r="B953" t="inlineStr">
        <is>
          <t>vietnamese chicken</t>
        </is>
      </c>
      <c r="C953" t="n">
        <v>535389</v>
      </c>
      <c r="D953" s="4" t="n">
        <v>50</v>
      </c>
      <c r="E953" s="1" t="n">
        <v>43179</v>
      </c>
      <c r="F953" t="inlineStr">
        <is>
          <t>vietnamese chicken with ginger.</t>
        </is>
      </c>
      <c r="G953" t="n">
        <v>11</v>
      </c>
      <c r="H953" t="n">
        <v>3000</v>
      </c>
      <c r="I953">
        <f>D953*60</f>
        <v/>
      </c>
      <c r="J953">
        <f>COUNTIF(Отзывы!$D:$D, 535389)</f>
        <v/>
      </c>
    </row>
    <row r="954">
      <c r="A954" t="n">
        <v>2573</v>
      </c>
      <c r="B954" t="inlineStr">
        <is>
          <t>beef   bean khoresh  a persian beef stew</t>
        </is>
      </c>
      <c r="C954" t="n">
        <v>94941</v>
      </c>
      <c r="D954" s="4" t="n">
        <v>100</v>
      </c>
      <c r="E954" s="1" t="n">
        <v>38171</v>
      </c>
      <c r="F954" t="inlineStr">
        <is>
          <t>this is simply lean beef and kidney beans in a delicious cinnamon and cumin-scented stew, with lots of parsley and chives and a splash of lemon juice. the unusual color is from turmeric, and it's best served with rice.</t>
        </is>
      </c>
      <c r="H954" t="n">
        <v>6000</v>
      </c>
      <c r="I954">
        <f>D954*60</f>
        <v/>
      </c>
      <c r="J954">
        <f>COUNTIF(Отзывы!$D:$D, 94941)</f>
        <v/>
      </c>
    </row>
    <row r="955">
      <c r="A955" t="n">
        <v>25511</v>
      </c>
      <c r="B955" t="inlineStr">
        <is>
          <t>spicy tempeh crepes with a savoury carrot cream sauce</t>
        </is>
      </c>
      <c r="C955" t="n">
        <v>64944</v>
      </c>
      <c r="D955" s="4" t="n">
        <v>60</v>
      </c>
      <c r="E955" s="1" t="n">
        <v>37790</v>
      </c>
      <c r="F955" t="inlineStr">
        <is>
          <t>full and flavorful spicy marinated tempeh, married to curry crepes and carrot cream. sip a tall, cool ice tea and savor the meal.</t>
        </is>
      </c>
      <c r="G955" t="n">
        <v>27</v>
      </c>
      <c r="H955" t="n">
        <v>3600</v>
      </c>
      <c r="I955">
        <f>D955*60</f>
        <v/>
      </c>
      <c r="J955">
        <f>COUNTIF(Отзывы!$D:$D, 64944)</f>
        <v/>
      </c>
    </row>
    <row r="956">
      <c r="A956" t="n">
        <v>24082</v>
      </c>
      <c r="B956" t="inlineStr">
        <is>
          <t>shrimp mango and cucumber salad</t>
        </is>
      </c>
      <c r="C956" t="n">
        <v>195577</v>
      </c>
      <c r="D956" s="4" t="n">
        <v>25</v>
      </c>
      <c r="E956" s="1" t="n">
        <v>39035</v>
      </c>
      <c r="F956" t="inlineStr">
        <is>
          <t>this salad is very refreshing, great for a summer day or with a bar-b-q, fresh mangoes are hard to work with so mangoes in a jar are the way to go, make sure you wash off th syrup before slicing. stevia is also sold in packets and 2 packets will do for this recipe. time doesn't include standing time for vinegar mixture.</t>
        </is>
      </c>
      <c r="H956" t="n">
        <v>1500</v>
      </c>
      <c r="I956">
        <f>D956*60</f>
        <v/>
      </c>
      <c r="J956">
        <f>COUNTIF(Отзывы!$D:$D, 195577)</f>
        <v/>
      </c>
    </row>
    <row r="957">
      <c r="A957" t="n">
        <v>8856</v>
      </c>
      <c r="B957" t="inlineStr">
        <is>
          <t>crusty parmesan herb zucchini bites</t>
        </is>
      </c>
      <c r="C957" t="n">
        <v>516384</v>
      </c>
      <c r="D957" s="4" t="n">
        <v>35</v>
      </c>
      <c r="E957" s="1" t="n">
        <v>41793</v>
      </c>
      <c r="F957" t="inlineStr">
        <is>
          <t>aunt donna posted this on my facebook wall.</t>
        </is>
      </c>
      <c r="G957" t="n">
        <v>7</v>
      </c>
      <c r="H957" t="n">
        <v>2100</v>
      </c>
      <c r="I957">
        <f>D957*60</f>
        <v/>
      </c>
      <c r="J957">
        <f>COUNTIF(Отзывы!$D:$D, 516384)</f>
        <v/>
      </c>
    </row>
    <row r="958">
      <c r="A958" t="n">
        <v>23363</v>
      </c>
      <c r="B958" t="inlineStr">
        <is>
          <t>sarasota s spicy simple black beans</t>
        </is>
      </c>
      <c r="C958" t="n">
        <v>389419</v>
      </c>
      <c r="D958" s="4" t="n">
        <v>15</v>
      </c>
      <c r="E958" s="1" t="n">
        <v>40064</v>
      </c>
      <c r="F958" t="inlineStr">
        <is>
          <t>a quick easy recipe using canned black beans for a side dish any night of the week. i love this with my margarita chicken or just any citrus grilled chicken or fish. maybe a nice spicy chili rub on chicken would be a nice dish with these beans.</t>
        </is>
      </c>
      <c r="G958" t="n">
        <v>11</v>
      </c>
      <c r="H958" t="n">
        <v>900</v>
      </c>
      <c r="I958">
        <f>D958*60</f>
        <v/>
      </c>
      <c r="J958">
        <f>COUNTIF(Отзывы!$D:$D, 389419)</f>
        <v/>
      </c>
    </row>
    <row r="959">
      <c r="A959" t="n">
        <v>5005</v>
      </c>
      <c r="B959" t="inlineStr">
        <is>
          <t>challah recipe for the kitchen aide</t>
        </is>
      </c>
      <c r="C959" t="n">
        <v>50126</v>
      </c>
      <c r="D959" s="4" t="n">
        <v>25</v>
      </c>
      <c r="E959" s="1" t="n">
        <v>37628</v>
      </c>
      <c r="F959" t="inlineStr">
        <is>
          <t>easy and right in the mixing bowl. turn out beautifully every time.</t>
        </is>
      </c>
      <c r="G959" t="n">
        <v>7</v>
      </c>
      <c r="H959" t="n">
        <v>1500</v>
      </c>
      <c r="I959">
        <f>D959*60</f>
        <v/>
      </c>
      <c r="J959">
        <f>COUNTIF(Отзывы!$D:$D, 50126)</f>
        <v/>
      </c>
    </row>
    <row r="960">
      <c r="A960" t="n">
        <v>19557</v>
      </c>
      <c r="B960" t="inlineStr">
        <is>
          <t>oven baked  fried  pickles</t>
        </is>
      </c>
      <c r="C960" t="n">
        <v>488437</v>
      </c>
      <c r="D960" s="4" t="n">
        <v>27</v>
      </c>
      <c r="E960" s="1" t="n">
        <v>41192</v>
      </c>
      <c r="F960" t="inlineStr">
        <is>
          <t>i found this on a blog through pinterest and i haven't tried it yet. i'm really hoping it works out because i loves me some fried pickles!</t>
        </is>
      </c>
      <c r="G960" t="n">
        <v>10</v>
      </c>
      <c r="H960" t="n">
        <v>1620</v>
      </c>
      <c r="I960">
        <f>D960*60</f>
        <v/>
      </c>
      <c r="J960">
        <f>COUNTIF(Отзывы!$D:$D, 488437)</f>
        <v/>
      </c>
    </row>
    <row r="961">
      <c r="A961" t="n">
        <v>24632</v>
      </c>
      <c r="B961" t="inlineStr">
        <is>
          <t>smoky apple butter county ribs</t>
        </is>
      </c>
      <c r="C961" t="n">
        <v>167593</v>
      </c>
      <c r="D961" s="4" t="n">
        <v>495</v>
      </c>
      <c r="E961" s="1" t="n">
        <v>38846</v>
      </c>
      <c r="F961" t="inlineStr">
        <is>
          <t>a wonderful recipe from betty crocker herself.  if you are looking for something a little different from barbecue ribs this recipe is it.</t>
        </is>
      </c>
      <c r="H961" t="n">
        <v>29700</v>
      </c>
      <c r="I961">
        <f>D961*60</f>
        <v/>
      </c>
      <c r="J961">
        <f>COUNTIF(Отзывы!$D:$D, 167593)</f>
        <v/>
      </c>
    </row>
    <row r="962">
      <c r="A962" t="n">
        <v>3586</v>
      </c>
      <c r="B962" t="inlineStr">
        <is>
          <t>brad s bar b q beef</t>
        </is>
      </c>
      <c r="C962" t="n">
        <v>128553</v>
      </c>
      <c r="D962" s="4" t="n">
        <v>425</v>
      </c>
      <c r="E962" s="1" t="n">
        <v>38536</v>
      </c>
      <c r="F962" t="inlineStr">
        <is>
          <t>i found this at http:\www.oldetimecooking.com a while back. i finally got around to trying this last week. it's a keeper. the my two teenagers even ate leftovers omg! i had mine over a large baked potato. they the kiddos and dw had it on buns.</t>
        </is>
      </c>
      <c r="G962" t="n">
        <v>2</v>
      </c>
      <c r="H962" t="n">
        <v>25500</v>
      </c>
      <c r="I962">
        <f>D962*60</f>
        <v/>
      </c>
      <c r="J962">
        <f>COUNTIF(Отзывы!$D:$D, 128553)</f>
        <v/>
      </c>
    </row>
    <row r="963">
      <c r="A963" t="n">
        <v>29045</v>
      </c>
      <c r="B963" t="inlineStr">
        <is>
          <t>warmed herbed potato salad</t>
        </is>
      </c>
      <c r="C963" t="n">
        <v>36307</v>
      </c>
      <c r="D963" s="4" t="n">
        <v>60</v>
      </c>
      <c r="E963" s="1" t="n">
        <v>37473</v>
      </c>
      <c r="F963" t="inlineStr">
        <is>
          <t>this is a nice and light change from the usual mayonnaise based salad.</t>
        </is>
      </c>
      <c r="G963" t="n">
        <v>10</v>
      </c>
      <c r="H963" t="n">
        <v>3600</v>
      </c>
      <c r="I963">
        <f>D963*60</f>
        <v/>
      </c>
      <c r="J963">
        <f>COUNTIF(Отзывы!$D:$D, 36307)</f>
        <v/>
      </c>
    </row>
    <row r="964">
      <c r="A964" t="n">
        <v>12739</v>
      </c>
      <c r="B964" t="inlineStr">
        <is>
          <t>green pea timbales</t>
        </is>
      </c>
      <c r="C964" t="n">
        <v>52846</v>
      </c>
      <c r="D964" s="4" t="n">
        <v>50</v>
      </c>
      <c r="E964" s="1" t="n">
        <v>37654</v>
      </c>
      <c r="H964" t="n">
        <v>3000</v>
      </c>
      <c r="I964">
        <f>D964*60</f>
        <v/>
      </c>
      <c r="J964">
        <f>COUNTIF(Отзывы!$D:$D, 52846)</f>
        <v/>
      </c>
    </row>
    <row r="965">
      <c r="A965" t="n">
        <v>28736</v>
      </c>
      <c r="B965" t="inlineStr">
        <is>
          <t>vegetarian okra stew</t>
        </is>
      </c>
      <c r="C965" t="n">
        <v>397995</v>
      </c>
      <c r="D965" s="4" t="n">
        <v>75</v>
      </c>
      <c r="E965" s="1" t="n">
        <v>40122</v>
      </c>
      <c r="F965" t="inlineStr">
        <is>
          <t>http://checkitoutavesta.blogspot.com/2009/02/vegetarian-okra-stew.html -- the final product is a rich and healthy stew that you can keep in the fridge for up to 5 days or freeze it in batches to enjoy later!</t>
        </is>
      </c>
      <c r="G965" t="n">
        <v>12</v>
      </c>
      <c r="H965" t="n">
        <v>4500</v>
      </c>
      <c r="I965">
        <f>D965*60</f>
        <v/>
      </c>
      <c r="J965">
        <f>COUNTIF(Отзывы!$D:$D, 397995)</f>
        <v/>
      </c>
    </row>
    <row r="966">
      <c r="A966" t="n">
        <v>8850</v>
      </c>
      <c r="B966" t="inlineStr">
        <is>
          <t>crustless pumpkin pie from aarp magazine 12 93</t>
        </is>
      </c>
      <c r="C966" t="n">
        <v>325662</v>
      </c>
      <c r="D966" s="4" t="n">
        <v>60</v>
      </c>
      <c r="E966" s="1" t="n">
        <v>39710</v>
      </c>
      <c r="F966" t="inlineStr">
        <is>
          <t>the absolute tastiest pumpkin pie!  it's been a family favorite since 1993 when my mom found it in the aarp magazine.  salt is necessary but i don't use nearly 1/8t.  don't use condensed milk it's awful.  i've always successfully used graham cracker crumbs.</t>
        </is>
      </c>
      <c r="G966" t="n">
        <v>11</v>
      </c>
      <c r="H966" t="n">
        <v>3600</v>
      </c>
      <c r="I966">
        <f>D966*60</f>
        <v/>
      </c>
      <c r="J966">
        <f>COUNTIF(Отзывы!$D:$D, 325662)</f>
        <v/>
      </c>
    </row>
    <row r="967">
      <c r="A967" t="n">
        <v>11352</v>
      </c>
      <c r="B967" t="inlineStr">
        <is>
          <t>fresh cilantro bean salsa</t>
        </is>
      </c>
      <c r="C967" t="n">
        <v>396259</v>
      </c>
      <c r="D967" s="4" t="n">
        <v>15</v>
      </c>
      <c r="E967" s="1" t="n">
        <v>40112</v>
      </c>
      <c r="F967" t="inlineStr">
        <is>
          <t>everything is fresh, not canned, except the beans, of course.  the cilantro and jalapeno peppers make it!  always goes over well as an appetizer.  given to me by a family member, who recently mentioned that she now adds a can of niblets corn to further improve the taste...</t>
        </is>
      </c>
      <c r="G967" t="n">
        <v>8</v>
      </c>
      <c r="H967" t="n">
        <v>900</v>
      </c>
      <c r="I967">
        <f>D967*60</f>
        <v/>
      </c>
      <c r="J967">
        <f>COUNTIF(Отзывы!$D:$D, 396259)</f>
        <v/>
      </c>
    </row>
    <row r="968">
      <c r="A968" t="n">
        <v>7049</v>
      </c>
      <c r="B968" t="inlineStr">
        <is>
          <t>cinnamon peach coffee cake</t>
        </is>
      </c>
      <c r="C968" t="n">
        <v>2974</v>
      </c>
      <c r="D968" s="4" t="n">
        <v>115</v>
      </c>
      <c r="E968" s="1" t="n">
        <v>36389</v>
      </c>
      <c r="F968" t="inlineStr">
        <is>
          <t>cinnamon peach coffeecake is a deliciously light sweet coffeecake that has almost a chewy, crackly top after baking. do make sure to use ripe, fresh peaches, but not too wet. a simple dusting of confectioners' sugar once completed finishes this off nicely.</t>
        </is>
      </c>
      <c r="G968" t="n">
        <v>15</v>
      </c>
      <c r="H968" t="n">
        <v>6900</v>
      </c>
      <c r="I968">
        <f>D968*60</f>
        <v/>
      </c>
      <c r="J968">
        <f>COUNTIF(Отзывы!$D:$D, 2974)</f>
        <v/>
      </c>
    </row>
    <row r="969">
      <c r="A969" t="n">
        <v>1500</v>
      </c>
      <c r="B969" t="inlineStr">
        <is>
          <t>avocado reuben</t>
        </is>
      </c>
      <c r="C969" t="n">
        <v>123062</v>
      </c>
      <c r="D969" s="6" t="n">
        <v>10</v>
      </c>
      <c r="E969" s="1" t="n">
        <v>38492</v>
      </c>
      <c r="F969" t="inlineStr">
        <is>
          <t>i store ingredients separately, then throw together a quick sandwich when i'm hungry.</t>
        </is>
      </c>
      <c r="G969" t="n">
        <v>5</v>
      </c>
      <c r="H969" t="n">
        <v>600</v>
      </c>
      <c r="I969">
        <f>D969*60</f>
        <v/>
      </c>
      <c r="J969">
        <f>COUNTIF(Отзывы!$D:$D, 123062)</f>
        <v/>
      </c>
    </row>
    <row r="970">
      <c r="A970" t="n">
        <v>20672</v>
      </c>
      <c r="B970" t="inlineStr">
        <is>
          <t>philly tomato basil dip</t>
        </is>
      </c>
      <c r="C970" t="n">
        <v>302113</v>
      </c>
      <c r="D970" s="6" t="n">
        <v>10</v>
      </c>
      <c r="E970" s="1" t="n">
        <v>39573</v>
      </c>
      <c r="F970" t="inlineStr">
        <is>
          <t>found on the inside of a philadelphia cream cheese box and just had to try it.  i was hesitant at first but was glad i did.  this dip is wonderful and the zesty italian dressing gives it a wonderful kick.</t>
        </is>
      </c>
      <c r="H970" t="n">
        <v>600</v>
      </c>
      <c r="I970">
        <f>D970*60</f>
        <v/>
      </c>
      <c r="J970">
        <f>COUNTIF(Отзывы!$D:$D, 302113)</f>
        <v/>
      </c>
    </row>
    <row r="971">
      <c r="A971" t="n">
        <v>21030</v>
      </c>
      <c r="B971" t="inlineStr">
        <is>
          <t>poached salmon with dill yogurt sauce</t>
        </is>
      </c>
      <c r="C971" t="n">
        <v>250913</v>
      </c>
      <c r="D971" s="4" t="n">
        <v>30</v>
      </c>
      <c r="E971" s="1" t="n">
        <v>39329</v>
      </c>
      <c r="F971" t="inlineStr">
        <is>
          <t>this 30 minute meal is easily prepared. do not remove the skin before poaching or the fish might fall apart during the cooking process. the vegetables in the pot can be served alongside the fish or discarded. buttered egg noodles with a little chopped parsley are good, on the side. and, as i suggest with all my recipes which call for wine, use a good, drinkable wine.</t>
        </is>
      </c>
      <c r="G971" t="n">
        <v>12</v>
      </c>
      <c r="H971" t="n">
        <v>1800</v>
      </c>
      <c r="I971">
        <f>D971*60</f>
        <v/>
      </c>
      <c r="J971">
        <f>COUNTIF(Отзывы!$D:$D, 250913)</f>
        <v/>
      </c>
    </row>
    <row r="972" ht="409.5" customHeight="1">
      <c r="A972" t="n">
        <v>8113</v>
      </c>
      <c r="B972" t="inlineStr">
        <is>
          <t>cream of soup substitute mix</t>
        </is>
      </c>
      <c r="C972" t="n">
        <v>126969</v>
      </c>
      <c r="D972" s="6" t="n">
        <v>10</v>
      </c>
      <c r="E972" s="1" t="n">
        <v>38524</v>
      </c>
      <c r="F972" s="2" t="inlineStr">
        <is>
          <t>from my "heart healthy cookbook" of delicious healthy recipes from edina, mn in 1995. make 9, 10 ounce cans of soup. this is much less _x000D_
expensive and contains far less sodium than canned soups. add sautéed chopped mushrooms, chopped celery, or bits of cooked chicken to _x000D_
resemble the cream soup you usually use.</t>
        </is>
      </c>
      <c r="G972" t="n">
        <v>7</v>
      </c>
      <c r="H972" t="n">
        <v>600</v>
      </c>
      <c r="I972">
        <f>D972*60</f>
        <v/>
      </c>
      <c r="J972">
        <f>COUNTIF(Отзывы!$D:$D, 126969)</f>
        <v/>
      </c>
    </row>
    <row r="973">
      <c r="A973" t="n">
        <v>1473</v>
      </c>
      <c r="B973" t="inlineStr">
        <is>
          <t>avocado and kiwi salsa</t>
        </is>
      </c>
      <c r="C973" t="n">
        <v>370757</v>
      </c>
      <c r="D973" s="6" t="n">
        <v>10</v>
      </c>
      <c r="E973" s="1" t="n">
        <v>39941</v>
      </c>
      <c r="F973" t="inlineStr">
        <is>
          <t>a new zealand twist on salsa.</t>
        </is>
      </c>
      <c r="G973" t="n">
        <v>7</v>
      </c>
      <c r="H973" t="n">
        <v>600</v>
      </c>
      <c r="I973">
        <f>D973*60</f>
        <v/>
      </c>
      <c r="J973">
        <f>COUNTIF(Отзывы!$D:$D, 370757)</f>
        <v/>
      </c>
    </row>
    <row r="974">
      <c r="A974" t="n">
        <v>2269</v>
      </c>
      <c r="B974" t="inlineStr">
        <is>
          <t>barbecue beef sandwiches   slow cooker</t>
        </is>
      </c>
      <c r="C974" t="n">
        <v>192710</v>
      </c>
      <c r="D974" s="4" t="n">
        <v>495</v>
      </c>
      <c r="E974" s="1" t="n">
        <v>39019</v>
      </c>
      <c r="F974" t="inlineStr">
        <is>
          <t>all the ingredients for these yummy sandwiches are in the slow cooker and ready to go within 12 miutes!  what could be easier.  these are great for a pot luck or informal get-together.  this also freezes well.</t>
        </is>
      </c>
      <c r="G974" t="n">
        <v>8</v>
      </c>
      <c r="H974" t="n">
        <v>29700</v>
      </c>
      <c r="I974">
        <f>D974*60</f>
        <v/>
      </c>
      <c r="J974">
        <f>COUNTIF(Отзывы!$D:$D, 192710)</f>
        <v/>
      </c>
    </row>
    <row r="975">
      <c r="A975" t="n">
        <v>10112</v>
      </c>
      <c r="B975" t="inlineStr">
        <is>
          <t>easy no bake frozen cherry cream pie  2 pies</t>
        </is>
      </c>
      <c r="C975" t="n">
        <v>309249</v>
      </c>
      <c r="D975" s="4" t="n">
        <v>730</v>
      </c>
      <c r="E975" s="1" t="n">
        <v>39612</v>
      </c>
      <c r="F975" t="inlineStr">
        <is>
          <t>source: land o'lakes  note: cook time is freezing pie overnight!</t>
        </is>
      </c>
      <c r="G975" t="n">
        <v>7</v>
      </c>
      <c r="H975" t="n">
        <v>43800</v>
      </c>
      <c r="I975">
        <f>D975*60</f>
        <v/>
      </c>
      <c r="J975">
        <f>COUNTIF(Отзывы!$D:$D, 309249)</f>
        <v/>
      </c>
    </row>
    <row r="976">
      <c r="A976" t="n">
        <v>14129</v>
      </c>
      <c r="B976" t="inlineStr">
        <is>
          <t>hostess caramels</t>
        </is>
      </c>
      <c r="C976" t="n">
        <v>106280</v>
      </c>
      <c r="D976" s="4" t="n">
        <v>60</v>
      </c>
      <c r="E976" s="1" t="n">
        <v>38337</v>
      </c>
      <c r="F976" t="inlineStr">
        <is>
          <t>my mom made this candy every year since way before i ever thought of being born. now i make it so i can keep her with me now that she's gone. takes a little patience but it's worth it.</t>
        </is>
      </c>
      <c r="G976" t="n">
        <v>6</v>
      </c>
      <c r="H976" t="n">
        <v>3600</v>
      </c>
      <c r="I976">
        <f>D976*60</f>
        <v/>
      </c>
      <c r="J976">
        <f>COUNTIF(Отзывы!$D:$D, 106280)</f>
        <v/>
      </c>
    </row>
    <row r="977">
      <c r="A977" t="n">
        <v>17182</v>
      </c>
      <c r="B977" t="inlineStr">
        <is>
          <t>mashed potatoes with jarlsberg cheese</t>
        </is>
      </c>
      <c r="C977" t="n">
        <v>191134</v>
      </c>
      <c r="D977" s="4" t="n">
        <v>40</v>
      </c>
      <c r="E977" s="1" t="n">
        <v>39008</v>
      </c>
      <c r="F977" t="inlineStr">
        <is>
          <t>a great way to kick up those leftover mashed potatoes. just add cheese for goodness some spice and bake. walla comfort food!</t>
        </is>
      </c>
      <c r="G977" t="n">
        <v>5</v>
      </c>
      <c r="H977" t="n">
        <v>2400</v>
      </c>
      <c r="I977">
        <f>D977*60</f>
        <v/>
      </c>
      <c r="J977">
        <f>COUNTIF(Отзывы!$D:$D, 191134)</f>
        <v/>
      </c>
    </row>
    <row r="978">
      <c r="A978" t="n">
        <v>28762</v>
      </c>
      <c r="B978" t="inlineStr">
        <is>
          <t>vegetarian  low fat potato  onion   tomato gratin</t>
        </is>
      </c>
      <c r="C978" t="n">
        <v>71567</v>
      </c>
      <c r="D978" s="4" t="n">
        <v>105</v>
      </c>
      <c r="E978" s="1" t="n">
        <v>37879</v>
      </c>
      <c r="F978" t="inlineStr">
        <is>
          <t>a great side but can also be a complete meal with a tossed salad and fresh rolls. but you deside. points...4.</t>
        </is>
      </c>
      <c r="G978" t="n">
        <v>11</v>
      </c>
      <c r="H978" t="n">
        <v>6300</v>
      </c>
      <c r="I978">
        <f>D978*60</f>
        <v/>
      </c>
      <c r="J978">
        <f>COUNTIF(Отзывы!$D:$D, 71567)</f>
        <v/>
      </c>
    </row>
    <row r="979">
      <c r="A979" t="n">
        <v>256</v>
      </c>
      <c r="B979" t="inlineStr">
        <is>
          <t>a different tiramisu</t>
        </is>
      </c>
      <c r="C979" t="n">
        <v>25259</v>
      </c>
      <c r="D979" s="4" t="n">
        <v>745</v>
      </c>
      <c r="E979" s="1" t="n">
        <v>37360</v>
      </c>
      <c r="F979" t="inlineStr">
        <is>
          <t>a wonderfull company dessert, lovely presentation and tastes great too. chill time is cook time</t>
        </is>
      </c>
      <c r="G979" t="n">
        <v>7</v>
      </c>
      <c r="H979" t="n">
        <v>44700</v>
      </c>
      <c r="I979">
        <f>D979*60</f>
        <v/>
      </c>
      <c r="J979">
        <f>COUNTIF(Отзывы!$D:$D, 25259)</f>
        <v/>
      </c>
    </row>
    <row r="980">
      <c r="A980" t="n">
        <v>12782</v>
      </c>
      <c r="B980" t="inlineStr">
        <is>
          <t>griddled marinated eggplant with feta and herbs</t>
        </is>
      </c>
      <c r="C980" t="n">
        <v>306224</v>
      </c>
      <c r="D980" s="4" t="n">
        <v>20</v>
      </c>
      <c r="E980" s="1" t="n">
        <v>39598</v>
      </c>
      <c r="F980" t="inlineStr">
        <is>
          <t>eggplant is a rather underused veggie and hopefully this recipe will inspire some people to explore the vegetable more.</t>
        </is>
      </c>
      <c r="G980" t="n">
        <v>7</v>
      </c>
      <c r="H980" t="n">
        <v>1200</v>
      </c>
      <c r="I980">
        <f>D980*60</f>
        <v/>
      </c>
      <c r="J980">
        <f>COUNTIF(Отзывы!$D:$D, 306224)</f>
        <v/>
      </c>
    </row>
    <row r="981">
      <c r="A981" t="n">
        <v>10714</v>
      </c>
      <c r="B981" t="inlineStr">
        <is>
          <t>falooda    easy and delicious</t>
        </is>
      </c>
      <c r="C981" t="n">
        <v>120560</v>
      </c>
      <c r="D981" s="4" t="n">
        <v>30</v>
      </c>
      <c r="E981" s="1" t="n">
        <v>38476</v>
      </c>
      <c r="F981" t="inlineStr">
        <is>
          <t>a traditional indian/pakistani desert drink.  my version uses ingredients you can easily find at your local indian and chinese grocery store.  this recipe is super easy and tastes better than what you can find at most indian restaurants!!  the falooda seeds are optional since they don't really have a flavor, but they do add to the authentic look (a little like floating tadpoles!), and are actually very good for digestion in a hot climate.</t>
        </is>
      </c>
      <c r="G981" t="n">
        <v>5</v>
      </c>
      <c r="H981" t="n">
        <v>1800</v>
      </c>
      <c r="I981">
        <f>D981*60</f>
        <v/>
      </c>
      <c r="J981">
        <f>COUNTIF(Отзывы!$D:$D, 120560)</f>
        <v/>
      </c>
    </row>
    <row r="982">
      <c r="A982" t="n">
        <v>22441</v>
      </c>
      <c r="B982" t="inlineStr">
        <is>
          <t>restaurant style salsa</t>
        </is>
      </c>
      <c r="C982" t="n">
        <v>383640</v>
      </c>
      <c r="D982" s="4" t="n">
        <v>15</v>
      </c>
      <c r="E982" s="1" t="n">
        <v>40025</v>
      </c>
      <c r="F982" t="inlineStr">
        <is>
          <t>you sit down at a mexican restaurant and they bring you a bowl of chips and salsa.  you have one chip, dip it, but can't stop there.  you continue until all the chips and salsa are gone and ask for more.  this is that salsa.  it is great on any dish from tacos to scrambled eggs.  adjust the amount of jalapeno peppers and salt to suite your own palate.  with the two jalapenos, this version is spicy.</t>
        </is>
      </c>
      <c r="H982" t="n">
        <v>900</v>
      </c>
      <c r="I982">
        <f>D982*60</f>
        <v/>
      </c>
      <c r="J982">
        <f>COUNTIF(Отзывы!$D:$D, 383640)</f>
        <v/>
      </c>
    </row>
    <row r="983">
      <c r="A983" t="n">
        <v>19581</v>
      </c>
      <c r="B983" t="inlineStr">
        <is>
          <t>oven fried chicken fingers and fries</t>
        </is>
      </c>
      <c r="C983" t="n">
        <v>308579</v>
      </c>
      <c r="D983" s="4" t="n">
        <v>55</v>
      </c>
      <c r="E983" s="1" t="n">
        <v>39609</v>
      </c>
      <c r="F983" t="inlineStr">
        <is>
          <t>this version of breaded chicken strips skips the deep frying yet gives you that great crunchy texture.</t>
        </is>
      </c>
      <c r="G983" t="n">
        <v>5</v>
      </c>
      <c r="H983" t="n">
        <v>3300</v>
      </c>
      <c r="I983">
        <f>D983*60</f>
        <v/>
      </c>
      <c r="J983">
        <f>COUNTIF(Отзывы!$D:$D, 308579)</f>
        <v/>
      </c>
    </row>
    <row r="984">
      <c r="A984" t="n">
        <v>23136</v>
      </c>
      <c r="B984" t="inlineStr">
        <is>
          <t>sage and garlic roast turkey</t>
        </is>
      </c>
      <c r="C984" t="n">
        <v>144068</v>
      </c>
      <c r="D984" s="4" t="n">
        <v>315</v>
      </c>
      <c r="E984" s="1" t="n">
        <v>38663</v>
      </c>
      <c r="F984" t="inlineStr">
        <is>
          <t>a great spin on the classic roast turkey! we loved this on thanksgiving 2004!</t>
        </is>
      </c>
      <c r="H984" t="n">
        <v>18900</v>
      </c>
      <c r="I984">
        <f>D984*60</f>
        <v/>
      </c>
      <c r="J984">
        <f>COUNTIF(Отзывы!$D:$D, 144068)</f>
        <v/>
      </c>
    </row>
    <row r="985">
      <c r="A985" t="n">
        <v>17024</v>
      </c>
      <c r="B985" t="inlineStr">
        <is>
          <t>marianne baguette   traditional rustic french bread</t>
        </is>
      </c>
      <c r="C985" t="n">
        <v>235909</v>
      </c>
      <c r="D985" s="4" t="n">
        <v>90</v>
      </c>
      <c r="E985" s="1" t="n">
        <v>39253</v>
      </c>
      <c r="F985" t="inlineStr">
        <is>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is>
      </c>
      <c r="H985" t="n">
        <v>5400</v>
      </c>
      <c r="I985">
        <f>D985*60</f>
        <v/>
      </c>
      <c r="J985">
        <f>COUNTIF(Отзывы!$D:$D, 235909)</f>
        <v/>
      </c>
    </row>
    <row r="986">
      <c r="A986" t="n">
        <v>3921</v>
      </c>
      <c r="B986" t="inlineStr">
        <is>
          <t>brown rice and lentil casserole</t>
        </is>
      </c>
      <c r="C986" t="n">
        <v>74629</v>
      </c>
      <c r="D986" s="4" t="n">
        <v>100</v>
      </c>
      <c r="E986" s="1" t="n">
        <v>37925</v>
      </c>
      <c r="F986" t="inlineStr">
        <is>
          <t>this is a great meal that we eat here often in the winter time. with some dark bread and maybe a salad it is a really hearty meal, though we have been known to eat just this for dinner. the recipe is adapted from amy dacyczyn's "the complete tightwad gazette"</t>
        </is>
      </c>
      <c r="G986" t="n">
        <v>7</v>
      </c>
      <c r="H986" t="n">
        <v>6000</v>
      </c>
      <c r="I986">
        <f>D986*60</f>
        <v/>
      </c>
      <c r="J986">
        <f>COUNTIF(Отзывы!$D:$D, 74629)</f>
        <v/>
      </c>
    </row>
    <row r="987">
      <c r="A987" t="n">
        <v>23253</v>
      </c>
      <c r="B987" t="inlineStr">
        <is>
          <t>salmon with pesto cream sauce</t>
        </is>
      </c>
      <c r="C987" t="n">
        <v>453442</v>
      </c>
      <c r="D987" s="4" t="n">
        <v>35</v>
      </c>
      <c r="E987" s="1" t="n">
        <v>40643</v>
      </c>
      <c r="F987" t="inlineStr">
        <is>
          <t>my attempt to emulate one of my favorite dishes from buca di beppo.  you can also serve the sauce on noodles and place the salmon on top of it.</t>
        </is>
      </c>
      <c r="G987" t="n">
        <v>6</v>
      </c>
      <c r="H987" t="n">
        <v>2100</v>
      </c>
      <c r="I987">
        <f>D987*60</f>
        <v/>
      </c>
      <c r="J987">
        <f>COUNTIF(Отзывы!$D:$D, 453442)</f>
        <v/>
      </c>
    </row>
    <row r="988">
      <c r="A988" t="n">
        <v>6823</v>
      </c>
      <c r="B988" t="inlineStr">
        <is>
          <t>chocolate mint cream cheese pie</t>
        </is>
      </c>
      <c r="C988" t="n">
        <v>91967</v>
      </c>
      <c r="D988" s="4" t="n">
        <v>380</v>
      </c>
      <c r="E988" s="1" t="n">
        <v>38134</v>
      </c>
      <c r="F988" t="inlineStr">
        <is>
          <t>a friend of mine fixed this for a potluck and i had to have the recipe. cooking time is chilling time.</t>
        </is>
      </c>
      <c r="G988" t="n">
        <v>7</v>
      </c>
      <c r="H988" t="n">
        <v>22800</v>
      </c>
      <c r="I988">
        <f>D988*60</f>
        <v/>
      </c>
      <c r="J988">
        <f>COUNTIF(Отзывы!$D:$D, 91967)</f>
        <v/>
      </c>
    </row>
    <row r="989">
      <c r="A989" t="n">
        <v>23063</v>
      </c>
      <c r="B989" t="inlineStr">
        <is>
          <t>runzas</t>
        </is>
      </c>
      <c r="C989" t="n">
        <v>55733</v>
      </c>
      <c r="D989" s="4" t="n">
        <v>45</v>
      </c>
      <c r="E989" s="1" t="n">
        <v>37686</v>
      </c>
      <c r="F989" t="inlineStr">
        <is>
          <t xml:space="preserve">this is an old recipe from a chain of restaurants in nebraska called </t>
        </is>
      </c>
      <c r="G989" t="n">
        <v>10</v>
      </c>
      <c r="H989" t="n">
        <v>2700</v>
      </c>
      <c r="I989">
        <f>D989*60</f>
        <v/>
      </c>
      <c r="J989">
        <f>COUNTIF(Отзывы!$D:$D, 55733)</f>
        <v/>
      </c>
    </row>
    <row r="990">
      <c r="A990" t="n">
        <v>7549</v>
      </c>
      <c r="B990" t="inlineStr">
        <is>
          <t>corky s memphis style coleslaw</t>
        </is>
      </c>
      <c r="C990" t="n">
        <v>5418</v>
      </c>
      <c r="D990" s="5" t="n">
        <v>0</v>
      </c>
      <c r="E990" s="1" t="n">
        <v>36507</v>
      </c>
      <c r="F990" t="inlineStr">
        <is>
          <t>i got this out of a newspaper several years ago and have used it many times for family get-to-gethers. don't leave anything out!</t>
        </is>
      </c>
      <c r="H990" t="n">
        <v>0</v>
      </c>
      <c r="I990">
        <f>D990*60</f>
        <v/>
      </c>
      <c r="J990">
        <f>COUNTIF(Отзывы!$D:$D, 5418)</f>
        <v/>
      </c>
    </row>
    <row r="991" ht="315" customHeight="1">
      <c r="A991" t="n">
        <v>7746</v>
      </c>
      <c r="B991" t="inlineStr">
        <is>
          <t>country vegetable simmer</t>
        </is>
      </c>
      <c r="C991" t="n">
        <v>383797</v>
      </c>
      <c r="D991" s="4" t="n">
        <v>45</v>
      </c>
      <c r="E991" s="1" t="n">
        <v>40027</v>
      </c>
      <c r="F991" s="2" t="inlineStr">
        <is>
          <t>simmer fresh green beans, sweet new potatoes and juicy tomatoes with just a hint of basil for a hearty vegetable dish._x000D_
from land-o-lakes cookbook.</t>
        </is>
      </c>
      <c r="G991" t="n">
        <v>13</v>
      </c>
      <c r="H991" t="n">
        <v>2700</v>
      </c>
      <c r="I991">
        <f>D991*60</f>
        <v/>
      </c>
      <c r="J991">
        <f>COUNTIF(Отзывы!$D:$D, 383797)</f>
        <v/>
      </c>
    </row>
    <row r="992">
      <c r="A992" t="n">
        <v>8198</v>
      </c>
      <c r="B992" t="inlineStr">
        <is>
          <t>creamy cheddar potatoes</t>
        </is>
      </c>
      <c r="C992" t="n">
        <v>84997</v>
      </c>
      <c r="D992" s="4" t="n">
        <v>25</v>
      </c>
      <c r="E992" s="1" t="n">
        <v>38042</v>
      </c>
      <c r="F992" t="inlineStr">
        <is>
          <t>this stove-top potato side dish will soon be a family favorite!</t>
        </is>
      </c>
      <c r="G992" t="n">
        <v>7</v>
      </c>
      <c r="H992" t="n">
        <v>1500</v>
      </c>
      <c r="I992">
        <f>D992*60</f>
        <v/>
      </c>
      <c r="J992">
        <f>COUNTIF(Отзывы!$D:$D, 84997)</f>
        <v/>
      </c>
    </row>
    <row r="993" ht="409.5" customHeight="1">
      <c r="A993" t="n">
        <v>16466</v>
      </c>
      <c r="B993" t="inlineStr">
        <is>
          <t>low fat chicken pot pie with puff pastry</t>
        </is>
      </c>
      <c r="C993" t="n">
        <v>253709</v>
      </c>
      <c r="D993" s="4" t="n">
        <v>70</v>
      </c>
      <c r="E993" s="1" t="n">
        <v>39343</v>
      </c>
      <c r="F993" s="2" t="inlineStr">
        <is>
          <t>low fat but you get to enjoy the puff pastry due to the use of such low fat ingredients in the filling.:) the totals are still well below a low fat diet number._x000D_
found this in cooking light. their values are:  388 calories, fat 13 grams (2g saturated, mono 3g, poly 7g) carb 45.7g, chol 34 mg.</t>
        </is>
      </c>
      <c r="G993" t="n">
        <v>16</v>
      </c>
      <c r="H993" t="n">
        <v>4200</v>
      </c>
      <c r="I993">
        <f>D993*60</f>
        <v/>
      </c>
      <c r="J993">
        <f>COUNTIF(Отзывы!$D:$D, 253709)</f>
        <v/>
      </c>
    </row>
    <row r="994">
      <c r="A994" t="n">
        <v>2058</v>
      </c>
      <c r="B994" t="inlineStr">
        <is>
          <t>balsamic leg of lamb</t>
        </is>
      </c>
      <c r="C994" t="n">
        <v>47782</v>
      </c>
      <c r="D994" s="4" t="n">
        <v>45</v>
      </c>
      <c r="E994" s="1" t="n">
        <v>37598</v>
      </c>
      <c r="F994" t="inlineStr">
        <is>
          <t>the longer the maranade the better the flavour. the pesto and vinegar give this a unique taste. maranade time not included in prep time.</t>
        </is>
      </c>
      <c r="G994" t="n">
        <v>6</v>
      </c>
      <c r="H994" t="n">
        <v>2700</v>
      </c>
      <c r="I994">
        <f>D994*60</f>
        <v/>
      </c>
      <c r="J994">
        <f>COUNTIF(Отзывы!$D:$D, 47782)</f>
        <v/>
      </c>
    </row>
    <row r="995" ht="409.5" customHeight="1">
      <c r="A995" t="n">
        <v>14910</v>
      </c>
      <c r="B995" t="inlineStr">
        <is>
          <t>japanese wasabi marinade</t>
        </is>
      </c>
      <c r="C995" t="n">
        <v>27925</v>
      </c>
      <c r="D995" s="6" t="n">
        <v>5</v>
      </c>
      <c r="E995" s="1" t="n">
        <v>37385</v>
      </c>
      <c r="F995" s="2" t="inlineStr">
        <is>
          <t>a nice tangy marinade, great for chops, steaks, swordfish, tempeh, and tuna fillets._x000D_
i did want to mention to anyone interested that when you add vinegar to things like horseradish (powdered "wasabi"), or dried mustard powder that it takes away much of the bite. if you want the heat of wasabi paste that you are used to with sushi, then serve the fish with wasabi paste, thinned with water.</t>
        </is>
      </c>
      <c r="G995" t="n">
        <v>7</v>
      </c>
      <c r="H995" t="n">
        <v>300</v>
      </c>
      <c r="I995">
        <f>D995*60</f>
        <v/>
      </c>
      <c r="J995">
        <f>COUNTIF(Отзывы!$D:$D, 27925)</f>
        <v/>
      </c>
    </row>
    <row r="996">
      <c r="A996" t="n">
        <v>1856</v>
      </c>
      <c r="B996" t="inlineStr">
        <is>
          <t>baked french toast with pecans</t>
        </is>
      </c>
      <c r="C996" t="n">
        <v>185257</v>
      </c>
      <c r="D996" s="4" t="n">
        <v>55</v>
      </c>
      <c r="E996" s="1" t="n">
        <v>38968</v>
      </c>
      <c r="F996" t="inlineStr">
        <is>
          <t>this dish is assembled a day ahead so the buttery sauce can soak into the bread.  from bon appetit.</t>
        </is>
      </c>
      <c r="G996" t="n">
        <v>9</v>
      </c>
      <c r="H996" t="n">
        <v>3300</v>
      </c>
      <c r="I996">
        <f>D996*60</f>
        <v/>
      </c>
      <c r="J996">
        <f>COUNTIF(Отзывы!$D:$D, 185257)</f>
        <v/>
      </c>
    </row>
    <row r="997" ht="285" customHeight="1">
      <c r="A997" t="n">
        <v>2737</v>
      </c>
      <c r="B997" t="inlineStr">
        <is>
          <t>beer cheese dip   very good</t>
        </is>
      </c>
      <c r="C997" t="n">
        <v>146887</v>
      </c>
      <c r="D997" s="4" t="n">
        <v>75</v>
      </c>
      <c r="E997" s="1" t="n">
        <v>38687</v>
      </c>
      <c r="F997" s="2" t="inlineStr">
        <is>
          <t>had this on thanksgiving and it is sooo good and you can serve with crackers, pretzels or veggies._x000D_
_x000D_
cook time includes chill time</t>
        </is>
      </c>
      <c r="G997" t="n">
        <v>6</v>
      </c>
      <c r="H997" t="n">
        <v>4500</v>
      </c>
      <c r="I997">
        <f>D997*60</f>
        <v/>
      </c>
      <c r="J997">
        <f>COUNTIF(Отзывы!$D:$D, 146887)</f>
        <v/>
      </c>
    </row>
    <row r="998">
      <c r="A998" t="n">
        <v>19551</v>
      </c>
      <c r="B998" t="inlineStr">
        <is>
          <t>outstanding greek salad dressing</t>
        </is>
      </c>
      <c r="C998" t="n">
        <v>965</v>
      </c>
      <c r="D998" s="5" t="n">
        <v>0</v>
      </c>
      <c r="E998" s="1" t="n">
        <v>36384</v>
      </c>
      <c r="G998" t="n">
        <v>7</v>
      </c>
      <c r="H998" t="n">
        <v>0</v>
      </c>
      <c r="I998">
        <f>D998*60</f>
        <v/>
      </c>
      <c r="J998">
        <f>COUNTIF(Отзывы!$D:$D, 965)</f>
        <v/>
      </c>
    </row>
    <row r="999">
      <c r="A999" t="n">
        <v>13383</v>
      </c>
      <c r="B999" t="inlineStr">
        <is>
          <t>hawaiian cookies</t>
        </is>
      </c>
      <c r="C999" t="n">
        <v>115469</v>
      </c>
      <c r="D999" s="4" t="n">
        <v>35</v>
      </c>
      <c r="E999" s="1" t="n">
        <v>38447</v>
      </c>
      <c r="F999" t="inlineStr">
        <is>
          <t>very tropical, very nummy.</t>
        </is>
      </c>
      <c r="H999" t="n">
        <v>2100</v>
      </c>
      <c r="I999">
        <f>D999*60</f>
        <v/>
      </c>
      <c r="J999">
        <f>COUNTIF(Отзывы!$D:$D, 115469)</f>
        <v/>
      </c>
    </row>
    <row r="1000">
      <c r="A1000" t="n">
        <v>8112</v>
      </c>
      <c r="B1000" t="inlineStr">
        <is>
          <t>cream of roasted tomato soup</t>
        </is>
      </c>
      <c r="C1000" t="n">
        <v>35864</v>
      </c>
      <c r="D1000" s="4" t="n">
        <v>45</v>
      </c>
      <c r="E1000" s="1" t="n">
        <v>37470</v>
      </c>
      <c r="F1000" t="inlineStr">
        <is>
          <t>not sure where it came from originally, but it's a great way to use some of those tomatos from the garden.</t>
        </is>
      </c>
      <c r="G1000" t="n">
        <v>13</v>
      </c>
      <c r="H1000" t="n">
        <v>2700</v>
      </c>
      <c r="I1000">
        <f>D1000*60</f>
        <v/>
      </c>
      <c r="J1000">
        <f>COUNTIF(Отзывы!$D:$D, 35864)</f>
        <v/>
      </c>
    </row>
    <row r="1001">
      <c r="A1001" t="n">
        <v>14792</v>
      </c>
      <c r="B1001" t="inlineStr">
        <is>
          <t>jack daniel s marinade</t>
        </is>
      </c>
      <c r="C1001" t="n">
        <v>4135</v>
      </c>
      <c r="D1001" s="4" t="n">
        <v>60</v>
      </c>
      <c r="E1001" s="1" t="n">
        <v>36471</v>
      </c>
      <c r="F1001" t="inlineStr">
        <is>
          <t>i guess you could just add cooked shrimp after making this and serve with rice.</t>
        </is>
      </c>
      <c r="G1001" t="n">
        <v>8</v>
      </c>
      <c r="H1001" t="n">
        <v>3600</v>
      </c>
      <c r="I1001">
        <f>D1001*60</f>
        <v/>
      </c>
      <c r="J1001">
        <f>COUNTIF(Отзывы!$D:$D, 4135)</f>
        <v/>
      </c>
    </row>
    <row r="1002">
      <c r="A1002" t="n">
        <v>9444</v>
      </c>
      <c r="B1002" t="inlineStr">
        <is>
          <t>dijon chicken mushroom stroganoff</t>
        </is>
      </c>
      <c r="C1002" t="n">
        <v>113707</v>
      </c>
      <c r="D1002" s="4" t="n">
        <v>55</v>
      </c>
      <c r="E1002" s="1" t="n">
        <v>38429</v>
      </c>
      <c r="F1002" t="inlineStr">
        <is>
          <t>this is a delicious low-fat version of stroganoff. it comes from cooking light magazine.</t>
        </is>
      </c>
      <c r="G1002" t="n">
        <v>12</v>
      </c>
      <c r="H1002" t="n">
        <v>3300</v>
      </c>
      <c r="I1002">
        <f>D1002*60</f>
        <v/>
      </c>
      <c r="J1002">
        <f>COUNTIF(Отзывы!$D:$D, 113707)</f>
        <v/>
      </c>
    </row>
    <row r="1003" ht="315" customHeight="1">
      <c r="A1003" t="n">
        <v>16733</v>
      </c>
      <c r="B1003" t="inlineStr">
        <is>
          <t>magic finger jello</t>
        </is>
      </c>
      <c r="C1003" t="n">
        <v>190185</v>
      </c>
      <c r="D1003" s="4" t="n">
        <v>135</v>
      </c>
      <c r="E1003" s="1" t="n">
        <v>39004</v>
      </c>
      <c r="F1003" s="2" t="inlineStr">
        <is>
          <t>the only jello finger recipe my mom ever used... and after trying many, it's the one that's worked best for me!_x000D_
(*note: cooking time is chilling time*)</t>
        </is>
      </c>
      <c r="G1003" t="n">
        <v>3</v>
      </c>
      <c r="H1003" t="n">
        <v>8100</v>
      </c>
      <c r="I1003">
        <f>D1003*60</f>
        <v/>
      </c>
      <c r="J1003">
        <f>COUNTIF(Отзывы!$D:$D, 190185)</f>
        <v/>
      </c>
    </row>
    <row r="1004">
      <c r="A1004" t="n">
        <v>13264</v>
      </c>
      <c r="B1004" t="inlineStr">
        <is>
          <t>ham  broccoli and rice casserole</t>
        </is>
      </c>
      <c r="C1004" t="n">
        <v>152828</v>
      </c>
      <c r="D1004" s="4" t="n">
        <v>40</v>
      </c>
      <c r="E1004" s="1" t="n">
        <v>38740</v>
      </c>
      <c r="F1004" t="inlineStr">
        <is>
          <t>this is soooo easy!</t>
        </is>
      </c>
      <c r="G1004" t="n">
        <v>7</v>
      </c>
      <c r="H1004" t="n">
        <v>2400</v>
      </c>
      <c r="I1004">
        <f>D1004*60</f>
        <v/>
      </c>
      <c r="J1004">
        <f>COUNTIF(Отзывы!$D:$D, 152828)</f>
        <v/>
      </c>
    </row>
    <row r="1005">
      <c r="A1005" t="n">
        <v>14452</v>
      </c>
      <c r="B1005" t="inlineStr">
        <is>
          <t>indian pudding 2  new england corn pudding</t>
        </is>
      </c>
      <c r="C1005" t="n">
        <v>32237</v>
      </c>
      <c r="D1005" s="4" t="n">
        <v>170</v>
      </c>
      <c r="E1005" s="1" t="n">
        <v>37432</v>
      </c>
      <c r="F1005" t="inlineStr">
        <is>
          <t>this is a traditional new england dessert. served warm, with hard sauce or a scoop of vanilla ice cream melting on the top. i make this around thanksgiving, but its great any time of year!(posted by request)</t>
        </is>
      </c>
      <c r="G1005" t="n">
        <v>11</v>
      </c>
      <c r="H1005" t="n">
        <v>10200</v>
      </c>
      <c r="I1005">
        <f>D1005*60</f>
        <v/>
      </c>
      <c r="J1005">
        <f>COUNTIF(Отзывы!$D:$D, 32237)</f>
        <v/>
      </c>
    </row>
    <row r="1006">
      <c r="A1006" t="n">
        <v>8962</v>
      </c>
      <c r="B1006" t="inlineStr">
        <is>
          <t>curried cauliflower casserole</t>
        </is>
      </c>
      <c r="C1006" t="n">
        <v>36785</v>
      </c>
      <c r="D1006" s="4" t="n">
        <v>55</v>
      </c>
      <c r="E1006" s="1" t="n">
        <v>37480</v>
      </c>
      <c r="G1006" t="n">
        <v>13</v>
      </c>
      <c r="H1006" t="n">
        <v>3300</v>
      </c>
      <c r="I1006">
        <f>D1006*60</f>
        <v/>
      </c>
      <c r="J1006">
        <f>COUNTIF(Отзывы!$D:$D, 36785)</f>
        <v/>
      </c>
    </row>
    <row r="1007">
      <c r="A1007" t="n">
        <v>2907</v>
      </c>
      <c r="B1007" t="inlineStr">
        <is>
          <t>best ever pie crust</t>
        </is>
      </c>
      <c r="C1007" t="n">
        <v>108281</v>
      </c>
      <c r="D1007" s="4" t="n">
        <v>20</v>
      </c>
      <c r="E1007" s="1" t="n">
        <v>38366</v>
      </c>
      <c r="F1007" t="inlineStr">
        <is>
          <t>found this in martha stewart living two years ago. the best pie crust recipe i've found yet!!! the vinegar in the crust makes it very tender.</t>
        </is>
      </c>
      <c r="G1007" t="n">
        <v>7</v>
      </c>
      <c r="H1007" t="n">
        <v>1200</v>
      </c>
      <c r="I1007">
        <f>D1007*60</f>
        <v/>
      </c>
      <c r="J1007">
        <f>COUNTIF(Отзывы!$D:$D, 108281)</f>
        <v/>
      </c>
    </row>
    <row r="1008">
      <c r="A1008" t="n">
        <v>12573</v>
      </c>
      <c r="B1008" t="inlineStr">
        <is>
          <t>greek orzo salad w  kalamata and feta</t>
        </is>
      </c>
      <c r="C1008" t="n">
        <v>174859</v>
      </c>
      <c r="D1008" s="4" t="n">
        <v>65</v>
      </c>
      <c r="E1008" s="1" t="n">
        <v>38894</v>
      </c>
      <c r="F1008" t="inlineStr">
        <is>
          <t>a great summer salad.  serve room temperature or chilled.  perfect for a picnic or backyard barbeque.  this salad tastes better the longer it chills.</t>
        </is>
      </c>
      <c r="H1008" t="n">
        <v>3900</v>
      </c>
      <c r="I1008">
        <f>D1008*60</f>
        <v/>
      </c>
      <c r="J1008">
        <f>COUNTIF(Отзывы!$D:$D, 174859)</f>
        <v/>
      </c>
    </row>
    <row r="1009">
      <c r="A1009" t="n">
        <v>25317</v>
      </c>
      <c r="B1009" t="inlineStr">
        <is>
          <t>spicy butternut squash</t>
        </is>
      </c>
      <c r="C1009" t="n">
        <v>464800</v>
      </c>
      <c r="D1009" s="4" t="n">
        <v>40</v>
      </c>
      <c r="E1009" s="1" t="n">
        <v>40810</v>
      </c>
      <c r="F1009" t="inlineStr">
        <is>
          <t>this recipe is based on one from carl jerome’s cookbook, cooking for a new earth. this is a microwave recipe. he says in its intro, “the spicy coating on these cubes of rich butternut squash can be either sweet or hot, depending on the kind of chili powder used. when the chili powder is barely hot, the sweet taste of the squash will dominate; if it is fiery hot, it will add contrast to this autumn vegetable. this versatile recipe can be served as part of a cold meal in august, when the first winter squashes appear in the market, or hot from the oven during the winter months.”</t>
        </is>
      </c>
      <c r="H1009" t="n">
        <v>2400</v>
      </c>
      <c r="I1009">
        <f>D1009*60</f>
        <v/>
      </c>
      <c r="J1009">
        <f>COUNTIF(Отзывы!$D:$D, 464800)</f>
        <v/>
      </c>
    </row>
    <row r="1010">
      <c r="A1010" t="n">
        <v>9273</v>
      </c>
      <c r="B1010" t="inlineStr">
        <is>
          <t>delicious chicken and dumplings</t>
        </is>
      </c>
      <c r="C1010" t="n">
        <v>387294</v>
      </c>
      <c r="D1010" s="4" t="n">
        <v>60</v>
      </c>
      <c r="E1010" s="1" t="n">
        <v>40051</v>
      </c>
      <c r="F1010" t="inlineStr">
        <is>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is>
      </c>
      <c r="H1010" t="n">
        <v>3600</v>
      </c>
      <c r="I1010">
        <f>D1010*60</f>
        <v/>
      </c>
      <c r="J1010">
        <f>COUNTIF(Отзывы!$D:$D, 387294)</f>
        <v/>
      </c>
    </row>
    <row r="1011">
      <c r="A1011" t="n">
        <v>14923</v>
      </c>
      <c r="B1011" t="inlineStr">
        <is>
          <t>jaxon s potato chile soup</t>
        </is>
      </c>
      <c r="C1011" t="n">
        <v>104917</v>
      </c>
      <c r="D1011" s="4" t="n">
        <v>60</v>
      </c>
      <c r="E1011" s="1" t="n">
        <v>38320</v>
      </c>
      <c r="F1011" t="inlineStr">
        <is>
          <t>jaxon's is local and they make the best potato soup with green chile. the recipe is printed in the el paso junior league cookbook and there have been people to buy the cookbook for this recipe.</t>
        </is>
      </c>
      <c r="G1011" t="n">
        <v>10</v>
      </c>
      <c r="H1011" t="n">
        <v>3600</v>
      </c>
      <c r="I1011">
        <f>D1011*60</f>
        <v/>
      </c>
      <c r="J1011">
        <f>COUNTIF(Отзывы!$D:$D, 104917)</f>
        <v/>
      </c>
    </row>
    <row r="1012">
      <c r="A1012" t="n">
        <v>3857</v>
      </c>
      <c r="B1012" t="inlineStr">
        <is>
          <t>broccoli  ham and cheese casserole</t>
        </is>
      </c>
      <c r="C1012" t="n">
        <v>499341</v>
      </c>
      <c r="D1012" s="4" t="n">
        <v>50</v>
      </c>
      <c r="E1012" s="1" t="n">
        <v>41386</v>
      </c>
      <c r="F1012" t="inlineStr">
        <is>
          <t>i had the broccoli, ham and cheese, but no cream soup, so i took a couple existing recipes and improvised. also, i used jarlsberg cheese, but swiss or any favorite cheese could be used.</t>
        </is>
      </c>
      <c r="G1012" t="n">
        <v>13</v>
      </c>
      <c r="H1012" t="n">
        <v>3000</v>
      </c>
      <c r="I1012">
        <f>D1012*60</f>
        <v/>
      </c>
      <c r="J1012">
        <f>COUNTIF(Отзывы!$D:$D, 499341)</f>
        <v/>
      </c>
    </row>
    <row r="1013">
      <c r="A1013" t="n">
        <v>29207</v>
      </c>
      <c r="B1013" t="inlineStr">
        <is>
          <t>whipped spice butter</t>
        </is>
      </c>
      <c r="C1013" t="n">
        <v>331578</v>
      </c>
      <c r="D1013" s="5" t="n">
        <v>4</v>
      </c>
      <c r="E1013" s="1" t="n">
        <v>39740</v>
      </c>
      <c r="F1013" t="inlineStr">
        <is>
          <t>yummy on pancakes or served with a fruit pudding for christmas.</t>
        </is>
      </c>
      <c r="G1013" t="n">
        <v>5</v>
      </c>
      <c r="H1013" t="n">
        <v>240</v>
      </c>
      <c r="I1013">
        <f>D1013*60</f>
        <v/>
      </c>
      <c r="J1013">
        <f>COUNTIF(Отзывы!$D:$D, 331578)</f>
        <v/>
      </c>
    </row>
    <row r="1014">
      <c r="A1014" t="n">
        <v>4840</v>
      </c>
      <c r="B1014" t="inlineStr">
        <is>
          <t>carrot pep</t>
        </is>
      </c>
      <c r="C1014" t="n">
        <v>145669</v>
      </c>
      <c r="D1014" s="6" t="n">
        <v>5</v>
      </c>
      <c r="E1014" s="1" t="n">
        <v>38676</v>
      </c>
      <c r="F1014" t="inlineStr">
        <is>
          <t xml:space="preserve">a healthy and delicious juice - a great way to start the day! - from australian chef flip shelton's 'green: modern vegetarian recipes'.  as flip says of this juice </t>
        </is>
      </c>
      <c r="H1014" t="n">
        <v>300</v>
      </c>
      <c r="I1014">
        <f>D1014*60</f>
        <v/>
      </c>
      <c r="J1014">
        <f>COUNTIF(Отзывы!$D:$D, 145669)</f>
        <v/>
      </c>
    </row>
    <row r="1015">
      <c r="A1015" t="n">
        <v>21052</v>
      </c>
      <c r="B1015" t="inlineStr">
        <is>
          <t>polenta sos style</t>
        </is>
      </c>
      <c r="C1015" t="n">
        <v>202184</v>
      </c>
      <c r="D1015" s="4" t="n">
        <v>40</v>
      </c>
      <c r="E1015" s="1" t="n">
        <v>39079</v>
      </c>
      <c r="F1015" t="inlineStr">
        <is>
          <t>the veterans should know what sos stands for. this is so easy its scary!</t>
        </is>
      </c>
      <c r="G1015" t="n">
        <v>5</v>
      </c>
      <c r="H1015" t="n">
        <v>2400</v>
      </c>
      <c r="I1015">
        <f>D1015*60</f>
        <v/>
      </c>
      <c r="J1015">
        <f>COUNTIF(Отзывы!$D:$D, 202184)</f>
        <v/>
      </c>
    </row>
    <row r="1016">
      <c r="A1016" t="n">
        <v>326</v>
      </c>
      <c r="B1016" t="inlineStr">
        <is>
          <t>acorn squash with cracker stuffing</t>
        </is>
      </c>
      <c r="C1016" t="n">
        <v>59334</v>
      </c>
      <c r="D1016" s="4" t="n">
        <v>80</v>
      </c>
      <c r="E1016" s="1" t="n">
        <v>37723</v>
      </c>
      <c r="F1016" t="inlineStr">
        <is>
          <t>dad used to make this for us at thanksgiving. the penultimate holiday treat - i could eat this all the time.</t>
        </is>
      </c>
      <c r="H1016" t="n">
        <v>4800</v>
      </c>
      <c r="I1016">
        <f>D1016*60</f>
        <v/>
      </c>
      <c r="J1016">
        <f>COUNTIF(Отзывы!$D:$D, 59334)</f>
        <v/>
      </c>
    </row>
    <row r="1017">
      <c r="A1017" t="n">
        <v>14876</v>
      </c>
      <c r="B1017" t="inlineStr">
        <is>
          <t>jammn jamaican puddn</t>
        </is>
      </c>
      <c r="C1017" t="n">
        <v>161401</v>
      </c>
      <c r="D1017" s="4" t="n">
        <v>170</v>
      </c>
      <c r="E1017" s="1" t="n">
        <v>38800</v>
      </c>
      <c r="F1017" t="inlineStr">
        <is>
          <t>this pudding is a wonderful creamy and rich dessert.  the dish uses tropical fruits and the versatile coconut for the perfect ending to a spicy caribbean meal.</t>
        </is>
      </c>
      <c r="H1017" t="n">
        <v>10200</v>
      </c>
      <c r="I1017">
        <f>D1017*60</f>
        <v/>
      </c>
      <c r="J1017">
        <f>COUNTIF(Отзывы!$D:$D, 161401)</f>
        <v/>
      </c>
    </row>
    <row r="1018">
      <c r="A1018" t="n">
        <v>17964</v>
      </c>
      <c r="B1018" t="inlineStr">
        <is>
          <t>mom s blonde brownies  blondies</t>
        </is>
      </c>
      <c r="C1018" t="n">
        <v>367578</v>
      </c>
      <c r="D1018" s="4" t="n">
        <v>45</v>
      </c>
      <c r="E1018" s="1" t="n">
        <v>39926</v>
      </c>
      <c r="F1018" t="inlineStr">
        <is>
          <t>ok, so these aren't the healthiest bars in the world, but a crowd favorites nonetheless!  these were one of my favorites that my mom made when i was little.  these are always a quick, easy option when you need a treat to bring to an event!  you won't be bringing any leftovers home! :)</t>
        </is>
      </c>
      <c r="G1018" t="n">
        <v>9</v>
      </c>
      <c r="H1018" t="n">
        <v>2700</v>
      </c>
      <c r="I1018">
        <f>D1018*60</f>
        <v/>
      </c>
      <c r="J1018">
        <f>COUNTIF(Отзывы!$D:$D, 367578)</f>
        <v/>
      </c>
    </row>
    <row r="1019">
      <c r="A1019" t="n">
        <v>24670</v>
      </c>
      <c r="B1019" t="inlineStr">
        <is>
          <t>snap pea salad</t>
        </is>
      </c>
      <c r="C1019" t="n">
        <v>298689</v>
      </c>
      <c r="D1019" s="4" t="n">
        <v>20</v>
      </c>
      <c r="E1019" s="1" t="n">
        <v>39554</v>
      </c>
      <c r="F1019" t="inlineStr">
        <is>
          <t>i love snap peas, so when i saw this, i had to try it, with a couple of changes. adapted from everyday food magazine.</t>
        </is>
      </c>
      <c r="H1019" t="n">
        <v>1200</v>
      </c>
      <c r="I1019">
        <f>D1019*60</f>
        <v/>
      </c>
      <c r="J1019">
        <f>COUNTIF(Отзывы!$D:$D, 298689)</f>
        <v/>
      </c>
    </row>
    <row r="1020">
      <c r="A1020" t="n">
        <v>11675</v>
      </c>
      <c r="B1020" t="inlineStr">
        <is>
          <t>fume salad ramen noodle salad</t>
        </is>
      </c>
      <c r="C1020" t="n">
        <v>93156</v>
      </c>
      <c r="D1020" s="6" t="n">
        <v>10</v>
      </c>
      <c r="E1020" s="1" t="n">
        <v>38148</v>
      </c>
      <c r="F1020" t="inlineStr">
        <is>
          <t>something different and tasty...an alternative when the barbecue/cookout season gets going and you're tired of potato salad and plain coleslaw.</t>
        </is>
      </c>
      <c r="G1020" t="n">
        <v>9</v>
      </c>
      <c r="H1020" t="n">
        <v>600</v>
      </c>
      <c r="I1020">
        <f>D1020*60</f>
        <v/>
      </c>
      <c r="J1020">
        <f>COUNTIF(Отзывы!$D:$D, 93156)</f>
        <v/>
      </c>
    </row>
    <row r="1021">
      <c r="A1021" t="n">
        <v>21234</v>
      </c>
      <c r="B1021" t="inlineStr">
        <is>
          <t>pork fried rice</t>
        </is>
      </c>
      <c r="C1021" t="n">
        <v>28301</v>
      </c>
      <c r="D1021" s="4" t="n">
        <v>85</v>
      </c>
      <c r="E1021" s="1" t="n">
        <v>37389</v>
      </c>
      <c r="F1021" t="inlineStr">
        <is>
          <t>this recipe is pretty easy to make once you get the hang of it. you can double it to feed a crowd or you can freeze what you don't eat. we love it with fresh snow peas from our garden - just add a tossed salad and a dinner roll and you have a meal.</t>
        </is>
      </c>
      <c r="H1021" t="n">
        <v>5100</v>
      </c>
      <c r="I1021">
        <f>D1021*60</f>
        <v/>
      </c>
      <c r="J1021">
        <f>COUNTIF(Отзывы!$D:$D, 28301)</f>
        <v/>
      </c>
    </row>
    <row r="1022" ht="375" customHeight="1">
      <c r="A1022" t="n">
        <v>2212</v>
      </c>
      <c r="B1022" t="inlineStr">
        <is>
          <t>banana tres leches cake</t>
        </is>
      </c>
      <c r="C1022" t="n">
        <v>227342</v>
      </c>
      <c r="D1022" s="4" t="n">
        <v>45</v>
      </c>
      <c r="E1022" s="1" t="n">
        <v>39212</v>
      </c>
      <c r="F1022" s="2" t="inlineStr">
        <is>
          <t>this is a nice cake that is not overly sweet.with a hint of banana and _x000D_
coconut flavors that compliment one another. for the best flavor and _x000D_
texture make this the night before.</t>
        </is>
      </c>
      <c r="G1022" t="n">
        <v>12</v>
      </c>
      <c r="H1022" t="n">
        <v>2700</v>
      </c>
      <c r="I1022">
        <f>D1022*60</f>
        <v/>
      </c>
      <c r="J1022">
        <f>COUNTIF(Отзывы!$D:$D, 227342)</f>
        <v/>
      </c>
    </row>
    <row r="1023" ht="409.5" customHeight="1">
      <c r="A1023" t="n">
        <v>16760</v>
      </c>
      <c r="B1023" t="inlineStr">
        <is>
          <t>majestic steakhouse rib eye</t>
        </is>
      </c>
      <c r="C1023" t="n">
        <v>324867</v>
      </c>
      <c r="D1023" s="4" t="n">
        <v>35</v>
      </c>
      <c r="E1023" s="1" t="n">
        <v>39703</v>
      </c>
      <c r="F1023" s="2" t="inlineStr">
        <is>
          <t>from a book called restaurant secrets.  wanting to try the sauce.  use your own steak recipe.  _x000D_
_x000D_
you can use jarred roasted red peppers or roast your own by grilling 6 red peppers until charcoal black.  chill for 5 minutes in ice water.  remove skins, stem, seeds and puree.</t>
        </is>
      </c>
      <c r="G1023" t="n">
        <v>10</v>
      </c>
      <c r="H1023" t="n">
        <v>2100</v>
      </c>
      <c r="I1023">
        <f>D1023*60</f>
        <v/>
      </c>
      <c r="J1023">
        <f>COUNTIF(Отзывы!$D:$D, 324867)</f>
        <v/>
      </c>
    </row>
    <row r="1024">
      <c r="A1024" t="n">
        <v>28862</v>
      </c>
      <c r="B1024" t="inlineStr">
        <is>
          <t>victory s taco tater tot casserole</t>
        </is>
      </c>
      <c r="C1024" t="n">
        <v>219202</v>
      </c>
      <c r="D1024" s="4" t="n">
        <v>50</v>
      </c>
      <c r="E1024" s="1" t="n">
        <v>39168</v>
      </c>
      <c r="F1024" t="inlineStr">
        <is>
          <t>home cooking at its best good comfort food tastes good and filling</t>
        </is>
      </c>
      <c r="H1024" t="n">
        <v>3000</v>
      </c>
      <c r="I1024">
        <f>D1024*60</f>
        <v/>
      </c>
      <c r="J1024">
        <f>COUNTIF(Отзывы!$D:$D, 219202)</f>
        <v/>
      </c>
    </row>
    <row r="1025">
      <c r="A1025" t="n">
        <v>24177</v>
      </c>
      <c r="B1025" t="inlineStr">
        <is>
          <t>silver state brownies</t>
        </is>
      </c>
      <c r="C1025" t="n">
        <v>43515</v>
      </c>
      <c r="D1025" s="4" t="n">
        <v>35</v>
      </c>
      <c r="E1025" s="1" t="n">
        <v>37547</v>
      </c>
      <c r="F1025" t="inlineStr">
        <is>
          <t>this recipe was in a raffle basket i won at a convention. the basket was provided by the silver state stitchers in nevada. my family and guests love this recipe; makes good brownies i sometimes use regular chocolate chips and stir them into the batter; instead of the mini chocolate chips sprinkled on top.</t>
        </is>
      </c>
      <c r="G1025" t="n">
        <v>8</v>
      </c>
      <c r="H1025" t="n">
        <v>2100</v>
      </c>
      <c r="I1025">
        <f>D1025*60</f>
        <v/>
      </c>
      <c r="J1025">
        <f>COUNTIF(Отзывы!$D:$D, 43515)</f>
        <v/>
      </c>
    </row>
    <row r="1026">
      <c r="A1026" t="n">
        <v>17873</v>
      </c>
      <c r="B1026" t="inlineStr">
        <is>
          <t>mocha shot</t>
        </is>
      </c>
      <c r="C1026" t="n">
        <v>320500</v>
      </c>
      <c r="D1026" s="5" t="n">
        <v>2</v>
      </c>
      <c r="E1026" s="1" t="n">
        <v>39680</v>
      </c>
      <c r="F1026" t="inlineStr">
        <is>
          <t>the name says it all..... enjoy!</t>
        </is>
      </c>
      <c r="G1026" t="n">
        <v>3</v>
      </c>
      <c r="H1026" t="n">
        <v>120</v>
      </c>
      <c r="I1026">
        <f>D1026*60</f>
        <v/>
      </c>
      <c r="J1026">
        <f>COUNTIF(Отзывы!$D:$D, 320500)</f>
        <v/>
      </c>
    </row>
    <row r="1027">
      <c r="A1027" t="n">
        <v>734</v>
      </c>
      <c r="B1027" t="inlineStr">
        <is>
          <t>anguillan barbecue sauce</t>
        </is>
      </c>
      <c r="C1027" t="n">
        <v>229143</v>
      </c>
      <c r="D1027" s="4" t="n">
        <v>65</v>
      </c>
      <c r="E1027" s="1" t="n">
        <v>39223</v>
      </c>
      <c r="F1027" t="inlineStr">
        <is>
          <t>in honor of the caribbean island of the month, here is a great taste of de islands!  this makes much more barbecue sauce than you need for a single chicken. it keeps well in the refrigerator. adapted from the cookin' &amp; grillin'.</t>
        </is>
      </c>
      <c r="H1027" t="n">
        <v>3900</v>
      </c>
      <c r="I1027">
        <f>D1027*60</f>
        <v/>
      </c>
      <c r="J1027">
        <f>COUNTIF(Отзывы!$D:$D, 229143)</f>
        <v/>
      </c>
    </row>
    <row r="1028">
      <c r="A1028" t="n">
        <v>10220</v>
      </c>
      <c r="B1028" t="inlineStr">
        <is>
          <t>easy smashed potatoes with roasted garlic and corn</t>
        </is>
      </c>
      <c r="C1028" t="n">
        <v>101807</v>
      </c>
      <c r="D1028" s="4" t="n">
        <v>65</v>
      </c>
      <c r="E1028" s="1" t="n">
        <v>38272</v>
      </c>
      <c r="F1028" t="inlineStr">
        <is>
          <t>i made this recipe up after tasting a similar one at a local restaurant. it has great flavor and interesting texture with the snappy corn.</t>
        </is>
      </c>
      <c r="G1028" t="n">
        <v>8</v>
      </c>
      <c r="H1028" t="n">
        <v>3900</v>
      </c>
      <c r="I1028">
        <f>D1028*60</f>
        <v/>
      </c>
      <c r="J1028">
        <f>COUNTIF(Отзывы!$D:$D, 101807)</f>
        <v/>
      </c>
    </row>
    <row r="1029" ht="409.5" customHeight="1">
      <c r="A1029" t="n">
        <v>1778</v>
      </c>
      <c r="B1029" t="inlineStr">
        <is>
          <t>baked cheez it chicken breasts</t>
        </is>
      </c>
      <c r="C1029" t="n">
        <v>415716</v>
      </c>
      <c r="D1029" s="4" t="n">
        <v>70</v>
      </c>
      <c r="E1029" s="1" t="n">
        <v>40245</v>
      </c>
      <c r="F1029" s="2" t="inlineStr">
        <is>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is>
      </c>
      <c r="G1029" t="n">
        <v>6</v>
      </c>
      <c r="H1029" t="n">
        <v>4200</v>
      </c>
      <c r="I1029">
        <f>D1029*60</f>
        <v/>
      </c>
      <c r="J1029">
        <f>COUNTIF(Отзывы!$D:$D, 415716)</f>
        <v/>
      </c>
    </row>
    <row r="1030">
      <c r="A1030" t="n">
        <v>18020</v>
      </c>
      <c r="B1030" t="inlineStr">
        <is>
          <t>mom s refrigerator bran muffins</t>
        </is>
      </c>
      <c r="C1030" t="n">
        <v>369191</v>
      </c>
      <c r="D1030" s="4" t="n">
        <v>28</v>
      </c>
      <c r="E1030" s="1" t="n">
        <v>39937</v>
      </c>
      <c r="F1030" t="inlineStr">
        <is>
          <t>this is my co-worker's recipe from her mom. the pineapple and extra raisins make them a bit different than the other recipes on this site. i think they are the best raisin bran muffins ever, and the batter keeps in the fridge for up to 3 months. i make two every morning in my toaster oven and take them with me to work. yum!</t>
        </is>
      </c>
      <c r="H1030" t="n">
        <v>1680</v>
      </c>
      <c r="I1030">
        <f>D1030*60</f>
        <v/>
      </c>
      <c r="J1030">
        <f>COUNTIF(Отзывы!$D:$D, 369191)</f>
        <v/>
      </c>
    </row>
    <row r="1031">
      <c r="A1031" t="n">
        <v>13947</v>
      </c>
      <c r="B1031" t="inlineStr">
        <is>
          <t>honey and raisin bran muffins</t>
        </is>
      </c>
      <c r="C1031" t="n">
        <v>10157</v>
      </c>
      <c r="D1031" s="4" t="n">
        <v>35</v>
      </c>
      <c r="E1031" s="1" t="n">
        <v>37084</v>
      </c>
      <c r="F1031" t="inlineStr">
        <is>
          <t>bran muffin with a difference..</t>
        </is>
      </c>
      <c r="G1031" t="n">
        <v>11</v>
      </c>
      <c r="H1031" t="n">
        <v>2100</v>
      </c>
      <c r="I1031">
        <f>D1031*60</f>
        <v/>
      </c>
      <c r="J1031">
        <f>COUNTIF(Отзывы!$D:$D, 10157)</f>
        <v/>
      </c>
    </row>
    <row r="1032">
      <c r="A1032" t="n">
        <v>13083</v>
      </c>
      <c r="B1032" t="inlineStr">
        <is>
          <t>ground beef  wellington  with fennel</t>
        </is>
      </c>
      <c r="C1032" t="n">
        <v>460902</v>
      </c>
      <c r="D1032" s="4" t="n">
        <v>60</v>
      </c>
      <c r="E1032" s="1" t="n">
        <v>40749</v>
      </c>
      <c r="F1032" t="inlineStr">
        <is>
          <t>i took the idea of wrapping beef in pastry from the traditional beef wellington to make a simpler dish with the kick of fennel and chile. i serve these with tomato sauce.</t>
        </is>
      </c>
      <c r="G1032" t="n">
        <v>12</v>
      </c>
      <c r="H1032" t="n">
        <v>3600</v>
      </c>
      <c r="I1032">
        <f>D1032*60</f>
        <v/>
      </c>
      <c r="J1032">
        <f>COUNTIF(Отзывы!$D:$D, 460902)</f>
        <v/>
      </c>
    </row>
    <row r="1033">
      <c r="A1033" t="n">
        <v>6332</v>
      </c>
      <c r="B1033" t="inlineStr">
        <is>
          <t>chinese garlic flavor eggplant</t>
        </is>
      </c>
      <c r="C1033" t="n">
        <v>390527</v>
      </c>
      <c r="D1033" s="4" t="n">
        <v>35</v>
      </c>
      <c r="E1033" s="1" t="n">
        <v>40072</v>
      </c>
      <c r="F1033" t="inlineStr">
        <is>
          <t>http://www.chinesefooddiy.com/lowfat_eggplant_garlic_sauce.htm</t>
        </is>
      </c>
      <c r="H1033" t="n">
        <v>2100</v>
      </c>
      <c r="I1033">
        <f>D1033*60</f>
        <v/>
      </c>
      <c r="J1033">
        <f>COUNTIF(Отзывы!$D:$D, 390527)</f>
        <v/>
      </c>
    </row>
    <row r="1034">
      <c r="A1034" t="n">
        <v>2696</v>
      </c>
      <c r="B1034" t="inlineStr">
        <is>
          <t>beef with guajillo sauce baked in banana leaves   mixiote de car</t>
        </is>
      </c>
      <c r="C1034" t="n">
        <v>275607</v>
      </c>
      <c r="D1034" s="4" t="n">
        <v>810</v>
      </c>
      <c r="E1034" s="1" t="n">
        <v>39449</v>
      </c>
      <c r="F1034" t="inlineStr">
        <is>
          <t>these are fragrant parcels of succulent meat seasoned with mildly sweet guajillo chiles. everyone swoons over these. cook's note: meat can be marinated, in bowl or enclosed in banana-leaf packages, up to 24 hours. meat is best eaten from freshly baked banana-leaf packages, but left overs will keep for 3 days. reheat, wrapped in foil, in a 350°f oven, 20 to 30 minutes. from gourmet magazine sept. 2007.</t>
        </is>
      </c>
      <c r="G1034" t="n">
        <v>9</v>
      </c>
      <c r="H1034" t="n">
        <v>48600</v>
      </c>
      <c r="I1034">
        <f>D1034*60</f>
        <v/>
      </c>
      <c r="J1034">
        <f>COUNTIF(Отзывы!$D:$D, 275607)</f>
        <v/>
      </c>
    </row>
    <row r="1035">
      <c r="A1035" t="n">
        <v>14348</v>
      </c>
      <c r="B1035" t="inlineStr">
        <is>
          <t>i hate ricotta lasagna w meat sauce and 3 cheeses</t>
        </is>
      </c>
      <c r="C1035" t="n">
        <v>29663</v>
      </c>
      <c r="D1035" s="4" t="n">
        <v>60</v>
      </c>
      <c r="E1035" s="1" t="n">
        <v>37405</v>
      </c>
      <c r="F1035" t="inlineStr">
        <is>
          <t>for those who hate ricotta cheese but still want to eat lasagna. a real kid pleaser! i grew up on this, and this is the way my family likes it. (i order lasagna with ricotta when eating out!) but i do love it this way too! please feel free to adjust ingredients (veggies, spices, meat) according to your family's preference.</t>
        </is>
      </c>
      <c r="G1035" t="n">
        <v>11</v>
      </c>
      <c r="H1035" t="n">
        <v>3600</v>
      </c>
      <c r="I1035">
        <f>D1035*60</f>
        <v/>
      </c>
      <c r="J1035">
        <f>COUNTIF(Отзывы!$D:$D, 29663)</f>
        <v/>
      </c>
    </row>
    <row r="1036">
      <c r="A1036" t="n">
        <v>2697</v>
      </c>
      <c r="B1036" t="inlineStr">
        <is>
          <t>beef with mushrooms crock pot recipe</t>
        </is>
      </c>
      <c r="C1036" t="n">
        <v>217287</v>
      </c>
      <c r="D1036" s="4" t="n">
        <v>500</v>
      </c>
      <c r="E1036" s="1" t="n">
        <v>39159</v>
      </c>
      <c r="F1036" t="inlineStr">
        <is>
          <t>serve over egg noodles with a side salad and bread sticks.</t>
        </is>
      </c>
      <c r="G1036" t="n">
        <v>13</v>
      </c>
      <c r="H1036" t="n">
        <v>30000</v>
      </c>
      <c r="I1036">
        <f>D1036*60</f>
        <v/>
      </c>
      <c r="J1036">
        <f>COUNTIF(Отзывы!$D:$D, 217287)</f>
        <v/>
      </c>
    </row>
    <row r="1037">
      <c r="A1037" t="n">
        <v>10168</v>
      </c>
      <c r="B1037" t="inlineStr">
        <is>
          <t>easy pork chops in savory mustard sauce</t>
        </is>
      </c>
      <c r="C1037" t="n">
        <v>72299</v>
      </c>
      <c r="D1037" s="4" t="n">
        <v>33</v>
      </c>
      <c r="E1037" s="1" t="n">
        <v>37896</v>
      </c>
      <c r="F1037" t="inlineStr">
        <is>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is>
      </c>
      <c r="G1037" t="n">
        <v>12</v>
      </c>
      <c r="H1037" t="n">
        <v>1980</v>
      </c>
      <c r="I1037">
        <f>D1037*60</f>
        <v/>
      </c>
      <c r="J1037">
        <f>COUNTIF(Отзывы!$D:$D, 72299)</f>
        <v/>
      </c>
    </row>
    <row r="1038">
      <c r="A1038" t="n">
        <v>6737</v>
      </c>
      <c r="B1038" t="inlineStr">
        <is>
          <t>chocolate pumpkin chiffon pie</t>
        </is>
      </c>
      <c r="C1038" t="n">
        <v>194113</v>
      </c>
      <c r="D1038" s="4" t="n">
        <v>30</v>
      </c>
      <c r="E1038" s="1" t="n">
        <v>39027</v>
      </c>
      <c r="F1038" t="inlineStr">
        <is>
          <t>if you like pumpkin pie, you will love this light and fluffy pie.  this pie combines two favorites - pumpkin and chocolate.  how can you go wrong!  to save a little time, you can use a ready made chocolate graham cracker pie crust.</t>
        </is>
      </c>
      <c r="G1038" t="n">
        <v>12</v>
      </c>
      <c r="H1038" t="n">
        <v>1800</v>
      </c>
      <c r="I1038">
        <f>D1038*60</f>
        <v/>
      </c>
      <c r="J1038">
        <f>COUNTIF(Отзывы!$D:$D, 194113)</f>
        <v/>
      </c>
    </row>
    <row r="1039">
      <c r="A1039" t="n">
        <v>29628</v>
      </c>
      <c r="B1039" t="inlineStr">
        <is>
          <t>x rated rita</t>
        </is>
      </c>
      <c r="C1039" t="n">
        <v>203720</v>
      </c>
      <c r="D1039" s="6" t="n">
        <v>5</v>
      </c>
      <c r="E1039" s="1" t="n">
        <v>39089</v>
      </c>
      <c r="F1039" t="inlineStr">
        <is>
          <t>another fun, pink, girls night drink from the x-rated fusion website- apparently this is a liqueur with blood oranges,mangoes, passionfruit and french vodka!  yummy!!(***zwt3 - x-rated fusion is premium french vodka)</t>
        </is>
      </c>
      <c r="G1039" t="n">
        <v>7</v>
      </c>
      <c r="H1039" t="n">
        <v>300</v>
      </c>
      <c r="I1039">
        <f>D1039*60</f>
        <v/>
      </c>
      <c r="J1039">
        <f>COUNTIF(Отзывы!$D:$D, 203720)</f>
        <v/>
      </c>
    </row>
    <row r="1040">
      <c r="A1040" t="n">
        <v>8684</v>
      </c>
      <c r="B1040" t="inlineStr">
        <is>
          <t>crock pot pork tacos</t>
        </is>
      </c>
      <c r="C1040" t="n">
        <v>111552</v>
      </c>
      <c r="D1040" s="4" t="n">
        <v>364</v>
      </c>
      <c r="E1040" s="1" t="n">
        <v>38404</v>
      </c>
      <c r="F1040" t="inlineStr">
        <is>
          <t>a wonderful filling for tacos, burritos or on chips!! an easy way to wow people with no effort. great for mexican food buffet.</t>
        </is>
      </c>
      <c r="G1040" t="n">
        <v>4</v>
      </c>
      <c r="H1040" t="n">
        <v>21840</v>
      </c>
      <c r="I1040">
        <f>D1040*60</f>
        <v/>
      </c>
      <c r="J1040">
        <f>COUNTIF(Отзывы!$D:$D, 111552)</f>
        <v/>
      </c>
    </row>
    <row r="1041">
      <c r="A1041" t="n">
        <v>7907</v>
      </c>
      <c r="B1041" t="inlineStr">
        <is>
          <t>cranberry cinnamon nut bars</t>
        </is>
      </c>
      <c r="C1041" t="n">
        <v>198718</v>
      </c>
      <c r="D1041" s="4" t="n">
        <v>45</v>
      </c>
      <c r="E1041" s="1" t="n">
        <v>39053</v>
      </c>
      <c r="F1041" t="inlineStr">
        <is>
          <t>from robinhood.ca - will try soon!</t>
        </is>
      </c>
      <c r="G1041" t="n">
        <v>9</v>
      </c>
      <c r="H1041" t="n">
        <v>2700</v>
      </c>
      <c r="I1041">
        <f>D1041*60</f>
        <v/>
      </c>
      <c r="J1041">
        <f>COUNTIF(Отзывы!$D:$D, 198718)</f>
        <v/>
      </c>
    </row>
    <row r="1042" ht="409.5" customHeight="1">
      <c r="A1042" t="n">
        <v>15326</v>
      </c>
      <c r="B1042" t="inlineStr">
        <is>
          <t>khoresht e bademjan  eggplant stew</t>
        </is>
      </c>
      <c r="C1042" t="n">
        <v>499875</v>
      </c>
      <c r="D1042" s="4" t="n">
        <v>140</v>
      </c>
      <c r="E1042" s="1" t="n">
        <v>41399</v>
      </c>
      <c r="F1042" s="2" t="inlineStr">
        <is>
          <t>this is a persian dish made with eggplant and beef in a tomato based sauce. _x000D_
the stew is eaten poured over steamed basmati rice.it's very delicious and my favorite persian dish to make!_x000D_
_x000D_
check out my page for the recipe on how to make basmati rice.</t>
        </is>
      </c>
      <c r="G1042" t="n">
        <v>13</v>
      </c>
      <c r="H1042" t="n">
        <v>8400</v>
      </c>
      <c r="I1042">
        <f>D1042*60</f>
        <v/>
      </c>
      <c r="J1042">
        <f>COUNTIF(Отзывы!$D:$D, 499875)</f>
        <v/>
      </c>
    </row>
    <row r="1043">
      <c r="A1043" t="n">
        <v>28662</v>
      </c>
      <c r="B1043" t="inlineStr">
        <is>
          <t>vegetable linguine with blue cheese</t>
        </is>
      </c>
      <c r="C1043" t="n">
        <v>368405</v>
      </c>
      <c r="D1043" s="4" t="n">
        <v>40</v>
      </c>
      <c r="E1043" s="1" t="n">
        <v>39931</v>
      </c>
      <c r="F1043" t="inlineStr">
        <is>
          <t>this recipe uses lots of fresh vegetables and makes its own blue cheese sauce.  easy, delicious, and still good for you!</t>
        </is>
      </c>
      <c r="G1043" t="n">
        <v>12</v>
      </c>
      <c r="H1043" t="n">
        <v>2400</v>
      </c>
      <c r="I1043">
        <f>D1043*60</f>
        <v/>
      </c>
      <c r="J1043">
        <f>COUNTIF(Отзывы!$D:$D, 368405)</f>
        <v/>
      </c>
    </row>
    <row r="1044">
      <c r="A1044" t="n">
        <v>7082</v>
      </c>
      <c r="B1044" t="inlineStr">
        <is>
          <t>cinnamon toast spread</t>
        </is>
      </c>
      <c r="C1044" t="n">
        <v>337599</v>
      </c>
      <c r="D1044" s="6" t="n">
        <v>10</v>
      </c>
      <c r="E1044" s="1" t="n">
        <v>39769</v>
      </c>
      <c r="F1044" t="inlineStr">
        <is>
          <t>one of my former students submitted this for a class cookbook, several years ago.  it is to be spread onto toast, after cooking, but it also works to spread it on, beforehand, and lightly broil the french bread slices.  decadent!</t>
        </is>
      </c>
      <c r="G1044" t="n">
        <v>4</v>
      </c>
      <c r="H1044" t="n">
        <v>600</v>
      </c>
      <c r="I1044">
        <f>D1044*60</f>
        <v/>
      </c>
      <c r="J1044">
        <f>COUNTIF(Отзывы!$D:$D, 337599)</f>
        <v/>
      </c>
    </row>
    <row r="1045">
      <c r="A1045" t="n">
        <v>22855</v>
      </c>
      <c r="B1045" t="inlineStr">
        <is>
          <t>roasted tomatillo salsa</t>
        </is>
      </c>
      <c r="C1045" t="n">
        <v>310042</v>
      </c>
      <c r="D1045" s="4" t="n">
        <v>35</v>
      </c>
      <c r="E1045" s="1" t="n">
        <v>39617</v>
      </c>
      <c r="F1045" t="inlineStr">
        <is>
          <t>serve with chips or as a great sauce for fish, chicken, or shrimp. from the chicago tribune</t>
        </is>
      </c>
      <c r="G1045" t="n">
        <v>10</v>
      </c>
      <c r="H1045" t="n">
        <v>2100</v>
      </c>
      <c r="I1045">
        <f>D1045*60</f>
        <v/>
      </c>
      <c r="J1045">
        <f>COUNTIF(Отзывы!$D:$D, 310042)</f>
        <v/>
      </c>
    </row>
    <row r="1046">
      <c r="A1046" t="n">
        <v>11424</v>
      </c>
      <c r="B1046" t="inlineStr">
        <is>
          <t>fresh strawberry jam</t>
        </is>
      </c>
      <c r="C1046" t="n">
        <v>165473</v>
      </c>
      <c r="D1046" s="4" t="n">
        <v>360</v>
      </c>
      <c r="E1046" s="1" t="n">
        <v>38831</v>
      </c>
      <c r="F1046" t="inlineStr">
        <is>
          <t>use a combination of overripe as well as underripe berries. store fresh berries unwashed, wrapped in two layers of paper towels, in a closed plastic bag in the refrigerator. rinse under running water just before using them.</t>
        </is>
      </c>
      <c r="H1046" t="n">
        <v>21600</v>
      </c>
      <c r="I1046">
        <f>D1046*60</f>
        <v/>
      </c>
      <c r="J1046">
        <f>COUNTIF(Отзывы!$D:$D, 165473)</f>
        <v/>
      </c>
    </row>
    <row r="1047">
      <c r="A1047" t="n">
        <v>9744</v>
      </c>
      <c r="B1047" t="inlineStr">
        <is>
          <t>easiest pasta with tomato basil sauce</t>
        </is>
      </c>
      <c r="C1047" t="n">
        <v>385440</v>
      </c>
      <c r="D1047" s="4" t="n">
        <v>20</v>
      </c>
      <c r="E1047" s="1" t="n">
        <v>40042</v>
      </c>
      <c r="F1047" t="inlineStr">
        <is>
          <t>perfect for weeknights.  the sauce is from italianfoodforever.com.  make the sauce while you're cooking the pasta - it's that fast.</t>
        </is>
      </c>
      <c r="G1047" t="n">
        <v>8</v>
      </c>
      <c r="H1047" t="n">
        <v>1200</v>
      </c>
      <c r="I1047">
        <f>D1047*60</f>
        <v/>
      </c>
      <c r="J1047">
        <f>COUNTIF(Отзывы!$D:$D, 385440)</f>
        <v/>
      </c>
    </row>
    <row r="1048">
      <c r="A1048" t="n">
        <v>20716</v>
      </c>
      <c r="B1048" t="inlineStr">
        <is>
          <t>picnic party potato salad</t>
        </is>
      </c>
      <c r="C1048" t="n">
        <v>306005</v>
      </c>
      <c r="D1048" s="4" t="n">
        <v>180</v>
      </c>
      <c r="E1048" s="1" t="n">
        <v>39597</v>
      </c>
      <c r="F1048" t="inlineStr">
        <is>
          <t>i got this recipe from my mother-in-law.  this is by far the best potato salad i've ever had!  i believe she got it from a very good family friend.  this is always a staple at any summertime gathering.  it goes fast!  times are approximate.</t>
        </is>
      </c>
      <c r="G1048" t="n">
        <v>9</v>
      </c>
      <c r="H1048" t="n">
        <v>10800</v>
      </c>
      <c r="I1048">
        <f>D1048*60</f>
        <v/>
      </c>
      <c r="J1048">
        <f>COUNTIF(Отзывы!$D:$D, 306005)</f>
        <v/>
      </c>
    </row>
    <row r="1049">
      <c r="A1049" t="n">
        <v>15888</v>
      </c>
      <c r="B1049" t="inlineStr">
        <is>
          <t>lemon garlic marinated chicken</t>
        </is>
      </c>
      <c r="C1049" t="n">
        <v>391280</v>
      </c>
      <c r="D1049" s="4" t="n">
        <v>50</v>
      </c>
      <c r="E1049" s="1" t="n">
        <v>40077</v>
      </c>
      <c r="F1049" t="inlineStr">
        <is>
          <t>the acidity from the lemons in this dish makes a wonderful marinade and helps make the chicken beautifully tender. serve with roasted cherry tomatoes on the vine. time does not include marinating.</t>
        </is>
      </c>
      <c r="H1049" t="n">
        <v>3000</v>
      </c>
      <c r="I1049">
        <f>D1049*60</f>
        <v/>
      </c>
      <c r="J1049">
        <f>COUNTIF(Отзывы!$D:$D, 391280)</f>
        <v/>
      </c>
    </row>
    <row r="1050">
      <c r="A1050" t="n">
        <v>14732</v>
      </c>
      <c r="B1050" t="inlineStr">
        <is>
          <t>italian sausage with peppers  onions and beer</t>
        </is>
      </c>
      <c r="C1050" t="n">
        <v>276837</v>
      </c>
      <c r="D1050" s="4" t="n">
        <v>60</v>
      </c>
      <c r="E1050" s="1" t="n">
        <v>39454</v>
      </c>
      <c r="F1050" t="inlineStr">
        <is>
          <t>i found this yummy recipe on allrecipes and have been making it for about two years.  italian sausage is simmered in beer with bell peppers and red onions.</t>
        </is>
      </c>
      <c r="G1050" t="n">
        <v>12</v>
      </c>
      <c r="H1050" t="n">
        <v>3600</v>
      </c>
      <c r="I1050">
        <f>D1050*60</f>
        <v/>
      </c>
      <c r="J1050">
        <f>COUNTIF(Отзывы!$D:$D, 276837)</f>
        <v/>
      </c>
    </row>
    <row r="1051">
      <c r="A1051" t="n">
        <v>8912</v>
      </c>
      <c r="B1051" t="inlineStr">
        <is>
          <t>cucumber slices with onions</t>
        </is>
      </c>
      <c r="C1051" t="n">
        <v>230151</v>
      </c>
      <c r="D1051" s="4" t="n">
        <v>50</v>
      </c>
      <c r="E1051" s="1" t="n">
        <v>39226</v>
      </c>
      <c r="F1051" t="inlineStr">
        <is>
          <t>a recipe from my mother, who got it from her mother, whose grandmother came to the usa from germany.  a great many german immigrants settled in wisconsin, and this dish is from the homeland.  (at least that's what i've been told.)  refrigeration time not included in time to make.</t>
        </is>
      </c>
      <c r="G1051" t="n">
        <v>6</v>
      </c>
      <c r="H1051" t="n">
        <v>3000</v>
      </c>
      <c r="I1051">
        <f>D1051*60</f>
        <v/>
      </c>
      <c r="J1051">
        <f>COUNTIF(Отзывы!$D:$D, 230151)</f>
        <v/>
      </c>
    </row>
    <row r="1052">
      <c r="A1052" t="n">
        <v>10664</v>
      </c>
      <c r="B1052" t="inlineStr">
        <is>
          <t>ez baked frito pie</t>
        </is>
      </c>
      <c r="C1052" t="n">
        <v>10239</v>
      </c>
      <c r="D1052" s="4" t="n">
        <v>35</v>
      </c>
      <c r="E1052" s="1" t="n">
        <v>37088</v>
      </c>
      <c r="F1052" t="inlineStr">
        <is>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is>
      </c>
      <c r="G1052" t="n">
        <v>6</v>
      </c>
      <c r="H1052" t="n">
        <v>2100</v>
      </c>
      <c r="I1052">
        <f>D1052*60</f>
        <v/>
      </c>
      <c r="J1052">
        <f>COUNTIF(Отзывы!$D:$D, 10239)</f>
        <v/>
      </c>
    </row>
    <row r="1053">
      <c r="A1053" t="n">
        <v>8791</v>
      </c>
      <c r="B1053" t="inlineStr">
        <is>
          <t>crunch cinnamon almonds in the crock pot</t>
        </is>
      </c>
      <c r="C1053" t="n">
        <v>493629</v>
      </c>
      <c r="D1053" s="4" t="n">
        <v>185</v>
      </c>
      <c r="E1053" s="1" t="n">
        <v>41288</v>
      </c>
      <c r="F1053" t="inlineStr">
        <is>
          <t>found on pinterest... this recipe is a little different than other similar ones on 'zaar due to the fact that you add water near the end of the cooking process, which is supposed to make the almonds crunchy.</t>
        </is>
      </c>
      <c r="G1053" t="n">
        <v>8</v>
      </c>
      <c r="H1053" t="n">
        <v>11100</v>
      </c>
      <c r="I1053">
        <f>D1053*60</f>
        <v/>
      </c>
      <c r="J1053">
        <f>COUNTIF(Отзывы!$D:$D, 493629)</f>
        <v/>
      </c>
    </row>
    <row r="1054">
      <c r="A1054" t="n">
        <v>9841</v>
      </c>
      <c r="B1054" t="inlineStr">
        <is>
          <t>easy beef and potatoes</t>
        </is>
      </c>
      <c r="C1054" t="n">
        <v>120484</v>
      </c>
      <c r="D1054" s="4" t="n">
        <v>375</v>
      </c>
      <c r="E1054" s="1" t="n">
        <v>38476</v>
      </c>
      <c r="F1054" t="inlineStr">
        <is>
          <t>i made this yesterday for the first time and i will be making again. i replaced the tomato soup with a can of hunts tomato sauce and i sprinkle in some basil.</t>
        </is>
      </c>
      <c r="G1054" t="n">
        <v>7</v>
      </c>
      <c r="H1054" t="n">
        <v>22500</v>
      </c>
      <c r="I1054">
        <f>D1054*60</f>
        <v/>
      </c>
      <c r="J1054">
        <f>COUNTIF(Отзывы!$D:$D, 120484)</f>
        <v/>
      </c>
    </row>
    <row r="1055">
      <c r="A1055" t="n">
        <v>15666</v>
      </c>
      <c r="B1055" t="inlineStr">
        <is>
          <t>lavender roasted beets</t>
        </is>
      </c>
      <c r="C1055" t="n">
        <v>416370</v>
      </c>
      <c r="D1055" s="4" t="n">
        <v>60</v>
      </c>
      <c r="E1055" s="1" t="n">
        <v>40250</v>
      </c>
      <c r="F1055" t="inlineStr">
        <is>
          <t>from the lavender cookbook by sharon shipley. try different varieties and colors of beets. i left the beets unpeeled but scrubbed them well.</t>
        </is>
      </c>
      <c r="G1055" t="n">
        <v>8</v>
      </c>
      <c r="H1055" t="n">
        <v>3600</v>
      </c>
      <c r="I1055">
        <f>D1055*60</f>
        <v/>
      </c>
      <c r="J1055">
        <f>COUNTIF(Отзывы!$D:$D, 416370)</f>
        <v/>
      </c>
    </row>
    <row r="1056">
      <c r="A1056" t="n">
        <v>22114</v>
      </c>
      <c r="B1056" t="inlineStr">
        <is>
          <t>ranch and blue mac and cheese cupcakes  rsc</t>
        </is>
      </c>
      <c r="C1056" t="n">
        <v>495187</v>
      </c>
      <c r="D1056" s="4" t="n">
        <v>47</v>
      </c>
      <c r="E1056" s="1" t="n">
        <v>41316</v>
      </c>
      <c r="F1056" t="inlineStr">
        <is>
          <t>ready, set, cook! hidden valley contest entry.  creamy mac and cheese, spicy jalapeño, and hidden valley ranch seasoning mix make these cupcakes a perfect appetizer for grown ups!</t>
        </is>
      </c>
      <c r="G1056" t="n">
        <v>15</v>
      </c>
      <c r="H1056" t="n">
        <v>2820</v>
      </c>
      <c r="I1056">
        <f>D1056*60</f>
        <v/>
      </c>
      <c r="J1056">
        <f>COUNTIF(Отзывы!$D:$D, 495187)</f>
        <v/>
      </c>
    </row>
    <row r="1057">
      <c r="A1057" t="n">
        <v>11208</v>
      </c>
      <c r="B1057" t="inlineStr">
        <is>
          <t>forget the steak sauce marinade</t>
        </is>
      </c>
      <c r="C1057" t="n">
        <v>38014</v>
      </c>
      <c r="D1057" s="4" t="n">
        <v>20</v>
      </c>
      <c r="E1057" s="1" t="n">
        <v>37491</v>
      </c>
      <c r="F1057" t="inlineStr">
        <is>
          <t>this sticky stuff is wonderful. it grills to a nice crusty coating on steak. i prefer this on really thick cuts of meat. i've been making this a couple of years and have tweeked it to my liking but i think i got the recipes from allrecipes.com</t>
        </is>
      </c>
      <c r="G1057" t="n">
        <v>8</v>
      </c>
      <c r="H1057" t="n">
        <v>1200</v>
      </c>
      <c r="I1057">
        <f>D1057*60</f>
        <v/>
      </c>
      <c r="J1057">
        <f>COUNTIF(Отзывы!$D:$D, 38014)</f>
        <v/>
      </c>
    </row>
    <row r="1058">
      <c r="A1058" t="n">
        <v>16084</v>
      </c>
      <c r="B1058" t="inlineStr">
        <is>
          <t>lentils and red pepper dip</t>
        </is>
      </c>
      <c r="C1058" t="n">
        <v>322848</v>
      </c>
      <c r="D1058" s="4" t="n">
        <v>35</v>
      </c>
      <c r="E1058" s="1" t="n">
        <v>39694</v>
      </c>
      <c r="F1058" t="inlineStr">
        <is>
          <t>a recipe from ricardo.</t>
        </is>
      </c>
      <c r="G1058" t="n">
        <v>7</v>
      </c>
      <c r="H1058" t="n">
        <v>2100</v>
      </c>
      <c r="I1058">
        <f>D1058*60</f>
        <v/>
      </c>
      <c r="J1058">
        <f>COUNTIF(Отзывы!$D:$D, 322848)</f>
        <v/>
      </c>
    </row>
    <row r="1059">
      <c r="A1059" t="n">
        <v>5323</v>
      </c>
      <c r="B1059" t="inlineStr">
        <is>
          <t>cheesy spaghetti squash</t>
        </is>
      </c>
      <c r="C1059" t="n">
        <v>94355</v>
      </c>
      <c r="D1059" s="4" t="n">
        <v>25</v>
      </c>
      <c r="E1059" s="1" t="n">
        <v>38164</v>
      </c>
      <c r="F1059" t="inlineStr">
        <is>
          <t>not only did this recipe give me an additional way of fixing this veggie, it provided me with the most wonderful way of cooking it. there were minor adjustments made for personal taste. this recipe is from kraft food &amp; family magazine, fall 2003.</t>
        </is>
      </c>
      <c r="H1059" t="n">
        <v>1500</v>
      </c>
      <c r="I1059">
        <f>D1059*60</f>
        <v/>
      </c>
      <c r="J1059">
        <f>COUNTIF(Отзывы!$D:$D, 94355)</f>
        <v/>
      </c>
    </row>
    <row r="1060">
      <c r="A1060" t="n">
        <v>23410</v>
      </c>
      <c r="B1060" t="inlineStr">
        <is>
          <t>sauerbraten with potato dumplings and applesauce</t>
        </is>
      </c>
      <c r="C1060" t="n">
        <v>141098</v>
      </c>
      <c r="D1060" s="4" t="n">
        <v>360</v>
      </c>
      <c r="E1060" s="1" t="n">
        <v>38637</v>
      </c>
      <c r="F1060" t="inlineStr">
        <is>
          <t>rheinischer sauerbraten mit kartoffelklößen und apfelmus. sauerbraten is one of the best-known german dishes. after days of marinating, the meat is infused with many flavors and becomes quite tender. this is so popular in germany that several regions boast local versions with this version being from the rhineland. it's not difficult to make however, you do need plenty of room in the fridge to accommodate four days of marinating. this is really involved and takes a lot of work, as well as time but it's well worth it. that's why my family only makes it once or twice a year, usually between october and january. zaar world tour 05</t>
        </is>
      </c>
      <c r="G1060" t="n">
        <v>19</v>
      </c>
      <c r="H1060" t="n">
        <v>21600</v>
      </c>
      <c r="I1060">
        <f>D1060*60</f>
        <v/>
      </c>
      <c r="J1060">
        <f>COUNTIF(Отзывы!$D:$D, 141098)</f>
        <v/>
      </c>
    </row>
    <row r="1061">
      <c r="A1061" t="n">
        <v>3582</v>
      </c>
      <c r="B1061" t="inlineStr">
        <is>
          <t>boyfriend chili</t>
        </is>
      </c>
      <c r="C1061" t="n">
        <v>99352</v>
      </c>
      <c r="D1061" s="4" t="n">
        <v>50</v>
      </c>
      <c r="E1061" s="1" t="n">
        <v>38237</v>
      </c>
      <c r="F1061" t="inlineStr">
        <is>
          <t>i found this recipe on another site, adjusted it a bit and made it for my boyfriend. he makes incredible chili (expensive and it takes all day to make!) but when i served this to him he kept eating until it was gone! and then asked when i was going to make it again!</t>
        </is>
      </c>
      <c r="H1061" t="n">
        <v>3000</v>
      </c>
      <c r="I1061">
        <f>D1061*60</f>
        <v/>
      </c>
      <c r="J1061">
        <f>COUNTIF(Отзывы!$D:$D, 99352)</f>
        <v/>
      </c>
    </row>
    <row r="1062">
      <c r="A1062" t="n">
        <v>7486</v>
      </c>
      <c r="B1062" t="inlineStr">
        <is>
          <t>cookies  n cream kiss cookies</t>
        </is>
      </c>
      <c r="C1062" t="n">
        <v>492223</v>
      </c>
      <c r="D1062" s="4" t="n">
        <v>22</v>
      </c>
      <c r="E1062" s="1" t="n">
        <v>41264</v>
      </c>
      <c r="F1062" t="inlineStr">
        <is>
          <t>http://www.sugarplumblog.net/2011/02/cookies-n-cream-kiss-cookies.html</t>
        </is>
      </c>
      <c r="G1062" t="n">
        <v>12</v>
      </c>
      <c r="H1062" t="n">
        <v>1320</v>
      </c>
      <c r="I1062">
        <f>D1062*60</f>
        <v/>
      </c>
      <c r="J1062">
        <f>COUNTIF(Отзывы!$D:$D, 492223)</f>
        <v/>
      </c>
    </row>
    <row r="1063">
      <c r="A1063" t="n">
        <v>10774</v>
      </c>
      <c r="B1063" t="inlineStr">
        <is>
          <t>fashioned sweet potato pie</t>
        </is>
      </c>
      <c r="C1063" t="n">
        <v>8213</v>
      </c>
      <c r="D1063" s="4" t="n">
        <v>65</v>
      </c>
      <c r="E1063" s="1" t="n">
        <v>36598</v>
      </c>
      <c r="F1063" t="inlineStr">
        <is>
          <t>this is an adopted recipe from the great adoption february 2005. please feel free to try it out and post your comments!</t>
        </is>
      </c>
      <c r="G1063" t="n">
        <v>9</v>
      </c>
      <c r="H1063" t="n">
        <v>3900</v>
      </c>
      <c r="I1063">
        <f>D1063*60</f>
        <v/>
      </c>
      <c r="J1063">
        <f>COUNTIF(Отзывы!$D:$D, 8213)</f>
        <v/>
      </c>
    </row>
    <row r="1064">
      <c r="A1064" t="n">
        <v>13983</v>
      </c>
      <c r="B1064" t="inlineStr">
        <is>
          <t>honey glazed mixed nuts</t>
        </is>
      </c>
      <c r="C1064" t="n">
        <v>267105</v>
      </c>
      <c r="D1064" s="6" t="n">
        <v>6</v>
      </c>
      <c r="E1064" s="1" t="n">
        <v>39407</v>
      </c>
      <c r="F1064" t="inlineStr">
        <is>
          <t>this recipe is from kraft food &amp; family.  so easy and a great snack.  the recipe says it makes 12 servings but not at my house.</t>
        </is>
      </c>
      <c r="G1064" t="n">
        <v>3</v>
      </c>
      <c r="H1064" t="n">
        <v>360</v>
      </c>
      <c r="I1064">
        <f>D1064*60</f>
        <v/>
      </c>
      <c r="J1064">
        <f>COUNTIF(Отзывы!$D:$D, 267105)</f>
        <v/>
      </c>
    </row>
    <row r="1065">
      <c r="A1065" t="n">
        <v>21553</v>
      </c>
      <c r="B1065" t="inlineStr">
        <is>
          <t>pretty red velvet cupcakes</t>
        </is>
      </c>
      <c r="C1065" t="n">
        <v>269058</v>
      </c>
      <c r="D1065" s="4" t="n">
        <v>40</v>
      </c>
      <c r="E1065" s="1" t="n">
        <v>39416</v>
      </c>
      <c r="F1065" t="inlineStr">
        <is>
          <t>these very moist cupcakes are excellent and fun! they are bright red, perfect for many occasions. often found in the usa they are not common in canada but should be because they are so good!!</t>
        </is>
      </c>
      <c r="G1065" t="n">
        <v>12</v>
      </c>
      <c r="H1065" t="n">
        <v>2400</v>
      </c>
      <c r="I1065">
        <f>D1065*60</f>
        <v/>
      </c>
      <c r="J1065">
        <f>COUNTIF(Отзывы!$D:$D, 269058)</f>
        <v/>
      </c>
    </row>
    <row r="1066">
      <c r="A1066" t="n">
        <v>14701</v>
      </c>
      <c r="B1066" t="inlineStr">
        <is>
          <t>italian potatoes au gratin</t>
        </is>
      </c>
      <c r="C1066" t="n">
        <v>227677</v>
      </c>
      <c r="D1066" s="4" t="n">
        <v>105</v>
      </c>
      <c r="E1066" s="1" t="n">
        <v>39215</v>
      </c>
      <c r="F1066" t="inlineStr">
        <is>
          <t>a nice alternative to your typical potatoes au gratin. the cubing of potatoes helps to bake this dish cohesively.</t>
        </is>
      </c>
      <c r="H1066" t="n">
        <v>6300</v>
      </c>
      <c r="I1066">
        <f>D1066*60</f>
        <v/>
      </c>
      <c r="J1066">
        <f>COUNTIF(Отзывы!$D:$D, 227677)</f>
        <v/>
      </c>
    </row>
    <row r="1067">
      <c r="A1067" t="n">
        <v>22260</v>
      </c>
      <c r="B1067" t="inlineStr">
        <is>
          <t>real bananas foster</t>
        </is>
      </c>
      <c r="C1067" t="n">
        <v>65725</v>
      </c>
      <c r="D1067" s="4" t="n">
        <v>17</v>
      </c>
      <c r="E1067" s="1" t="n">
        <v>37802</v>
      </c>
      <c r="F1067" t="inlineStr">
        <is>
          <t>simple, satisfying and sweet!</t>
        </is>
      </c>
      <c r="G1067" t="n">
        <v>6</v>
      </c>
      <c r="H1067" t="n">
        <v>1020</v>
      </c>
      <c r="I1067">
        <f>D1067*60</f>
        <v/>
      </c>
      <c r="J1067">
        <f>COUNTIF(Отзывы!$D:$D, 65725)</f>
        <v/>
      </c>
    </row>
    <row r="1068">
      <c r="A1068" t="n">
        <v>8313</v>
      </c>
      <c r="B1068" t="inlineStr">
        <is>
          <t>creamy oriental salad dressing sam choy</t>
        </is>
      </c>
      <c r="C1068" t="n">
        <v>283887</v>
      </c>
      <c r="D1068" s="6" t="n">
        <v>5</v>
      </c>
      <c r="E1068" s="1" t="n">
        <v>39481</v>
      </c>
      <c r="F1068" t="inlineStr">
        <is>
          <t>this salad dressing comes from sam choy, one of my favorite hawaiian chefs along with alan wong and roy yamaguchi.  the dressing is good just as it is, but you can also use this dressing as a jumping off place for improvising such as addition of garlic, hot pepper, etc.  ono good!</t>
        </is>
      </c>
      <c r="G1068" t="n">
        <v>6</v>
      </c>
      <c r="H1068" t="n">
        <v>300</v>
      </c>
      <c r="I1068">
        <f>D1068*60</f>
        <v/>
      </c>
      <c r="J1068">
        <f>COUNTIF(Отзывы!$D:$D, 283887)</f>
        <v/>
      </c>
    </row>
    <row r="1069">
      <c r="A1069" t="n">
        <v>11510</v>
      </c>
      <c r="B1069" t="inlineStr">
        <is>
          <t>frijole mole</t>
        </is>
      </c>
      <c r="C1069" t="n">
        <v>314477</v>
      </c>
      <c r="D1069" s="4" t="n">
        <v>30</v>
      </c>
      <c r="E1069" s="1" t="n">
        <v>39647</v>
      </c>
      <c r="F1069" t="inlineStr">
        <is>
          <t>looking for something different to do with your summer green beans? this is one to try. as stated by the author, "this spread is fantastic served on crusty bread, crackers, or rice cakes. from the barbara kingsolver book: 'animal, vegetable, miracle' which i highly recommend reading. i was greatly inspired by her family's year long venture into eating locally. plus, i ended up with a few new recipes.</t>
        </is>
      </c>
      <c r="H1069" t="n">
        <v>1800</v>
      </c>
      <c r="I1069">
        <f>D1069*60</f>
        <v/>
      </c>
      <c r="J1069">
        <f>COUNTIF(Отзывы!$D:$D, 314477)</f>
        <v/>
      </c>
    </row>
    <row r="1070">
      <c r="A1070" t="n">
        <v>4129</v>
      </c>
      <c r="B1070" t="inlineStr">
        <is>
          <t>burnt ray bird</t>
        </is>
      </c>
      <c r="C1070" t="n">
        <v>320541</v>
      </c>
      <c r="D1070" s="6" t="n">
        <v>5</v>
      </c>
      <c r="E1070" s="1" t="n">
        <v>39680</v>
      </c>
      <c r="F1070" t="inlineStr">
        <is>
          <t>this is a fun coffee drink from ray's boathouse in seattle, wa.</t>
        </is>
      </c>
      <c r="H1070" t="n">
        <v>300</v>
      </c>
      <c r="I1070">
        <f>D1070*60</f>
        <v/>
      </c>
      <c r="J1070">
        <f>COUNTIF(Отзывы!$D:$D, 320541)</f>
        <v/>
      </c>
    </row>
    <row r="1071">
      <c r="A1071" t="n">
        <v>21928</v>
      </c>
      <c r="B1071" t="inlineStr">
        <is>
          <t>quick dinner buns</t>
        </is>
      </c>
      <c r="C1071" t="n">
        <v>209011</v>
      </c>
      <c r="D1071" s="4" t="n">
        <v>40</v>
      </c>
      <c r="E1071" s="1" t="n">
        <v>39116</v>
      </c>
      <c r="F1071" t="inlineStr">
        <is>
          <t>this dinner buns are nice for dinner on the run! they're so cute!</t>
        </is>
      </c>
      <c r="G1071" t="n">
        <v>5</v>
      </c>
      <c r="H1071" t="n">
        <v>2400</v>
      </c>
      <c r="I1071">
        <f>D1071*60</f>
        <v/>
      </c>
      <c r="J1071">
        <f>COUNTIF(Отзывы!$D:$D, 209011)</f>
        <v/>
      </c>
    </row>
    <row r="1072">
      <c r="A1072" t="n">
        <v>14889</v>
      </c>
      <c r="B1072" t="inlineStr">
        <is>
          <t>janie s carrot cake</t>
        </is>
      </c>
      <c r="C1072" t="n">
        <v>185181</v>
      </c>
      <c r="D1072" s="4" t="n">
        <v>60</v>
      </c>
      <c r="E1072" s="1" t="n">
        <v>38967</v>
      </c>
      <c r="F1072" t="inlineStr">
        <is>
          <t>i like this incredibly moist carrott cake because it makes a single layer. i especially like to use the cream cheese frosting with the nut topping. very rich and full of flavor. a great size cake for when you don't want a large dessert.</t>
        </is>
      </c>
      <c r="G1072" t="n">
        <v>14</v>
      </c>
      <c r="H1072" t="n">
        <v>3600</v>
      </c>
      <c r="I1072">
        <f>D1072*60</f>
        <v/>
      </c>
      <c r="J1072">
        <f>COUNTIF(Отзывы!$D:$D, 185181)</f>
        <v/>
      </c>
    </row>
    <row r="1073">
      <c r="A1073" t="n">
        <v>27635</v>
      </c>
      <c r="B1073" t="inlineStr">
        <is>
          <t>tink s crunchy panko chicken</t>
        </is>
      </c>
      <c r="C1073" t="n">
        <v>420926</v>
      </c>
      <c r="D1073" s="4" t="n">
        <v>40</v>
      </c>
      <c r="E1073" s="1" t="n">
        <v>40287</v>
      </c>
      <c r="F1073" t="inlineStr">
        <is>
          <t>inspired by the rsc #15 contest and it's secret ingredients, this chicken came out fabulous &amp; my family has requested it nightly since i made it.  unfortunately, they didn't like the sauce i created to go with it so the recipe never made it to the contest entry stage.  we like to eat this chicken with some cooked pasta and spaghetti sauce.  they say it tastes like kfc, and while i don't agree, it does have a similar texture and a great flavor.  thanks to the first two reviewers' comments that garlic powder would be a nice addition, i've added it to the recipe as well.  :)</t>
        </is>
      </c>
      <c r="H1073" t="n">
        <v>2400</v>
      </c>
      <c r="I1073">
        <f>D1073*60</f>
        <v/>
      </c>
      <c r="J1073">
        <f>COUNTIF(Отзывы!$D:$D, 420926)</f>
        <v/>
      </c>
    </row>
    <row r="1074">
      <c r="A1074" t="n">
        <v>6572</v>
      </c>
      <c r="B1074" t="inlineStr">
        <is>
          <t>chocolate covered strawberries smoothie</t>
        </is>
      </c>
      <c r="C1074" t="n">
        <v>433354</v>
      </c>
      <c r="D1074" s="5" t="n">
        <v>2</v>
      </c>
      <c r="E1074" s="1" t="n">
        <v>40386</v>
      </c>
      <c r="F1074" t="inlineStr">
        <is>
          <t>it's everyone's favorite dessert... in a smoothie... and healthy... and easy! hope you love it too.</t>
        </is>
      </c>
      <c r="G1074" t="n">
        <v>4</v>
      </c>
      <c r="H1074" t="n">
        <v>120</v>
      </c>
      <c r="I1074">
        <f>D1074*60</f>
        <v/>
      </c>
      <c r="J1074">
        <f>COUNTIF(Отзывы!$D:$D, 433354)</f>
        <v/>
      </c>
    </row>
    <row r="1075">
      <c r="A1075" t="n">
        <v>10638</v>
      </c>
      <c r="B1075" t="inlineStr">
        <is>
          <t>everyone s favorite chicken salad</t>
        </is>
      </c>
      <c r="C1075" t="n">
        <v>357274</v>
      </c>
      <c r="D1075" s="5" t="n">
        <v>1</v>
      </c>
      <c r="E1075" s="1" t="n">
        <v>39866</v>
      </c>
      <c r="F1075" t="inlineStr">
        <is>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is>
      </c>
      <c r="G1075" t="n">
        <v>8</v>
      </c>
      <c r="H1075" t="n">
        <v>60</v>
      </c>
      <c r="I1075">
        <f>D1075*60</f>
        <v/>
      </c>
      <c r="J1075">
        <f>COUNTIF(Отзывы!$D:$D, 357274)</f>
        <v/>
      </c>
    </row>
    <row r="1076">
      <c r="A1076" t="n">
        <v>26907</v>
      </c>
      <c r="B1076" t="inlineStr">
        <is>
          <t>taco lasagne</t>
        </is>
      </c>
      <c r="C1076" t="n">
        <v>361738</v>
      </c>
      <c r="D1076" s="4" t="n">
        <v>50</v>
      </c>
      <c r="E1076" s="1" t="n">
        <v>39891</v>
      </c>
      <c r="F1076" t="inlineStr">
        <is>
          <t>i hope you enjoy this as much as we do.  i got this recipe from a friend of mine.  special notes: sometimes i tear up the tortillas instead of just placing them whole, its easier to serve.  i have used all cheddar cheese or a mix of cheddar and monteray jack.  i also like topping this dish with queso sauce (rotel tomatoes and velveeta cheese).  we like alot of refried beans, so i use two cans, but you can use just one.</t>
        </is>
      </c>
      <c r="G1076" t="n">
        <v>11</v>
      </c>
      <c r="H1076" t="n">
        <v>3000</v>
      </c>
      <c r="I1076">
        <f>D1076*60</f>
        <v/>
      </c>
      <c r="J1076">
        <f>COUNTIF(Отзывы!$D:$D, 361738)</f>
        <v/>
      </c>
    </row>
    <row r="1077">
      <c r="A1077" t="n">
        <v>19927</v>
      </c>
      <c r="B1077" t="inlineStr">
        <is>
          <t>passover mushroom schnitzel</t>
        </is>
      </c>
      <c r="C1077" t="n">
        <v>111780</v>
      </c>
      <c r="D1077" s="4" t="n">
        <v>35</v>
      </c>
      <c r="E1077" s="1" t="n">
        <v>38406</v>
      </c>
      <c r="F1077" t="inlineStr">
        <is>
          <t>these are good for lunch, as a snack or as breakfast on a matza. of course they can be made with flour too. i usually make a bunch and freeze them.</t>
        </is>
      </c>
      <c r="H1077" t="n">
        <v>2100</v>
      </c>
      <c r="I1077">
        <f>D1077*60</f>
        <v/>
      </c>
      <c r="J1077">
        <f>COUNTIF(Отзывы!$D:$D, 111780)</f>
        <v/>
      </c>
    </row>
    <row r="1078">
      <c r="A1078" t="n">
        <v>13734</v>
      </c>
      <c r="B1078" t="inlineStr">
        <is>
          <t>high energy papaya drink</t>
        </is>
      </c>
      <c r="C1078" t="n">
        <v>285793</v>
      </c>
      <c r="D1078" s="6" t="n">
        <v>5</v>
      </c>
      <c r="E1078" s="1" t="n">
        <v>39489</v>
      </c>
      <c r="F1078" t="inlineStr">
        <is>
          <t>this makes a yummy drink! adapted from a home remedy site. enjoy!</t>
        </is>
      </c>
      <c r="G1078" t="n">
        <v>4</v>
      </c>
      <c r="H1078" t="n">
        <v>300</v>
      </c>
      <c r="I1078">
        <f>D1078*60</f>
        <v/>
      </c>
      <c r="J1078">
        <f>COUNTIF(Отзывы!$D:$D, 285793)</f>
        <v/>
      </c>
    </row>
    <row r="1079">
      <c r="A1079" t="n">
        <v>20791</v>
      </c>
      <c r="B1079" t="inlineStr">
        <is>
          <t>pineapple coconut empanadas</t>
        </is>
      </c>
      <c r="C1079" t="n">
        <v>95647</v>
      </c>
      <c r="D1079" s="4" t="n">
        <v>48</v>
      </c>
      <c r="E1079" s="1" t="n">
        <v>38182</v>
      </c>
      <c r="F1079" t="inlineStr">
        <is>
          <t>these tasty little treats can be habit forming. i found the recipe in a grocery store circular and have made them several times since.</t>
        </is>
      </c>
      <c r="G1079" t="n">
        <v>10</v>
      </c>
      <c r="H1079" t="n">
        <v>2880</v>
      </c>
      <c r="I1079">
        <f>D1079*60</f>
        <v/>
      </c>
      <c r="J1079">
        <f>COUNTIF(Отзывы!$D:$D, 95647)</f>
        <v/>
      </c>
    </row>
    <row r="1080" ht="409.5" customHeight="1">
      <c r="A1080" t="n">
        <v>5031</v>
      </c>
      <c r="B1080" t="inlineStr">
        <is>
          <t>char siuglazed pork and pineapple buns</t>
        </is>
      </c>
      <c r="C1080" t="n">
        <v>420644</v>
      </c>
      <c r="D1080" s="4" t="n">
        <v>255</v>
      </c>
      <c r="E1080" s="1" t="n">
        <v>40285</v>
      </c>
      <c r="F1080" s="2" t="inlineStr">
        <is>
          <t>easy chinese barbecue pork sandwiches. i finally got around to making them again and they’re totally delicious._x000D_
_x000D_
the flavor comes through in each bite of the sandwich, and works really well with the sweet tropical notes of the pineapple and sticky, addictive char siu sauce.</t>
        </is>
      </c>
      <c r="G1080" t="n">
        <v>13</v>
      </c>
      <c r="H1080" t="n">
        <v>15300</v>
      </c>
      <c r="I1080">
        <f>D1080*60</f>
        <v/>
      </c>
      <c r="J1080">
        <f>COUNTIF(Отзывы!$D:$D, 420644)</f>
        <v/>
      </c>
    </row>
    <row r="1081">
      <c r="A1081" t="n">
        <v>16509</v>
      </c>
      <c r="B1081" t="inlineStr">
        <is>
          <t>low fat taco casserole</t>
        </is>
      </c>
      <c r="C1081" t="n">
        <v>39608</v>
      </c>
      <c r="D1081" s="4" t="n">
        <v>30</v>
      </c>
      <c r="E1081" s="1" t="n">
        <v>37508</v>
      </c>
      <c r="F1081" t="inlineStr">
        <is>
          <t>hopefully you will enjoy this as much as my family does. if you like spicy, bake the jalapenos on top of the casserole! for those of you that aren't looking for "low fat" you may used ground hamburger in place of the ground turkey.</t>
        </is>
      </c>
      <c r="G1081" t="n">
        <v>15</v>
      </c>
      <c r="H1081" t="n">
        <v>1800</v>
      </c>
      <c r="I1081">
        <f>D1081*60</f>
        <v/>
      </c>
      <c r="J1081">
        <f>COUNTIF(Отзывы!$D:$D, 39608)</f>
        <v/>
      </c>
    </row>
    <row r="1082">
      <c r="A1082" t="n">
        <v>13896</v>
      </c>
      <c r="B1082" t="inlineStr">
        <is>
          <t>homemade salsa for canning</t>
        </is>
      </c>
      <c r="C1082" t="n">
        <v>43360</v>
      </c>
      <c r="D1082" s="4" t="n">
        <v>165</v>
      </c>
      <c r="E1082" s="1" t="n">
        <v>37545</v>
      </c>
      <c r="F1082" t="inlineStr">
        <is>
          <t>found this on on line awhile ago, made some adjustments for heat and chunkiness. i love this recipe because it cans well and the longer it sits, the hotter it gets. you can chill before serving if you want, but it's great right out of the pantry. makes a great gift.</t>
        </is>
      </c>
      <c r="G1082" t="n">
        <v>12</v>
      </c>
      <c r="H1082" t="n">
        <v>9900</v>
      </c>
      <c r="I1082">
        <f>D1082*60</f>
        <v/>
      </c>
      <c r="J1082">
        <f>COUNTIF(Отзывы!$D:$D, 43360)</f>
        <v/>
      </c>
    </row>
    <row r="1083">
      <c r="A1083" t="n">
        <v>3744</v>
      </c>
      <c r="B1083" t="inlineStr">
        <is>
          <t>briami  greek oven roasted vegetables</t>
        </is>
      </c>
      <c r="C1083" t="n">
        <v>59083</v>
      </c>
      <c r="D1083" s="4" t="n">
        <v>150</v>
      </c>
      <c r="E1083" s="1" t="n">
        <v>37721</v>
      </c>
      <c r="F1083" t="inlineStr">
        <is>
          <t>a traditional greek vegetarian dish. delicious and easy. great to do when you have a bumper crop of zucchini on hand.  olive oil adds a great flavour element to the dish, and also adds extra calories as briami is considered a 'main dish' here in greece.  if you choose to serve it as a side, you can cut back some on the olive oil.  the servings specified are considering it as a vegetarian main dish.  if you're having it as a side, either cut back, or plan on getting more servings out of it.</t>
        </is>
      </c>
      <c r="G1083" t="n">
        <v>12</v>
      </c>
      <c r="H1083" t="n">
        <v>9000</v>
      </c>
      <c r="I1083">
        <f>D1083*60</f>
        <v/>
      </c>
      <c r="J1083">
        <f>COUNTIF(Отзывы!$D:$D, 59083)</f>
        <v/>
      </c>
    </row>
    <row r="1084">
      <c r="A1084" t="n">
        <v>28873</v>
      </c>
      <c r="B1084" t="inlineStr">
        <is>
          <t>viennese chocolate pepper cookies</t>
        </is>
      </c>
      <c r="C1084" t="n">
        <v>403421</v>
      </c>
      <c r="D1084" s="4" t="n">
        <v>44</v>
      </c>
      <c r="E1084" s="1" t="n">
        <v>40159</v>
      </c>
      <c r="F1084" t="inlineStr">
        <is>
          <t>put these thin little chocolate cookies on your holiday platter &amp; let tasters be surprised, very surprised.  the black pepper and allspice gives unexpected snap.  found in the washington post, adapted from "the ultimate chocolate cookie book," by bruce weinstein.  make the dough &amp; chill - this allows you to bake when you want to, as many as you want at a time.</t>
        </is>
      </c>
      <c r="G1084" t="n">
        <v>11</v>
      </c>
      <c r="H1084" t="n">
        <v>2640</v>
      </c>
      <c r="I1084">
        <f>D1084*60</f>
        <v/>
      </c>
      <c r="J1084">
        <f>COUNTIF(Отзывы!$D:$D, 403421)</f>
        <v/>
      </c>
    </row>
    <row r="1085">
      <c r="A1085" t="n">
        <v>1480</v>
      </c>
      <c r="B1085" t="inlineStr">
        <is>
          <t>avocado blt salad</t>
        </is>
      </c>
      <c r="C1085" t="n">
        <v>276454</v>
      </c>
      <c r="D1085" s="4" t="n">
        <v>25</v>
      </c>
      <c r="E1085" s="1" t="n">
        <v>39451</v>
      </c>
      <c r="F1085" t="inlineStr">
        <is>
          <t>we love blt and avocadoes.  this recipe is from razzle dazzle recipes.  time doesn't include time for dressing to blend flavors.</t>
        </is>
      </c>
      <c r="G1085" t="n">
        <v>10</v>
      </c>
      <c r="H1085" t="n">
        <v>1500</v>
      </c>
      <c r="I1085">
        <f>D1085*60</f>
        <v/>
      </c>
      <c r="J1085">
        <f>COUNTIF(Отзывы!$D:$D, 276454)</f>
        <v/>
      </c>
    </row>
    <row r="1086">
      <c r="A1086" t="n">
        <v>22039</v>
      </c>
      <c r="B1086" t="inlineStr">
        <is>
          <t>quinoa  garbanzo   spinach salad w  smoked paprika dressing</t>
        </is>
      </c>
      <c r="C1086" t="n">
        <v>434181</v>
      </c>
      <c r="D1086" s="4" t="n">
        <v>41</v>
      </c>
      <c r="E1086" s="1" t="n">
        <v>40393</v>
      </c>
      <c r="F1086" t="inlineStr">
        <is>
          <t>i made this very easy, healthy recipe today for lunch from bon appetit.  this was my first time making quinoa.  i will definitely be looking for more recipes.  not only was it tasty, but i loved reading up on all the health benefits.  i halved the recipe easily to serve just me (for the next few days) and the only substitution i made was to use grape tomatoes as i could not find baby heirlooms.</t>
        </is>
      </c>
      <c r="G1086" t="n">
        <v>10</v>
      </c>
      <c r="H1086" t="n">
        <v>2460</v>
      </c>
      <c r="I1086">
        <f>D1086*60</f>
        <v/>
      </c>
      <c r="J1086">
        <f>COUNTIF(Отзывы!$D:$D, 434181)</f>
        <v/>
      </c>
    </row>
    <row r="1087">
      <c r="A1087" t="n">
        <v>12283</v>
      </c>
      <c r="B1087" t="inlineStr">
        <is>
          <t>gooey tomato burgers</t>
        </is>
      </c>
      <c r="C1087" t="n">
        <v>366309</v>
      </c>
      <c r="D1087" s="4" t="n">
        <v>35</v>
      </c>
      <c r="E1087" s="1" t="n">
        <v>39919</v>
      </c>
      <c r="F1087" t="inlineStr">
        <is>
          <t>this was one of my favorites growing up, and i still love it! quick and pretty easy too! its a fun recipe to play with too, sometimes i use mozzerella cheese, italian seasoning and add mushrooms for pizza burgers!</t>
        </is>
      </c>
      <c r="G1087" t="n">
        <v>4</v>
      </c>
      <c r="H1087" t="n">
        <v>2100</v>
      </c>
      <c r="I1087">
        <f>D1087*60</f>
        <v/>
      </c>
      <c r="J1087">
        <f>COUNTIF(Отзывы!$D:$D, 366309)</f>
        <v/>
      </c>
    </row>
    <row r="1088">
      <c r="A1088" t="n">
        <v>26497</v>
      </c>
      <c r="B1088" t="inlineStr">
        <is>
          <t>super yummy cranberry sauce</t>
        </is>
      </c>
      <c r="C1088" t="n">
        <v>324826</v>
      </c>
      <c r="D1088" s="4" t="n">
        <v>20</v>
      </c>
      <c r="E1088" s="1" t="n">
        <v>39702</v>
      </c>
      <c r="F1088" t="inlineStr">
        <is>
          <t>perfect at thanksgiving!</t>
        </is>
      </c>
      <c r="H1088" t="n">
        <v>1200</v>
      </c>
      <c r="I1088">
        <f>D1088*60</f>
        <v/>
      </c>
      <c r="J1088">
        <f>COUNTIF(Отзывы!$D:$D, 324826)</f>
        <v/>
      </c>
    </row>
    <row r="1089">
      <c r="A1089" t="n">
        <v>5214</v>
      </c>
      <c r="B1089" t="inlineStr">
        <is>
          <t>cheesy baked pasta with vegetables</t>
        </is>
      </c>
      <c r="C1089" t="n">
        <v>441650</v>
      </c>
      <c r="D1089" s="4" t="n">
        <v>40</v>
      </c>
      <c r="E1089" s="1" t="n">
        <v>40493</v>
      </c>
      <c r="F1089" t="inlineStr">
        <is>
          <t>this casserole can be made ahead. recipe is from woman's day.</t>
        </is>
      </c>
      <c r="G1089" t="n">
        <v>12</v>
      </c>
      <c r="H1089" t="n">
        <v>2400</v>
      </c>
      <c r="I1089">
        <f>D1089*60</f>
        <v/>
      </c>
      <c r="J1089">
        <f>COUNTIF(Отзывы!$D:$D, 441650)</f>
        <v/>
      </c>
    </row>
    <row r="1090">
      <c r="A1090" t="n">
        <v>4312</v>
      </c>
      <c r="B1090" t="inlineStr">
        <is>
          <t>cabbage and apple slaw with creamy gorgonzola dressing</t>
        </is>
      </c>
      <c r="C1090" t="n">
        <v>236568</v>
      </c>
      <c r="D1090" s="4" t="n">
        <v>255</v>
      </c>
      <c r="E1090" s="1" t="n">
        <v>39255</v>
      </c>
      <c r="F1090" t="inlineStr">
        <is>
          <t>i'm always on the lookout for cabbage recipes to use on the boat.  this one really caught my eye, balsamic vinegar and gorgonzola, how can you go wrong!  time indicated includes chilling time.</t>
        </is>
      </c>
      <c r="G1090" t="n">
        <v>12</v>
      </c>
      <c r="H1090" t="n">
        <v>15300</v>
      </c>
      <c r="I1090">
        <f>D1090*60</f>
        <v/>
      </c>
      <c r="J1090">
        <f>COUNTIF(Отзывы!$D:$D, 236568)</f>
        <v/>
      </c>
    </row>
    <row r="1091">
      <c r="A1091" t="n">
        <v>4620</v>
      </c>
      <c r="B1091" t="inlineStr">
        <is>
          <t>caramel apple breakfast pudding</t>
        </is>
      </c>
      <c r="C1091" t="n">
        <v>46993</v>
      </c>
      <c r="D1091" s="4" t="n">
        <v>65</v>
      </c>
      <c r="E1091" s="1" t="n">
        <v>37579</v>
      </c>
      <c r="F1091" t="inlineStr">
        <is>
          <t>mom made this for us. we thought is was delicious so i thought i would share the recipe. she lets it refrigerate overnight.</t>
        </is>
      </c>
      <c r="G1091" t="n">
        <v>12</v>
      </c>
      <c r="H1091" t="n">
        <v>3900</v>
      </c>
      <c r="I1091">
        <f>D1091*60</f>
        <v/>
      </c>
      <c r="J1091">
        <f>COUNTIF(Отзывы!$D:$D, 46993)</f>
        <v/>
      </c>
    </row>
    <row r="1092">
      <c r="A1092" t="n">
        <v>15381</v>
      </c>
      <c r="B1092" t="inlineStr">
        <is>
          <t>king creole</t>
        </is>
      </c>
      <c r="C1092" t="n">
        <v>103322</v>
      </c>
      <c r="D1092" s="6" t="n">
        <v>5</v>
      </c>
      <c r="E1092" s="1" t="n">
        <v>38295</v>
      </c>
      <c r="F1092" t="inlineStr">
        <is>
          <t>i have served these drinks for a pre-mardis gras ball party. pretty potent so be careful.</t>
        </is>
      </c>
      <c r="H1092" t="n">
        <v>300</v>
      </c>
      <c r="I1092">
        <f>D1092*60</f>
        <v/>
      </c>
      <c r="J1092">
        <f>COUNTIF(Отзывы!$D:$D, 103322)</f>
        <v/>
      </c>
    </row>
    <row r="1093">
      <c r="A1093" t="n">
        <v>25066</v>
      </c>
      <c r="B1093" t="inlineStr">
        <is>
          <t>spaghetti squash pronto</t>
        </is>
      </c>
      <c r="C1093" t="n">
        <v>282138</v>
      </c>
      <c r="D1093" s="4" t="n">
        <v>17</v>
      </c>
      <c r="E1093" s="1" t="n">
        <v>39476</v>
      </c>
      <c r="F1093" t="inlineStr">
        <is>
          <t>saved in my files but i haven't made it yet. no cholesterol.</t>
        </is>
      </c>
      <c r="G1093" t="n">
        <v>5</v>
      </c>
      <c r="H1093" t="n">
        <v>1020</v>
      </c>
      <c r="I1093">
        <f>D1093*60</f>
        <v/>
      </c>
      <c r="J1093">
        <f>COUNTIF(Отзывы!$D:$D, 282138)</f>
        <v/>
      </c>
    </row>
    <row r="1094">
      <c r="A1094" t="n">
        <v>28583</v>
      </c>
      <c r="B1094" t="inlineStr">
        <is>
          <t>vegan chocolate cake with frosting</t>
        </is>
      </c>
      <c r="C1094" t="n">
        <v>68423</v>
      </c>
      <c r="D1094" s="4" t="n">
        <v>60</v>
      </c>
      <c r="E1094" s="1" t="n">
        <v>37838</v>
      </c>
      <c r="G1094" t="n">
        <v>12</v>
      </c>
      <c r="H1094" t="n">
        <v>3600</v>
      </c>
      <c r="I1094">
        <f>D1094*60</f>
        <v/>
      </c>
      <c r="J1094">
        <f>COUNTIF(Отзывы!$D:$D, 68423)</f>
        <v/>
      </c>
    </row>
    <row r="1095">
      <c r="A1095" t="n">
        <v>16600</v>
      </c>
      <c r="B1095" t="inlineStr">
        <is>
          <t>lucky  13 spring rolls with pineapple dipping sauce</t>
        </is>
      </c>
      <c r="C1095" t="n">
        <v>354055</v>
      </c>
      <c r="D1095" s="4" t="n">
        <v>35</v>
      </c>
      <c r="E1095" s="1" t="n">
        <v>39849</v>
      </c>
      <c r="F1095" t="inlineStr">
        <is>
          <t>these little bites of heaven are full of veggies and, oh, so tasty. the dipping sauce is sweet yet with a hint of fire. these are way better than take out, and you can control the salt and the fire! created for rsc#13 contest.</t>
        </is>
      </c>
      <c r="G1095" t="n">
        <v>15</v>
      </c>
      <c r="H1095" t="n">
        <v>2100</v>
      </c>
      <c r="I1095">
        <f>D1095*60</f>
        <v/>
      </c>
      <c r="J1095">
        <f>COUNTIF(Отзывы!$D:$D, 354055)</f>
        <v/>
      </c>
    </row>
    <row r="1096">
      <c r="A1096" t="n">
        <v>22703</v>
      </c>
      <c r="B1096" t="inlineStr">
        <is>
          <t>roasted asparagus with sage and lemon butter</t>
        </is>
      </c>
      <c r="C1096" t="n">
        <v>133156</v>
      </c>
      <c r="D1096" s="4" t="n">
        <v>12</v>
      </c>
      <c r="E1096" s="1" t="n">
        <v>38574</v>
      </c>
      <c r="F1096" t="inlineStr">
        <is>
          <t>chef traunfeld has experimented his whole life with infusing herbs &amp; food. in this dish he uses sage and lemon to create a perfect balance of delicate flavors that embellish a dish yet somehow never overpower it.</t>
        </is>
      </c>
      <c r="G1096" t="n">
        <v>8</v>
      </c>
      <c r="H1096" t="n">
        <v>720</v>
      </c>
      <c r="I1096">
        <f>D1096*60</f>
        <v/>
      </c>
      <c r="J1096">
        <f>COUNTIF(Отзывы!$D:$D, 133156)</f>
        <v/>
      </c>
    </row>
    <row r="1097">
      <c r="A1097" t="n">
        <v>17202</v>
      </c>
      <c r="B1097" t="inlineStr">
        <is>
          <t>matesha bi al bayed  tomato with eggs</t>
        </is>
      </c>
      <c r="C1097" t="n">
        <v>317067</v>
      </c>
      <c r="D1097" s="4" t="n">
        <v>25</v>
      </c>
      <c r="E1097" s="1" t="n">
        <v>39661</v>
      </c>
      <c r="F1097" t="inlineStr">
        <is>
          <t>my husband makes this when he is in the mood for a quick lunch. anything that cooks in under an hour is consider quick by moroccan standards. :p serve with recipe #260654 to scoop up the tomato mixture.</t>
        </is>
      </c>
      <c r="H1097" t="n">
        <v>1500</v>
      </c>
      <c r="I1097">
        <f>D1097*60</f>
        <v/>
      </c>
      <c r="J1097">
        <f>COUNTIF(Отзывы!$D:$D, 317067)</f>
        <v/>
      </c>
    </row>
    <row r="1098">
      <c r="A1098" t="n">
        <v>883</v>
      </c>
      <c r="B1098" t="inlineStr">
        <is>
          <t>apple crunch</t>
        </is>
      </c>
      <c r="C1098" t="n">
        <v>279229</v>
      </c>
      <c r="D1098" s="4" t="n">
        <v>50</v>
      </c>
      <c r="E1098" s="1" t="n">
        <v>39462</v>
      </c>
      <c r="F1098" t="inlineStr">
        <is>
          <t>comfort dessert!</t>
        </is>
      </c>
      <c r="H1098" t="n">
        <v>3000</v>
      </c>
      <c r="I1098">
        <f>D1098*60</f>
        <v/>
      </c>
      <c r="J1098">
        <f>COUNTIF(Отзывы!$D:$D, 279229)</f>
        <v/>
      </c>
    </row>
    <row r="1099">
      <c r="A1099" t="n">
        <v>23186</v>
      </c>
      <c r="B1099" t="inlineStr">
        <is>
          <t>sally lunn bread</t>
        </is>
      </c>
      <c r="C1099" t="n">
        <v>264953</v>
      </c>
      <c r="D1099" s="4" t="n">
        <v>330</v>
      </c>
      <c r="E1099" s="1" t="n">
        <v>39398</v>
      </c>
      <c r="F1099" t="inlineStr">
        <is>
          <t>sally lunn is one of those recipes that is so old it can be called a "receipt," the name given to instructions in cookery up until several generations ago.   the way to prepare and serve it, however, is as varied as the stories about why it is called "sally lunn."as to the name, there are those who say that sally was the daughter of a pastry cook in bath, england.  because the bun is similar to a french brioche, others say she must have been a french huguenot woman who baked them.  then they say that no french lady would be named lunn or called sally.  others say there was no one named sally at all; the words are a corruption of "sol et lune," the french words for sun and moon that may have been used to describe the round shape of the buns, or perhaps a french word like "solimeme" for a type of brioche.  all i know is this is the best bread!!!my recipe comes from my sister in law, who has had it in her family for generations.</t>
        </is>
      </c>
      <c r="H1099" t="n">
        <v>19800</v>
      </c>
      <c r="I1099">
        <f>D1099*60</f>
        <v/>
      </c>
      <c r="J1099">
        <f>COUNTIF(Отзывы!$D:$D, 264953)</f>
        <v/>
      </c>
    </row>
    <row r="1100">
      <c r="A1100" t="n">
        <v>24892</v>
      </c>
      <c r="B1100" t="inlineStr">
        <is>
          <t>south beach danish</t>
        </is>
      </c>
      <c r="C1100" t="n">
        <v>311850</v>
      </c>
      <c r="D1100" s="6" t="n">
        <v>5</v>
      </c>
      <c r="E1100" s="1" t="n">
        <v>39632</v>
      </c>
      <c r="F1100" t="inlineStr">
        <is>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is>
      </c>
      <c r="G1100" t="n">
        <v>5</v>
      </c>
      <c r="H1100" t="n">
        <v>300</v>
      </c>
      <c r="I1100">
        <f>D1100*60</f>
        <v/>
      </c>
      <c r="J1100">
        <f>COUNTIF(Отзывы!$D:$D, 311850)</f>
        <v/>
      </c>
    </row>
    <row r="1101">
      <c r="A1101" t="n">
        <v>18262</v>
      </c>
      <c r="B1101" t="inlineStr">
        <is>
          <t>mum s miracle green salad</t>
        </is>
      </c>
      <c r="C1101" t="n">
        <v>292138</v>
      </c>
      <c r="D1101" s="4" t="n">
        <v>495</v>
      </c>
      <c r="E1101" s="1" t="n">
        <v>39522</v>
      </c>
      <c r="F1101" t="inlineStr">
        <is>
          <t>yummy salad from my childhood :d</t>
        </is>
      </c>
      <c r="H1101" t="n">
        <v>29700</v>
      </c>
      <c r="I1101">
        <f>D1101*60</f>
        <v/>
      </c>
      <c r="J1101">
        <f>COUNTIF(Отзывы!$D:$D, 292138)</f>
        <v/>
      </c>
    </row>
    <row r="1102">
      <c r="A1102" t="n">
        <v>23784</v>
      </c>
      <c r="B1102" t="inlineStr">
        <is>
          <t>seared pork with cranberry orange sauce</t>
        </is>
      </c>
      <c r="C1102" t="n">
        <v>61233</v>
      </c>
      <c r="D1102" s="4" t="n">
        <v>25</v>
      </c>
      <c r="E1102" s="1" t="n">
        <v>37746</v>
      </c>
      <c r="F1102" t="inlineStr">
        <is>
          <t>good pork chops!! revised from cooking light.</t>
        </is>
      </c>
      <c r="H1102" t="n">
        <v>1500</v>
      </c>
      <c r="I1102">
        <f>D1102*60</f>
        <v/>
      </c>
      <c r="J1102">
        <f>COUNTIF(Отзывы!$D:$D, 61233)</f>
        <v/>
      </c>
    </row>
    <row r="1103">
      <c r="A1103" t="n">
        <v>4965</v>
      </c>
      <c r="B1103" t="inlineStr">
        <is>
          <t>cedar plank braided salmon with apple butter sauce</t>
        </is>
      </c>
      <c r="C1103" t="n">
        <v>102771</v>
      </c>
      <c r="D1103" s="4" t="n">
        <v>90</v>
      </c>
      <c r="E1103" s="1" t="n">
        <v>38287</v>
      </c>
      <c r="F1103" t="inlineStr">
        <is>
          <t>the biggest challenge in preparation of this recipe is ensuring the braiding stays intact. once braiding is complete and liquids poured and brushed generously over the fillets, transferring to a backing sheet, is quite simple; chilling overnight is essential. i love this recipe because of its unique flavour. although originally developed for the barbeque, it can be successfully baked in your oven. this recipe was handed to me in preparation for a wedding reception in b.c. (august/2004); i had to adjust the ingredients, of course, to serve 150 people. preparation was a fun exercise; the prepared salmon was cooked on a 5 ft. length, 2" x 10", water-soaked, cedar plank and placed on a large, propane-fired grill. the end result was a perfectly seasoned, delightfully flavoured, lightly smoked salmon that had the wedding guests returning to the buffet table, repeatedly, until all 24 salmon fillets had been devoured. when purchasing your salmon, have the fish-monger filet the fish, remove the skin and pin bones.... when you have purchased your cedar plank, soak the plank in cold water, overnight. place the plank in a container of water, with a rock or brick on the plank to keep it submerged. soaking the plank will keep it from burning during the cooking process. not soaking it gives the salmon a stronger, smoky taste. remember, this is not only a recipe, it is also a cooking lesson, so have patience and you will be pleased with the results. follow the instructions carefully, and you cannot fail. it is a wonderful recipe, the end result will amaze you and your guests praise you.</t>
        </is>
      </c>
      <c r="G1103" t="n">
        <v>13</v>
      </c>
      <c r="H1103" t="n">
        <v>5400</v>
      </c>
      <c r="I1103">
        <f>D1103*60</f>
        <v/>
      </c>
      <c r="J1103">
        <f>COUNTIF(Отзывы!$D:$D, 102771)</f>
        <v/>
      </c>
    </row>
    <row r="1104">
      <c r="A1104" t="n">
        <v>12710</v>
      </c>
      <c r="B1104" t="inlineStr">
        <is>
          <t>green curry with chicken and eggplant</t>
        </is>
      </c>
      <c r="C1104" t="n">
        <v>239410</v>
      </c>
      <c r="D1104" s="4" t="n">
        <v>31</v>
      </c>
      <c r="E1104" s="1" t="n">
        <v>39272</v>
      </c>
      <c r="F1104" t="inlineStr">
        <is>
          <t>an authentic thai dish. a light and fragrant curry enjoyed by many fans of thai cuisine.</t>
        </is>
      </c>
      <c r="G1104" t="n">
        <v>10</v>
      </c>
      <c r="H1104" t="n">
        <v>1860</v>
      </c>
      <c r="I1104">
        <f>D1104*60</f>
        <v/>
      </c>
      <c r="J1104">
        <f>COUNTIF(Отзывы!$D:$D, 239410)</f>
        <v/>
      </c>
    </row>
    <row r="1105">
      <c r="A1105" t="n">
        <v>29023</v>
      </c>
      <c r="B1105" t="inlineStr">
        <is>
          <t>warm lobster dip</t>
        </is>
      </c>
      <c r="C1105" t="n">
        <v>79766</v>
      </c>
      <c r="D1105" s="4" t="n">
        <v>140</v>
      </c>
      <c r="E1105" s="1" t="n">
        <v>37985</v>
      </c>
      <c r="F1105" t="inlineStr">
        <is>
          <t>serve with crackers or what ever you like.</t>
        </is>
      </c>
      <c r="G1105" t="n">
        <v>8</v>
      </c>
      <c r="H1105" t="n">
        <v>8400</v>
      </c>
      <c r="I1105">
        <f>D1105*60</f>
        <v/>
      </c>
      <c r="J1105">
        <f>COUNTIF(Отзывы!$D:$D, 79766)</f>
        <v/>
      </c>
    </row>
    <row r="1106">
      <c r="A1106" t="n">
        <v>15938</v>
      </c>
      <c r="B1106" t="inlineStr">
        <is>
          <t>lemon pom pom cake</t>
        </is>
      </c>
      <c r="C1106" t="n">
        <v>536747</v>
      </c>
      <c r="D1106" s="4" t="n">
        <v>210</v>
      </c>
      <c r="E1106" s="1" t="n">
        <v>43327</v>
      </c>
      <c r="F1106" t="inlineStr">
        <is>
          <t>by far one of my most joyous cake creations, this fluffy, giant puff filled with flavours of scrumptious vanilla cake, lemon, raspberry, and luscious cream cheese, is sure to delight everyone in the room! it’s soft and snuggly appearance courtesy of homemade marshmallows is the stuff of pastel dreams.</t>
        </is>
      </c>
      <c r="G1106" t="n">
        <v>20</v>
      </c>
      <c r="H1106" t="n">
        <v>12600</v>
      </c>
      <c r="I1106">
        <f>D1106*60</f>
        <v/>
      </c>
      <c r="J1106">
        <f>COUNTIF(Отзывы!$D:$D, 536747)</f>
        <v/>
      </c>
    </row>
    <row r="1107">
      <c r="A1107" t="n">
        <v>15616</v>
      </c>
      <c r="B1107" t="inlineStr">
        <is>
          <t>lamunchi ade  lemonade</t>
        </is>
      </c>
      <c r="C1107" t="n">
        <v>39497</v>
      </c>
      <c r="D1107" s="4" t="n">
        <v>15</v>
      </c>
      <c r="E1107" s="1" t="n">
        <v>37503</v>
      </c>
      <c r="F1107" t="inlineStr">
        <is>
          <t>from the southern caribbean island of bonaire. we lived there for 7 years and had lamunchi trees in a couple of our backyards. (we moved twice while on the island). a lamunchi is a cross between a lemon and a lime. i doubt if you'll find lamunchis in your local market, but lemons should do the trick for this refreshing drink!</t>
        </is>
      </c>
      <c r="G1107" t="n">
        <v>3</v>
      </c>
      <c r="H1107" t="n">
        <v>900</v>
      </c>
      <c r="I1107">
        <f>D1107*60</f>
        <v/>
      </c>
      <c r="J1107">
        <f>COUNTIF(Отзывы!$D:$D, 39497)</f>
        <v/>
      </c>
    </row>
    <row r="1108">
      <c r="A1108" t="n">
        <v>14631</v>
      </c>
      <c r="B1108" t="inlineStr">
        <is>
          <t>italian chicken meatballs</t>
        </is>
      </c>
      <c r="C1108" t="n">
        <v>129286</v>
      </c>
      <c r="D1108" s="4" t="n">
        <v>90</v>
      </c>
      <c r="E1108" s="1" t="n">
        <v>38544</v>
      </c>
      <c r="F1108" t="inlineStr">
        <is>
          <t>i love a good meatball, but -for some reason- mine tend to fall apart all the time.  finally, i found a blend of ingredients that hung together and had a flavor that was less "tomato and basil" (like many italian dishes) but was rather "fennel, thyme, and garlic."</t>
        </is>
      </c>
      <c r="G1108" t="n">
        <v>21</v>
      </c>
      <c r="H1108" t="n">
        <v>5400</v>
      </c>
      <c r="I1108">
        <f>D1108*60</f>
        <v/>
      </c>
      <c r="J1108">
        <f>COUNTIF(Отзывы!$D:$D, 129286)</f>
        <v/>
      </c>
    </row>
    <row r="1109">
      <c r="A1109" t="n">
        <v>21510</v>
      </c>
      <c r="B1109" t="inlineStr">
        <is>
          <t>praline pumpkin custard pie</t>
        </is>
      </c>
      <c r="C1109" t="n">
        <v>326354</v>
      </c>
      <c r="D1109" s="4" t="n">
        <v>80</v>
      </c>
      <c r="E1109" s="1" t="n">
        <v>39713</v>
      </c>
      <c r="F1109" t="inlineStr">
        <is>
          <t>this recipe is similar to others posted here, but it uses less pumpkin in the filling which makes it more custard-like.  the praline layer really complements the pumpkin.  a holiday favorite!  for the crust, i use recipe #243072.</t>
        </is>
      </c>
      <c r="G1109" t="n">
        <v>10</v>
      </c>
      <c r="H1109" t="n">
        <v>4800</v>
      </c>
      <c r="I1109">
        <f>D1109*60</f>
        <v/>
      </c>
      <c r="J1109">
        <f>COUNTIF(Отзывы!$D:$D, 326354)</f>
        <v/>
      </c>
    </row>
    <row r="1110">
      <c r="A1110" t="n">
        <v>5665</v>
      </c>
      <c r="B1110" t="inlineStr">
        <is>
          <t>chicken breast with portabella mushrooms</t>
        </is>
      </c>
      <c r="C1110" t="n">
        <v>92571</v>
      </c>
      <c r="D1110" s="4" t="n">
        <v>40</v>
      </c>
      <c r="E1110" s="1" t="n">
        <v>38141</v>
      </c>
      <c r="F1110" t="inlineStr">
        <is>
          <t>i got tired of the typical chicken dinners, so i found this in an "all chicken" cookbook. although, i did make a few minor changes. if you like mushrooms, this is a great recipe for you. pasta works as a great side dish.</t>
        </is>
      </c>
      <c r="G1110" t="n">
        <v>9</v>
      </c>
      <c r="H1110" t="n">
        <v>2400</v>
      </c>
      <c r="I1110">
        <f>D1110*60</f>
        <v/>
      </c>
      <c r="J1110">
        <f>COUNTIF(Отзывы!$D:$D, 92571)</f>
        <v/>
      </c>
    </row>
    <row r="1111">
      <c r="A1111" t="n">
        <v>7484</v>
      </c>
      <c r="B1111" t="inlineStr">
        <is>
          <t>cookie fruit crisp</t>
        </is>
      </c>
      <c r="C1111" t="n">
        <v>279791</v>
      </c>
      <c r="D1111" s="4" t="n">
        <v>95</v>
      </c>
      <c r="E1111" s="1" t="n">
        <v>39465</v>
      </c>
      <c r="F1111" t="inlineStr">
        <is>
          <t>from better homes and gardens</t>
        </is>
      </c>
      <c r="G1111" t="n">
        <v>9</v>
      </c>
      <c r="H1111" t="n">
        <v>5700</v>
      </c>
      <c r="I1111">
        <f>D1111*60</f>
        <v/>
      </c>
      <c r="J1111">
        <f>COUNTIF(Отзывы!$D:$D, 279791)</f>
        <v/>
      </c>
    </row>
    <row r="1112">
      <c r="A1112" t="n">
        <v>6046</v>
      </c>
      <c r="B1112" t="inlineStr">
        <is>
          <t>chicken with apple  cranberry and bacon</t>
        </is>
      </c>
      <c r="C1112" t="n">
        <v>100651</v>
      </c>
      <c r="D1112" s="4" t="n">
        <v>45</v>
      </c>
      <c r="E1112" s="1" t="n">
        <v>38257</v>
      </c>
      <c r="F1112" t="inlineStr">
        <is>
          <t>this dish is a real crowd pleaser. the sauce is absolutely gorgeous. you'll want to serve it with a crusty bread to soak up the delicious flavours. i served this at a luncheon yesterday and everyone left with the recipe!</t>
        </is>
      </c>
      <c r="G1112" t="n">
        <v>16</v>
      </c>
      <c r="H1112" t="n">
        <v>2700</v>
      </c>
      <c r="I1112">
        <f>D1112*60</f>
        <v/>
      </c>
      <c r="J1112">
        <f>COUNTIF(Отзывы!$D:$D, 100651)</f>
        <v/>
      </c>
    </row>
    <row r="1113">
      <c r="A1113" t="n">
        <v>17926</v>
      </c>
      <c r="B1113" t="inlineStr">
        <is>
          <t>molasses spice spritz</t>
        </is>
      </c>
      <c r="C1113" t="n">
        <v>187465</v>
      </c>
      <c r="D1113" s="4" t="n">
        <v>26</v>
      </c>
      <c r="E1113" s="1" t="n">
        <v>38984</v>
      </c>
      <c r="F1113" t="inlineStr">
        <is>
          <t>this isn't something i would do just for the heck of it anymore but for the holidays....maybe. i'm posting this as a cathartic thing. i'm passing on my non-diabetic goodies to folks who can offer them a good home. i just can't abandon them without a chance to become good little recipes for someone else. this could go on for some time, i have a lot of recipes! it's been a long time since i made these and i don't honestly recall how long it took to make and press them out so i'm taking my best guess. *please note*: as written the recipe will yield a milder spice flavor. if you prefer a stronger spicy flavor double the spice amounts (or to taste).</t>
        </is>
      </c>
      <c r="G1113" t="n">
        <v>11</v>
      </c>
      <c r="H1113" t="n">
        <v>1560</v>
      </c>
      <c r="I1113">
        <f>D1113*60</f>
        <v/>
      </c>
      <c r="J1113">
        <f>COUNTIF(Отзывы!$D:$D, 187465)</f>
        <v/>
      </c>
    </row>
    <row r="1114">
      <c r="A1114" t="n">
        <v>3378</v>
      </c>
      <c r="B1114" t="inlineStr">
        <is>
          <t>blueberry cinnamon rolls</t>
        </is>
      </c>
      <c r="C1114" t="n">
        <v>175779</v>
      </c>
      <c r="D1114" s="4" t="n">
        <v>80</v>
      </c>
      <c r="E1114" s="1" t="n">
        <v>38901</v>
      </c>
      <c r="F1114" t="inlineStr">
        <is>
          <t>a recipe from southern living. did not see a recipe like this on zaar, in my search. prep time does not include rising times.</t>
        </is>
      </c>
      <c r="G1114" t="n">
        <v>12</v>
      </c>
      <c r="H1114" t="n">
        <v>4800</v>
      </c>
      <c r="I1114">
        <f>D1114*60</f>
        <v/>
      </c>
      <c r="J1114">
        <f>COUNTIF(Отзывы!$D:$D, 175779)</f>
        <v/>
      </c>
    </row>
    <row r="1115">
      <c r="A1115" t="n">
        <v>26716</v>
      </c>
      <c r="B1115" t="inlineStr">
        <is>
          <t>sweet potato and butternut gratin</t>
        </is>
      </c>
      <c r="C1115" t="n">
        <v>405210</v>
      </c>
      <c r="D1115" s="4" t="n">
        <v>35</v>
      </c>
      <c r="E1115" s="1" t="n">
        <v>40175</v>
      </c>
      <c r="F1115" t="inlineStr">
        <is>
          <t>cooking light nov 09. with pancetta! yum!</t>
        </is>
      </c>
      <c r="G1115" t="n">
        <v>16</v>
      </c>
      <c r="H1115" t="n">
        <v>2100</v>
      </c>
      <c r="I1115">
        <f>D1115*60</f>
        <v/>
      </c>
      <c r="J1115">
        <f>COUNTIF(Отзывы!$D:$D, 405210)</f>
        <v/>
      </c>
    </row>
    <row r="1116">
      <c r="A1116" t="n">
        <v>26434</v>
      </c>
      <c r="B1116" t="inlineStr">
        <is>
          <t>super easy peanut  butter fudge</t>
        </is>
      </c>
      <c r="C1116" t="n">
        <v>332323</v>
      </c>
      <c r="D1116" s="4" t="n">
        <v>24</v>
      </c>
      <c r="E1116" s="1" t="n">
        <v>39743</v>
      </c>
      <c r="F1116" t="inlineStr">
        <is>
          <t>this recipe is very simple, but if you do not know how to make candy then please follow instructions precisely. i have altered the instructions after a few reviews that it was crumbly. this is not the recipes fault, it is inexperience. proper candy making is about temperatures. 4 minutes of boiling (from the time the first small bubbles form) bring this candy up to proper fudge/softball temperature as long as you are cooking over medium heat. when in doubt, use a thermometer.</t>
        </is>
      </c>
      <c r="G1116" t="n">
        <v>5</v>
      </c>
      <c r="H1116" t="n">
        <v>1440</v>
      </c>
      <c r="I1116">
        <f>D1116*60</f>
        <v/>
      </c>
      <c r="J1116">
        <f>COUNTIF(Отзывы!$D:$D, 332323)</f>
        <v/>
      </c>
    </row>
    <row r="1117">
      <c r="A1117" t="n">
        <v>28247</v>
      </c>
      <c r="B1117" t="inlineStr">
        <is>
          <t>turkish pumpkin soup</t>
        </is>
      </c>
      <c r="C1117" t="n">
        <v>333408</v>
      </c>
      <c r="D1117" s="4" t="n">
        <v>35</v>
      </c>
      <c r="E1117" s="1" t="n">
        <v>39749</v>
      </c>
      <c r="F1117" t="inlineStr">
        <is>
          <t>a delicious autumn soup with its origins coming from bursa in turkey. the allspice and honey make it so homely and warming!</t>
        </is>
      </c>
      <c r="G1117" t="n">
        <v>10</v>
      </c>
      <c r="H1117" t="n">
        <v>2100</v>
      </c>
      <c r="I1117">
        <f>D1117*60</f>
        <v/>
      </c>
      <c r="J1117">
        <f>COUNTIF(Отзывы!$D:$D, 333408)</f>
        <v/>
      </c>
    </row>
    <row r="1118">
      <c r="A1118" t="n">
        <v>10743</v>
      </c>
      <c r="B1118" t="inlineStr">
        <is>
          <t>fancy sos</t>
        </is>
      </c>
      <c r="C1118" t="n">
        <v>144185</v>
      </c>
      <c r="D1118" s="4" t="n">
        <v>20</v>
      </c>
      <c r="E1118" s="1" t="n">
        <v>38663</v>
      </c>
      <c r="F1118" t="inlineStr">
        <is>
          <t>a fancy version of the good old s.o.s.  the sausage adds a nice touch, but you do what you like.  i really hope you enjoy it--we do!!</t>
        </is>
      </c>
      <c r="G1118" t="n">
        <v>11</v>
      </c>
      <c r="H1118" t="n">
        <v>1200</v>
      </c>
      <c r="I1118">
        <f>D1118*60</f>
        <v/>
      </c>
      <c r="J1118">
        <f>COUNTIF(Отзывы!$D:$D, 144185)</f>
        <v/>
      </c>
    </row>
    <row r="1119">
      <c r="A1119" t="n">
        <v>19250</v>
      </c>
      <c r="B1119" t="inlineStr">
        <is>
          <t>ooh la la</t>
        </is>
      </c>
      <c r="C1119" t="n">
        <v>291518</v>
      </c>
      <c r="D1119" s="6" t="n">
        <v>6</v>
      </c>
      <c r="E1119" s="1" t="n">
        <v>39519</v>
      </c>
      <c r="F1119" t="inlineStr">
        <is>
          <t>this is a mild cocktail i like to drink with my girlfriends. pretty pink color and very yummy. enjoy!</t>
        </is>
      </c>
      <c r="H1119" t="n">
        <v>360</v>
      </c>
      <c r="I1119">
        <f>D1119*60</f>
        <v/>
      </c>
      <c r="J1119">
        <f>COUNTIF(Отзывы!$D:$D, 291518)</f>
        <v/>
      </c>
    </row>
    <row r="1120">
      <c r="A1120" t="n">
        <v>16195</v>
      </c>
      <c r="B1120" t="inlineStr">
        <is>
          <t>lime fruit dip</t>
        </is>
      </c>
      <c r="C1120" t="n">
        <v>216164</v>
      </c>
      <c r="D1120" s="4" t="n">
        <v>65</v>
      </c>
      <c r="E1120" s="1" t="n">
        <v>39152</v>
      </c>
      <c r="F1120" t="inlineStr">
        <is>
          <t>when diabetes changed my diet, (i'm a big fan of candy) i started eating more fruit for dessert.  i prefer it fresh, but love a good dip.  this one had to grow on me a bit, but is none-the-less delish.  i like it with summer fruits like cantaloupe.  i usually chill mine before serving for about an hour, reflected in the passive cook time.</t>
        </is>
      </c>
      <c r="G1120" t="n">
        <v>3</v>
      </c>
      <c r="H1120" t="n">
        <v>3900</v>
      </c>
      <c r="I1120">
        <f>D1120*60</f>
        <v/>
      </c>
      <c r="J1120">
        <f>COUNTIF(Отзывы!$D:$D, 216164)</f>
        <v/>
      </c>
    </row>
    <row r="1121">
      <c r="A1121" t="n">
        <v>9123</v>
      </c>
      <c r="B1121" t="inlineStr">
        <is>
          <t>danish  fars  meatballs</t>
        </is>
      </c>
      <c r="C1121" t="n">
        <v>12638</v>
      </c>
      <c r="D1121" s="4" t="n">
        <v>45</v>
      </c>
      <c r="E1121" s="1" t="n">
        <v>37176</v>
      </c>
      <c r="F1121" t="inlineStr">
        <is>
          <t>this meatball recipe can be used as an appetizer, main course or used in the traditional mock turtle soup.</t>
        </is>
      </c>
      <c r="G1121" t="n">
        <v>8</v>
      </c>
      <c r="H1121" t="n">
        <v>2700</v>
      </c>
      <c r="I1121">
        <f>D1121*60</f>
        <v/>
      </c>
      <c r="J1121">
        <f>COUNTIF(Отзывы!$D:$D, 12638)</f>
        <v/>
      </c>
    </row>
    <row r="1122">
      <c r="A1122" t="n">
        <v>18304</v>
      </c>
      <c r="B1122" t="inlineStr">
        <is>
          <t>mushroom meatloaf</t>
        </is>
      </c>
      <c r="C1122" t="n">
        <v>240005</v>
      </c>
      <c r="D1122" s="4" t="n">
        <v>70</v>
      </c>
      <c r="E1122" s="1" t="n">
        <v>39275</v>
      </c>
      <c r="F1122" t="inlineStr">
        <is>
          <t>trust me this isn't an ordinary meat loaf. my husband hates onions and mushrooms but he doesn't even know they are in it! both of us hate traditional meat loaf, so i surfed through the internet until coming across something without catsup. once i varied the ingredients a little bit, it turned out awesome.if you have a magic bullet (60 bucks at wal-mart, use it to make bread crumbs instead of tearing, the bread, it comes out a lot nicer. i also use double the amount of worcestershire sauce in mine because i like it a lot.</t>
        </is>
      </c>
      <c r="G1122" t="n">
        <v>13</v>
      </c>
      <c r="H1122" t="n">
        <v>4200</v>
      </c>
      <c r="I1122">
        <f>D1122*60</f>
        <v/>
      </c>
      <c r="J1122">
        <f>COUNTIF(Отзывы!$D:$D, 240005)</f>
        <v/>
      </c>
    </row>
    <row r="1123">
      <c r="A1123" t="n">
        <v>24464</v>
      </c>
      <c r="B1123" t="inlineStr">
        <is>
          <t>slow cooker 3 amigos chili</t>
        </is>
      </c>
      <c r="C1123" t="n">
        <v>184434</v>
      </c>
      <c r="D1123" s="4" t="n">
        <v>210</v>
      </c>
      <c r="E1123" s="1" t="n">
        <v>38963</v>
      </c>
      <c r="F1123" t="inlineStr">
        <is>
          <t>this recipe is a variation of one that was developed by three employees of nesco, the slow cooker manufacturer.</t>
        </is>
      </c>
      <c r="G1123" t="n">
        <v>16</v>
      </c>
      <c r="H1123" t="n">
        <v>12600</v>
      </c>
      <c r="I1123">
        <f>D1123*60</f>
        <v/>
      </c>
      <c r="J1123">
        <f>COUNTIF(Отзывы!$D:$D, 184434)</f>
        <v/>
      </c>
    </row>
    <row r="1124">
      <c r="A1124" t="n">
        <v>23865</v>
      </c>
      <c r="B1124" t="inlineStr">
        <is>
          <t>sesame steaks</t>
        </is>
      </c>
      <c r="C1124" t="n">
        <v>51249</v>
      </c>
      <c r="D1124" s="6" t="n">
        <v>5</v>
      </c>
      <c r="E1124" s="1" t="n">
        <v>37635</v>
      </c>
      <c r="F1124" t="inlineStr">
        <is>
          <t>raising beef for a living, this of course is one of my husband's favourite steaks. i didn't include a cooking time, because everyone likes steaks to a different degree of doneness.</t>
        </is>
      </c>
      <c r="G1124" t="n">
        <v>8</v>
      </c>
      <c r="H1124" t="n">
        <v>300</v>
      </c>
      <c r="I1124">
        <f>D1124*60</f>
        <v/>
      </c>
      <c r="J1124">
        <f>COUNTIF(Отзывы!$D:$D, 51249)</f>
        <v/>
      </c>
    </row>
    <row r="1125">
      <c r="A1125" t="n">
        <v>2183</v>
      </c>
      <c r="B1125" t="inlineStr">
        <is>
          <t>banana pistachio pie</t>
        </is>
      </c>
      <c r="C1125" t="n">
        <v>127909</v>
      </c>
      <c r="D1125" s="4" t="n">
        <v>80</v>
      </c>
      <c r="E1125" s="1" t="n">
        <v>38531</v>
      </c>
      <c r="F1125" t="inlineStr">
        <is>
          <t>this sounds so good.  i want to make it soon and am posting it so i won't forget it.  found in easy home cooking.</t>
        </is>
      </c>
      <c r="H1125" t="n">
        <v>4800</v>
      </c>
      <c r="I1125">
        <f>D1125*60</f>
        <v/>
      </c>
      <c r="J1125">
        <f>COUNTIF(Отзывы!$D:$D, 127909)</f>
        <v/>
      </c>
    </row>
    <row r="1126">
      <c r="A1126" t="n">
        <v>3402</v>
      </c>
      <c r="B1126" t="inlineStr">
        <is>
          <t>blueberry lemon jam  no pectin recipe</t>
        </is>
      </c>
      <c r="C1126" t="n">
        <v>278370</v>
      </c>
      <c r="D1126" s="4" t="n">
        <v>30</v>
      </c>
      <c r="E1126" s="1" t="n">
        <v>39459</v>
      </c>
      <c r="F1126" t="inlineStr">
        <is>
          <t>this is a wonderful, slightly chunky jam made without pectin. for a more intense lemon flavor, add an extra teaspoon of lemon rind to the recipe.</t>
        </is>
      </c>
      <c r="G1126" t="n">
        <v>4</v>
      </c>
      <c r="H1126" t="n">
        <v>1800</v>
      </c>
      <c r="I1126">
        <f>D1126*60</f>
        <v/>
      </c>
      <c r="J1126">
        <f>COUNTIF(Отзывы!$D:$D, 278370)</f>
        <v/>
      </c>
    </row>
    <row r="1127" ht="195" customHeight="1">
      <c r="A1127" t="n">
        <v>25333</v>
      </c>
      <c r="B1127" t="inlineStr">
        <is>
          <t>spicy chicken balls</t>
        </is>
      </c>
      <c r="C1127" t="n">
        <v>316421</v>
      </c>
      <c r="D1127" s="4" t="n">
        <v>30</v>
      </c>
      <c r="E1127" s="1" t="n">
        <v>39658</v>
      </c>
      <c r="F1127" s="2" t="inlineStr">
        <is>
          <t>a spicy and tasty chicken ball. easy to make and great to eat!_x000D_
they freeze well also!</t>
        </is>
      </c>
      <c r="G1127" t="n">
        <v>9</v>
      </c>
      <c r="H1127" t="n">
        <v>1800</v>
      </c>
      <c r="I1127">
        <f>D1127*60</f>
        <v/>
      </c>
      <c r="J1127">
        <f>COUNTIF(Отзывы!$D:$D, 316421)</f>
        <v/>
      </c>
    </row>
    <row r="1128">
      <c r="A1128" t="n">
        <v>15539</v>
      </c>
      <c r="B1128" t="inlineStr">
        <is>
          <t>kung pao chicken</t>
        </is>
      </c>
      <c r="C1128" t="n">
        <v>17551</v>
      </c>
      <c r="D1128" s="4" t="n">
        <v>20</v>
      </c>
      <c r="E1128" s="1" t="n">
        <v>37275</v>
      </c>
      <c r="F1128" t="inlineStr">
        <is>
          <t>this is a popular szechwan style dish that combines chicken (or pork, beef or shrimp) with peanuts.</t>
        </is>
      </c>
      <c r="H1128" t="n">
        <v>1200</v>
      </c>
      <c r="I1128">
        <f>D1128*60</f>
        <v/>
      </c>
      <c r="J1128">
        <f>COUNTIF(Отзывы!$D:$D, 17551)</f>
        <v/>
      </c>
    </row>
    <row r="1129">
      <c r="A1129" t="n">
        <v>16070</v>
      </c>
      <c r="B1129" t="inlineStr">
        <is>
          <t>lentil soup   linsen suppe</t>
        </is>
      </c>
      <c r="C1129" t="n">
        <v>51412</v>
      </c>
      <c r="D1129" s="4" t="n">
        <v>135</v>
      </c>
      <c r="E1129" s="1" t="n">
        <v>37636</v>
      </c>
      <c r="F1129" t="inlineStr">
        <is>
          <t>i grew up on this soup, and still enjoy it today. great cold weather food, and tastes even better the next day.</t>
        </is>
      </c>
      <c r="H1129" t="n">
        <v>8100</v>
      </c>
      <c r="I1129">
        <f>D1129*60</f>
        <v/>
      </c>
      <c r="J1129">
        <f>COUNTIF(Отзывы!$D:$D, 51412)</f>
        <v/>
      </c>
    </row>
    <row r="1130">
      <c r="A1130" t="n">
        <v>7170</v>
      </c>
      <c r="B1130" t="inlineStr">
        <is>
          <t>classic cheese souffle  julia child</t>
        </is>
      </c>
      <c r="C1130" t="n">
        <v>296752</v>
      </c>
      <c r="D1130" s="4" t="n">
        <v>55</v>
      </c>
      <c r="E1130" s="1" t="n">
        <v>39544</v>
      </c>
      <c r="F1130" t="inlineStr">
        <is>
          <t>this recipe was adapted from a version in "the way to cook" by julia child as printed in the april 2008 issue of bon appetit.  the article claims that this is an easy foolproof recipe for this souffle.  i've yet to try it yet but can't wait.  i've never made a souffle before -- too many stories of failures for me to bother.  this has changed my mind.</t>
        </is>
      </c>
      <c r="G1130" t="n">
        <v>10</v>
      </c>
      <c r="H1130" t="n">
        <v>3300</v>
      </c>
      <c r="I1130">
        <f>D1130*60</f>
        <v/>
      </c>
      <c r="J1130">
        <f>COUNTIF(Отзывы!$D:$D, 296752)</f>
        <v/>
      </c>
    </row>
    <row r="1131">
      <c r="A1131" t="n">
        <v>13739</v>
      </c>
      <c r="B1131" t="inlineStr">
        <is>
          <t>high protein bread</t>
        </is>
      </c>
      <c r="C1131" t="n">
        <v>311141</v>
      </c>
      <c r="D1131" s="6" t="n">
        <v>10</v>
      </c>
      <c r="E1131" s="1" t="n">
        <v>39630</v>
      </c>
      <c r="F1131" t="inlineStr">
        <is>
          <t>from "the diet cure"</t>
        </is>
      </c>
      <c r="G1131" t="n">
        <v>11</v>
      </c>
      <c r="H1131" t="n">
        <v>600</v>
      </c>
      <c r="I1131">
        <f>D1131*60</f>
        <v/>
      </c>
      <c r="J1131">
        <f>COUNTIF(Отзывы!$D:$D, 311141)</f>
        <v/>
      </c>
    </row>
    <row r="1132">
      <c r="A1132" t="n">
        <v>5368</v>
      </c>
      <c r="B1132" t="inlineStr">
        <is>
          <t>cherries in the snow trifle    fourth of july version</t>
        </is>
      </c>
      <c r="C1132" t="n">
        <v>311609</v>
      </c>
      <c r="D1132" s="6" t="n">
        <v>10</v>
      </c>
      <c r="E1132" s="1" t="n">
        <v>39631</v>
      </c>
      <c r="F1132" t="inlineStr">
        <is>
          <t>i have made this for many years at christmas time, but this year i am going to add fresh blueberries for a 4th of july red-white and blue dessert. with little flags in the top! :-)</t>
        </is>
      </c>
      <c r="H1132" t="n">
        <v>600</v>
      </c>
      <c r="I1132">
        <f>D1132*60</f>
        <v/>
      </c>
      <c r="J1132">
        <f>COUNTIF(Отзывы!$D:$D, 311609)</f>
        <v/>
      </c>
    </row>
    <row r="1133">
      <c r="A1133" t="n">
        <v>17829</v>
      </c>
      <c r="B1133" t="inlineStr">
        <is>
          <t>mixed bean casserole</t>
        </is>
      </c>
      <c r="C1133" t="n">
        <v>216152</v>
      </c>
      <c r="D1133" s="4" t="n">
        <v>40</v>
      </c>
      <c r="E1133" s="1" t="n">
        <v>39151</v>
      </c>
      <c r="F1133" t="inlineStr">
        <is>
          <t>this is such a healthy dish, it's low gl and can be made as a side or a main meal.</t>
        </is>
      </c>
      <c r="G1133" t="n">
        <v>10</v>
      </c>
      <c r="H1133" t="n">
        <v>2400</v>
      </c>
      <c r="I1133">
        <f>D1133*60</f>
        <v/>
      </c>
      <c r="J1133">
        <f>COUNTIF(Отзывы!$D:$D, 216152)</f>
        <v/>
      </c>
    </row>
    <row r="1134">
      <c r="A1134" t="n">
        <v>8525</v>
      </c>
      <c r="B1134" t="inlineStr">
        <is>
          <t>crispy parmesan zucchini coins</t>
        </is>
      </c>
      <c r="C1134" t="n">
        <v>319559</v>
      </c>
      <c r="D1134" s="4" t="n">
        <v>25</v>
      </c>
      <c r="E1134" s="1" t="n">
        <v>39674</v>
      </c>
      <c r="F1134" t="inlineStr">
        <is>
          <t>a real tasty way to use up zucchini or yellow squash.  even the large ones will work.  when finished the coins will be a delicious crisp brown on the outside and soft and tasty on the inside.</t>
        </is>
      </c>
      <c r="G1134" t="n">
        <v>8</v>
      </c>
      <c r="H1134" t="n">
        <v>1500</v>
      </c>
      <c r="I1134">
        <f>D1134*60</f>
        <v/>
      </c>
      <c r="J1134">
        <f>COUNTIF(Отзывы!$D:$D, 319559)</f>
        <v/>
      </c>
    </row>
    <row r="1135">
      <c r="A1135" t="n">
        <v>25327</v>
      </c>
      <c r="B1135" t="inlineStr">
        <is>
          <t>spicy cheese rounds</t>
        </is>
      </c>
      <c r="C1135" t="n">
        <v>373329</v>
      </c>
      <c r="D1135" s="4" t="n">
        <v>20</v>
      </c>
      <c r="E1135" s="1" t="n">
        <v>39953</v>
      </c>
      <c r="F1135" t="inlineStr">
        <is>
          <t>these cheese rounds, a little zippy from the cayenne pepper. posted for zwt 5.</t>
        </is>
      </c>
      <c r="H1135" t="n">
        <v>1200</v>
      </c>
      <c r="I1135">
        <f>D1135*60</f>
        <v/>
      </c>
      <c r="J1135">
        <f>COUNTIF(Отзывы!$D:$D, 373329)</f>
        <v/>
      </c>
    </row>
    <row r="1136" ht="409.5" customHeight="1">
      <c r="A1136" t="n">
        <v>13973</v>
      </c>
      <c r="B1136" t="inlineStr">
        <is>
          <t>honey dijon salmon</t>
        </is>
      </c>
      <c r="C1136" t="n">
        <v>386791</v>
      </c>
      <c r="D1136" s="4" t="n">
        <v>15</v>
      </c>
      <c r="E1136" s="1" t="n">
        <v>40049</v>
      </c>
      <c r="F1136" s="2" t="inlineStr">
        <is>
          <t>this dish is so delicious but also so simple to put toghether. it tastes great with rice and roasted asparagus._x000D_
you could add a tablespoon or so of melted butter to the mustard mix but it's not necessary._x000D_
add the garlic and soy sauce depending on how salty and garlicky you like your food.</t>
        </is>
      </c>
      <c r="G1136" t="n">
        <v>8</v>
      </c>
      <c r="H1136" t="n">
        <v>900</v>
      </c>
      <c r="I1136">
        <f>D1136*60</f>
        <v/>
      </c>
      <c r="J1136">
        <f>COUNTIF(Отзывы!$D:$D, 386791)</f>
        <v/>
      </c>
    </row>
    <row r="1137">
      <c r="A1137" t="n">
        <v>24005</v>
      </c>
      <c r="B1137" t="inlineStr">
        <is>
          <t>shredded romaine salad</t>
        </is>
      </c>
      <c r="C1137" t="n">
        <v>435912</v>
      </c>
      <c r="D1137" s="4" t="n">
        <v>15</v>
      </c>
      <c r="E1137" s="1" t="n">
        <v>40414</v>
      </c>
      <c r="F1137" t="inlineStr">
        <is>
          <t>this is a zesty and garlicky salad that our family loves.  it is adapted from one of my favorite cookbooks - ellen helman's "the uncommon gourmet".  ellen suggests garnishing the salad with toasted pine nuts.  we like it plain but will occasionally add such garnishes as chopped tomato, croutons or diced cucumber...whatever we're in the mood for.</t>
        </is>
      </c>
      <c r="H1137" t="n">
        <v>900</v>
      </c>
      <c r="I1137">
        <f>D1137*60</f>
        <v/>
      </c>
      <c r="J1137">
        <f>COUNTIF(Отзывы!$D:$D, 435912)</f>
        <v/>
      </c>
    </row>
    <row r="1138">
      <c r="A1138" t="n">
        <v>9060</v>
      </c>
      <c r="B1138" t="inlineStr">
        <is>
          <t>dad s apple crisp</t>
        </is>
      </c>
      <c r="C1138" t="n">
        <v>247088</v>
      </c>
      <c r="D1138" s="4" t="n">
        <v>75</v>
      </c>
      <c r="E1138" s="1" t="n">
        <v>39311</v>
      </c>
      <c r="F1138" t="inlineStr">
        <is>
          <t>my dad has been making this for me ever since i was a little kid.  this recipe is nice because there is not a lot leftover to tempt you for breakfast :)</t>
        </is>
      </c>
      <c r="H1138" t="n">
        <v>4500</v>
      </c>
      <c r="I1138">
        <f>D1138*60</f>
        <v/>
      </c>
      <c r="J1138">
        <f>COUNTIF(Отзывы!$D:$D, 247088)</f>
        <v/>
      </c>
    </row>
    <row r="1139">
      <c r="A1139" t="n">
        <v>20558</v>
      </c>
      <c r="B1139" t="inlineStr">
        <is>
          <t>perfect orange julius clone</t>
        </is>
      </c>
      <c r="C1139" t="n">
        <v>83441</v>
      </c>
      <c r="D1139" s="5" t="n">
        <v>3</v>
      </c>
      <c r="E1139" s="1" t="n">
        <v>38026</v>
      </c>
      <c r="F1139" t="inlineStr">
        <is>
          <t>this is as close as you will ever get to the real thing, it's a real refresher in the morning when you need a wake-me-up boost, you may add in sugar to taste if desired.</t>
        </is>
      </c>
      <c r="H1139" t="n">
        <v>180</v>
      </c>
      <c r="I1139">
        <f>D1139*60</f>
        <v/>
      </c>
      <c r="J1139">
        <f>COUNTIF(Отзывы!$D:$D, 83441)</f>
        <v/>
      </c>
    </row>
    <row r="1140">
      <c r="A1140" t="n">
        <v>8419</v>
      </c>
      <c r="B1140" t="inlineStr">
        <is>
          <t>creole brandy milk punch cocktail</t>
        </is>
      </c>
      <c r="C1140" t="n">
        <v>182648</v>
      </c>
      <c r="D1140" s="5" t="n">
        <v>2</v>
      </c>
      <c r="E1140" s="1" t="n">
        <v>38953</v>
      </c>
      <c r="F1140" t="inlineStr">
        <is>
          <t>a getcha goin' breakfast cocktail from emeril.  add a little more sugar if you want something a bit sweeter.</t>
        </is>
      </c>
      <c r="H1140" t="n">
        <v>120</v>
      </c>
      <c r="I1140">
        <f>D1140*60</f>
        <v/>
      </c>
      <c r="J1140">
        <f>COUNTIF(Отзывы!$D:$D, 182648)</f>
        <v/>
      </c>
    </row>
    <row r="1141">
      <c r="A1141" t="n">
        <v>21768</v>
      </c>
      <c r="B1141" t="inlineStr">
        <is>
          <t>pumpkin surprise</t>
        </is>
      </c>
      <c r="C1141" t="n">
        <v>143166</v>
      </c>
      <c r="D1141" s="4" t="n">
        <v>21</v>
      </c>
      <c r="E1141" s="1" t="n">
        <v>38655</v>
      </c>
      <c r="F1141" t="inlineStr">
        <is>
          <t>heaven on your lips! this sumptuous autumn dessert will "wow" any crowd with its amazing blend of sweet, spicy and warm buttery flavors.</t>
        </is>
      </c>
      <c r="G1141" t="n">
        <v>10</v>
      </c>
      <c r="H1141" t="n">
        <v>1260</v>
      </c>
      <c r="I1141">
        <f>D1141*60</f>
        <v/>
      </c>
      <c r="J1141">
        <f>COUNTIF(Отзывы!$D:$D, 143166)</f>
        <v/>
      </c>
    </row>
    <row r="1142">
      <c r="A1142" t="n">
        <v>17427</v>
      </c>
      <c r="B1142" t="inlineStr">
        <is>
          <t>mexi chicken stew</t>
        </is>
      </c>
      <c r="C1142" t="n">
        <v>36130</v>
      </c>
      <c r="D1142" s="4" t="n">
        <v>65</v>
      </c>
      <c r="E1142" s="1" t="n">
        <v>37473</v>
      </c>
      <c r="F1142" t="inlineStr">
        <is>
          <t>i watched my mother throw together a 'end of summer stew' when i was younger. this is a variation of it. it uses things you would not normally thing would go together, but this ends up delicious. play with it a little. add shrimp and celery if you like.</t>
        </is>
      </c>
      <c r="H1142" t="n">
        <v>3900</v>
      </c>
      <c r="I1142">
        <f>D1142*60</f>
        <v/>
      </c>
      <c r="J1142">
        <f>COUNTIF(Отзывы!$D:$D, 36130)</f>
        <v/>
      </c>
    </row>
    <row r="1143">
      <c r="A1143" t="n">
        <v>28711</v>
      </c>
      <c r="B1143" t="inlineStr">
        <is>
          <t>vegetarian cheeseburger casserole</t>
        </is>
      </c>
      <c r="C1143" t="n">
        <v>390619</v>
      </c>
      <c r="D1143" s="4" t="n">
        <v>45</v>
      </c>
      <c r="E1143" s="1" t="n">
        <v>40073</v>
      </c>
      <c r="F1143" t="inlineStr">
        <is>
          <t>this still needs tweaking but i thought i post what i have so far</t>
        </is>
      </c>
      <c r="G1143" t="n">
        <v>14</v>
      </c>
      <c r="H1143" t="n">
        <v>2700</v>
      </c>
      <c r="I1143">
        <f>D1143*60</f>
        <v/>
      </c>
      <c r="J1143">
        <f>COUNTIF(Отзывы!$D:$D, 390619)</f>
        <v/>
      </c>
    </row>
    <row r="1144">
      <c r="A1144" t="n">
        <v>25217</v>
      </c>
      <c r="B1144" t="inlineStr">
        <is>
          <t>spiced baked pork dinner</t>
        </is>
      </c>
      <c r="C1144" t="n">
        <v>21509</v>
      </c>
      <c r="D1144" s="4" t="n">
        <v>75</v>
      </c>
      <c r="E1144" s="1" t="n">
        <v>37320</v>
      </c>
      <c r="F1144" t="inlineStr">
        <is>
          <t>a fast recipe for a very busy day....serve with rice or egg noodles.......</t>
        </is>
      </c>
      <c r="H1144" t="n">
        <v>4500</v>
      </c>
      <c r="I1144">
        <f>D1144*60</f>
        <v/>
      </c>
      <c r="J1144">
        <f>COUNTIF(Отзывы!$D:$D, 21509)</f>
        <v/>
      </c>
    </row>
    <row r="1145">
      <c r="A1145" t="n">
        <v>29183</v>
      </c>
      <c r="B1145" t="inlineStr">
        <is>
          <t>what s in the cabinet spice mix</t>
        </is>
      </c>
      <c r="C1145" t="n">
        <v>406807</v>
      </c>
      <c r="D1145" s="6" t="n">
        <v>5</v>
      </c>
      <c r="E1145" s="1" t="n">
        <v>40182</v>
      </c>
      <c r="F1145" t="inlineStr">
        <is>
          <t>i wanted a spice rub for my steaks and came up with this. so far i've used it on beef, chicken and pork. it has chilli powder and cayenne powder, but it's not that spicy.</t>
        </is>
      </c>
      <c r="G1145" t="n">
        <v>15</v>
      </c>
      <c r="H1145" t="n">
        <v>300</v>
      </c>
      <c r="I1145">
        <f>D1145*60</f>
        <v/>
      </c>
      <c r="J1145">
        <f>COUNTIF(Отзывы!$D:$D, 406807)</f>
        <v/>
      </c>
    </row>
    <row r="1146">
      <c r="A1146" t="n">
        <v>7391</v>
      </c>
      <c r="B1146" t="inlineStr">
        <is>
          <t>cold sesame noodles   tyler florence</t>
        </is>
      </c>
      <c r="C1146" t="n">
        <v>445486</v>
      </c>
      <c r="D1146" s="4" t="n">
        <v>30</v>
      </c>
      <c r="E1146" s="1" t="n">
        <v>40546</v>
      </c>
      <c r="F1146" t="inlineStr">
        <is>
          <t>from eat this book</t>
        </is>
      </c>
      <c r="G1146" t="n">
        <v>16</v>
      </c>
      <c r="H1146" t="n">
        <v>1800</v>
      </c>
      <c r="I1146">
        <f>D1146*60</f>
        <v/>
      </c>
      <c r="J1146">
        <f>COUNTIF(Отзывы!$D:$D, 445486)</f>
        <v/>
      </c>
    </row>
    <row r="1147">
      <c r="A1147" t="n">
        <v>14455</v>
      </c>
      <c r="B1147" t="inlineStr">
        <is>
          <t>indian scrambled eggs</t>
        </is>
      </c>
      <c r="C1147" t="n">
        <v>298093</v>
      </c>
      <c r="D1147" s="6" t="n">
        <v>10</v>
      </c>
      <c r="E1147" s="1" t="n">
        <v>39549</v>
      </c>
      <c r="F1147" t="inlineStr">
        <is>
          <t>lovely spicey alternative to the traditional scrambled egg.  will wake you up in the morning for sure.</t>
        </is>
      </c>
      <c r="H1147" t="n">
        <v>600</v>
      </c>
      <c r="I1147">
        <f>D1147*60</f>
        <v/>
      </c>
      <c r="J1147">
        <f>COUNTIF(Отзывы!$D:$D, 298093)</f>
        <v/>
      </c>
    </row>
    <row r="1148">
      <c r="A1148" t="n">
        <v>27478</v>
      </c>
      <c r="B1148" t="inlineStr">
        <is>
          <t>the perfect lemon drop cocktail</t>
        </is>
      </c>
      <c r="C1148" t="n">
        <v>355747</v>
      </c>
      <c r="D1148" s="6" t="n">
        <v>5</v>
      </c>
      <c r="E1148" s="1" t="n">
        <v>39857</v>
      </c>
      <c r="F1148" t="inlineStr">
        <is>
          <t>after a lot of trial and error, i finally found the perfect combination...not too sweet, not too sour, not too strong. fresh lemon juice makes this cocktail amazing and refreshing. also, perfect to make in a pitcher for parties (just adjust the servings).</t>
        </is>
      </c>
      <c r="G1148" t="n">
        <v>3</v>
      </c>
      <c r="H1148" t="n">
        <v>300</v>
      </c>
      <c r="I1148">
        <f>D1148*60</f>
        <v/>
      </c>
      <c r="J1148">
        <f>COUNTIF(Отзывы!$D:$D, 355747)</f>
        <v/>
      </c>
    </row>
    <row r="1149">
      <c r="A1149" t="n">
        <v>13212</v>
      </c>
      <c r="B1149" t="inlineStr">
        <is>
          <t>ham and broccoli ring</t>
        </is>
      </c>
      <c r="C1149" t="n">
        <v>17833</v>
      </c>
      <c r="D1149" s="4" t="n">
        <v>45</v>
      </c>
      <c r="E1149" s="1" t="n">
        <v>37279</v>
      </c>
      <c r="F1149" t="inlineStr">
        <is>
          <t>delicious lunch or light dinner, or cut in small slices and serve as an appetizer.</t>
        </is>
      </c>
      <c r="G1149" t="n">
        <v>8</v>
      </c>
      <c r="H1149" t="n">
        <v>2700</v>
      </c>
      <c r="I1149">
        <f>D1149*60</f>
        <v/>
      </c>
      <c r="J1149">
        <f>COUNTIF(Отзывы!$D:$D, 17833)</f>
        <v/>
      </c>
    </row>
    <row r="1150">
      <c r="A1150" t="n">
        <v>12084</v>
      </c>
      <c r="B1150" t="inlineStr">
        <is>
          <t>glazed apples  n franks for 2</t>
        </is>
      </c>
      <c r="C1150" t="n">
        <v>262293</v>
      </c>
      <c r="D1150" s="4" t="n">
        <v>20</v>
      </c>
      <c r="E1150" s="1" t="n">
        <v>39385</v>
      </c>
      <c r="F1150" t="inlineStr">
        <is>
          <t>tasty.</t>
        </is>
      </c>
      <c r="G1150" t="n">
        <v>5</v>
      </c>
      <c r="H1150" t="n">
        <v>1200</v>
      </c>
      <c r="I1150">
        <f>D1150*60</f>
        <v/>
      </c>
      <c r="J1150">
        <f>COUNTIF(Отзывы!$D:$D, 262293)</f>
        <v/>
      </c>
    </row>
    <row r="1151">
      <c r="A1151" t="n">
        <v>6808</v>
      </c>
      <c r="B1151" t="inlineStr">
        <is>
          <t>chocolate chunk walnut chewies</t>
        </is>
      </c>
      <c r="C1151" t="n">
        <v>103217</v>
      </c>
      <c r="D1151" s="4" t="n">
        <v>50</v>
      </c>
      <c r="E1151" s="1" t="n">
        <v>38293</v>
      </c>
      <c r="F1151" t="inlineStr">
        <is>
          <t>brownies from a devil's food cake mix. easy and have plenty of recipe copies to give out. from may washington times</t>
        </is>
      </c>
      <c r="G1151" t="n">
        <v>7</v>
      </c>
      <c r="H1151" t="n">
        <v>3000</v>
      </c>
      <c r="I1151">
        <f>D1151*60</f>
        <v/>
      </c>
      <c r="J1151">
        <f>COUNTIF(Отзывы!$D:$D, 103217)</f>
        <v/>
      </c>
    </row>
    <row r="1152">
      <c r="A1152" t="n">
        <v>360</v>
      </c>
      <c r="B1152" t="inlineStr">
        <is>
          <t>afghani inspired spinach dish</t>
        </is>
      </c>
      <c r="C1152" t="n">
        <v>398090</v>
      </c>
      <c r="D1152" s="4" t="n">
        <v>35</v>
      </c>
      <c r="E1152" s="1" t="n">
        <v>40123</v>
      </c>
      <c r="F1152" t="inlineStr">
        <is>
          <t>i tried to make palak paneer, an indian dish, but was short many ingredients so i decided to fashion the dish after an afghani dish i'd had.</t>
        </is>
      </c>
      <c r="G1152" t="n">
        <v>10</v>
      </c>
      <c r="H1152" t="n">
        <v>2100</v>
      </c>
      <c r="I1152">
        <f>D1152*60</f>
        <v/>
      </c>
      <c r="J1152">
        <f>COUNTIF(Отзывы!$D:$D, 398090)</f>
        <v/>
      </c>
    </row>
    <row r="1153">
      <c r="A1153" t="n">
        <v>11993</v>
      </c>
      <c r="B1153" t="inlineStr">
        <is>
          <t>ginger chicken and broccoli</t>
        </is>
      </c>
      <c r="C1153" t="n">
        <v>354054</v>
      </c>
      <c r="D1153" s="4" t="n">
        <v>40</v>
      </c>
      <c r="E1153" s="1" t="n">
        <v>39849</v>
      </c>
      <c r="F1153" t="inlineStr">
        <is>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is>
      </c>
      <c r="H1153" t="n">
        <v>2400</v>
      </c>
      <c r="I1153">
        <f>D1153*60</f>
        <v/>
      </c>
      <c r="J1153">
        <f>COUNTIF(Отзывы!$D:$D, 354054)</f>
        <v/>
      </c>
    </row>
    <row r="1154">
      <c r="A1154" t="n">
        <v>27720</v>
      </c>
      <c r="B1154" t="inlineStr">
        <is>
          <t>tofu nut balls</t>
        </is>
      </c>
      <c r="C1154" t="n">
        <v>29671</v>
      </c>
      <c r="D1154" s="4" t="n">
        <v>70</v>
      </c>
      <c r="E1154" s="1" t="n">
        <v>37405</v>
      </c>
      <c r="F1154" t="inlineStr">
        <is>
          <t>this recipe is adapted from a cookbook called vegetarian creations. it is a big hit with meat eaters and vegetarians alike! even kids love it. a great substitute for meatballs and they even look like meatballs.</t>
        </is>
      </c>
      <c r="G1154" t="n">
        <v>11</v>
      </c>
      <c r="H1154" t="n">
        <v>4200</v>
      </c>
      <c r="I1154">
        <f>D1154*60</f>
        <v/>
      </c>
      <c r="J1154">
        <f>COUNTIF(Отзывы!$D:$D, 29671)</f>
        <v/>
      </c>
    </row>
    <row r="1155">
      <c r="A1155" t="n">
        <v>26994</v>
      </c>
      <c r="B1155" t="inlineStr">
        <is>
          <t>tangy pasta salad</t>
        </is>
      </c>
      <c r="C1155" t="n">
        <v>86059</v>
      </c>
      <c r="D1155" s="4" t="n">
        <v>60</v>
      </c>
      <c r="E1155" s="1" t="n">
        <v>38053</v>
      </c>
      <c r="F1155" t="inlineStr">
        <is>
          <t>this is really easy and always a crowd pleaser when brought to parties.</t>
        </is>
      </c>
      <c r="H1155" t="n">
        <v>3600</v>
      </c>
      <c r="I1155">
        <f>D1155*60</f>
        <v/>
      </c>
      <c r="J1155">
        <f>COUNTIF(Отзывы!$D:$D, 86059)</f>
        <v/>
      </c>
    </row>
    <row r="1156">
      <c r="A1156" t="n">
        <v>9104</v>
      </c>
      <c r="B1156" t="inlineStr">
        <is>
          <t>dampfnudela steamed german dumplings</t>
        </is>
      </c>
      <c r="C1156" t="n">
        <v>169773</v>
      </c>
      <c r="D1156" s="4" t="n">
        <v>135</v>
      </c>
      <c r="E1156" s="1" t="n">
        <v>38862</v>
      </c>
      <c r="F1156" t="inlineStr">
        <is>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is>
      </c>
      <c r="H1156" t="n">
        <v>8100</v>
      </c>
      <c r="I1156">
        <f>D1156*60</f>
        <v/>
      </c>
      <c r="J1156">
        <f>COUNTIF(Отзывы!$D:$D, 169773)</f>
        <v/>
      </c>
    </row>
    <row r="1157">
      <c r="A1157" t="n">
        <v>22844</v>
      </c>
      <c r="B1157" t="inlineStr">
        <is>
          <t>roasted shrimp with thousand island dressing</t>
        </is>
      </c>
      <c r="C1157" t="n">
        <v>190802</v>
      </c>
      <c r="D1157" s="4" t="n">
        <v>11</v>
      </c>
      <c r="E1157" s="1" t="n">
        <v>39005</v>
      </c>
      <c r="F1157" t="inlineStr">
        <is>
          <t>ina garten, copyright 2006. these are awesome! really great idea, as if she had kicked them up a notch! this recipe can easily be doubled and can me made in less than 15 minutes. can be made with all diet friendly products, and is great.</t>
        </is>
      </c>
      <c r="H1157" t="n">
        <v>660</v>
      </c>
      <c r="I1157">
        <f>D1157*60</f>
        <v/>
      </c>
      <c r="J1157">
        <f>COUNTIF(Отзывы!$D:$D, 190802)</f>
        <v/>
      </c>
    </row>
    <row r="1158">
      <c r="A1158" t="n">
        <v>18510</v>
      </c>
      <c r="B1158" t="inlineStr">
        <is>
          <t>nalesniki   polish crepes with apple filling</t>
        </is>
      </c>
      <c r="C1158" t="n">
        <v>307204</v>
      </c>
      <c r="D1158" s="4" t="n">
        <v>55</v>
      </c>
      <c r="E1158" s="1" t="n">
        <v>39603</v>
      </c>
      <c r="F1158" t="inlineStr">
        <is>
          <t>nalenski are very traditional thin pancakes in poland and come with a huge variety of fillings (and toppings). this recipe is for crepes filled with fresh apple. posted for zwt 4.</t>
        </is>
      </c>
      <c r="G1158" t="n">
        <v>11</v>
      </c>
      <c r="H1158" t="n">
        <v>3300</v>
      </c>
      <c r="I1158">
        <f>D1158*60</f>
        <v/>
      </c>
      <c r="J1158">
        <f>COUNTIF(Отзывы!$D:$D, 307204)</f>
        <v/>
      </c>
    </row>
    <row r="1159">
      <c r="A1159" t="n">
        <v>9452</v>
      </c>
      <c r="B1159" t="inlineStr">
        <is>
          <t>dijon steak</t>
        </is>
      </c>
      <c r="C1159" t="n">
        <v>39976</v>
      </c>
      <c r="D1159" s="4" t="n">
        <v>45</v>
      </c>
      <c r="E1159" s="1" t="n">
        <v>37509</v>
      </c>
      <c r="F1159" t="inlineStr">
        <is>
          <t>a perfect quick meal for a rushed day. your family will think you've been in the kitchen for hours! dijon adds a delightful flavor to this favorite dish.</t>
        </is>
      </c>
      <c r="G1159" t="n">
        <v>6</v>
      </c>
      <c r="H1159" t="n">
        <v>2700</v>
      </c>
      <c r="I1159">
        <f>D1159*60</f>
        <v/>
      </c>
      <c r="J1159">
        <f>COUNTIF(Отзывы!$D:$D, 39976)</f>
        <v/>
      </c>
    </row>
    <row r="1160">
      <c r="A1160" t="n">
        <v>4809</v>
      </c>
      <c r="B1160" t="inlineStr">
        <is>
          <t>carrot and squash curry soup</t>
        </is>
      </c>
      <c r="C1160" t="n">
        <v>447172</v>
      </c>
      <c r="D1160" s="4" t="n">
        <v>80</v>
      </c>
      <c r="E1160" s="1" t="n">
        <v>40566</v>
      </c>
      <c r="F1160" t="inlineStr">
        <is>
          <t>from shawn :)</t>
        </is>
      </c>
      <c r="G1160" t="n">
        <v>10</v>
      </c>
      <c r="H1160" t="n">
        <v>4800</v>
      </c>
      <c r="I1160">
        <f>D1160*60</f>
        <v/>
      </c>
      <c r="J1160">
        <f>COUNTIF(Отзывы!$D:$D, 447172)</f>
        <v/>
      </c>
    </row>
    <row r="1161">
      <c r="A1161" t="n">
        <v>19804</v>
      </c>
      <c r="B1161" t="inlineStr">
        <is>
          <t>panzanella bruschetta</t>
        </is>
      </c>
      <c r="C1161" t="n">
        <v>117105</v>
      </c>
      <c r="D1161" s="4" t="n">
        <v>40</v>
      </c>
      <c r="E1161" s="1" t="n">
        <v>38455</v>
      </c>
      <c r="F1161" t="inlineStr">
        <is>
          <t>this is like a salad served on a baguetta-style french bread, not your regular bruschetta. toasts can be made in advance. recipe courtesy lhj.com.</t>
        </is>
      </c>
      <c r="G1161" t="n">
        <v>13</v>
      </c>
      <c r="H1161" t="n">
        <v>2400</v>
      </c>
      <c r="I1161">
        <f>D1161*60</f>
        <v/>
      </c>
      <c r="J1161">
        <f>COUNTIF(Отзывы!$D:$D, 117105)</f>
        <v/>
      </c>
    </row>
    <row r="1162">
      <c r="A1162" t="n">
        <v>25536</v>
      </c>
      <c r="B1162" t="inlineStr">
        <is>
          <t>spicy tomato cheese soup  sandra lee</t>
        </is>
      </c>
      <c r="C1162" t="n">
        <v>196140</v>
      </c>
      <c r="D1162" s="6" t="n">
        <v>10</v>
      </c>
      <c r="E1162" s="1" t="n">
        <v>39039</v>
      </c>
      <c r="F1162" t="inlineStr">
        <is>
          <t>gosh, this looks simple and good!   it's from sandra lee's "semi-homemade cooking 2."</t>
        </is>
      </c>
      <c r="H1162" t="n">
        <v>600</v>
      </c>
      <c r="I1162">
        <f>D1162*60</f>
        <v/>
      </c>
      <c r="J1162">
        <f>COUNTIF(Отзывы!$D:$D, 196140)</f>
        <v/>
      </c>
    </row>
    <row r="1163">
      <c r="A1163" t="n">
        <v>28508</v>
      </c>
      <c r="B1163" t="inlineStr">
        <is>
          <t>vanilla caramel syrup   for coffee or espresso</t>
        </is>
      </c>
      <c r="C1163" t="n">
        <v>71652</v>
      </c>
      <c r="D1163" s="4" t="n">
        <v>19</v>
      </c>
      <c r="E1163" s="1" t="n">
        <v>37890</v>
      </c>
      <c r="F1163" t="inlineStr">
        <is>
          <t xml:space="preserve">this will replace the expensive syrup you buy to make flavored coffee or espresso. i think it is as good as </t>
        </is>
      </c>
      <c r="G1163" t="n">
        <v>6</v>
      </c>
      <c r="H1163" t="n">
        <v>1140</v>
      </c>
      <c r="I1163">
        <f>D1163*60</f>
        <v/>
      </c>
      <c r="J1163">
        <f>COUNTIF(Отзывы!$D:$D, 71652)</f>
        <v/>
      </c>
    </row>
    <row r="1164">
      <c r="A1164" t="n">
        <v>1618</v>
      </c>
      <c r="B1164" t="inlineStr">
        <is>
          <t>backyard bbq sauce</t>
        </is>
      </c>
      <c r="C1164" t="n">
        <v>340508</v>
      </c>
      <c r="D1164" s="4" t="n">
        <v>40</v>
      </c>
      <c r="E1164" s="1" t="n">
        <v>39783</v>
      </c>
      <c r="F1164" t="inlineStr">
        <is>
          <t>from the veganomicon.  excellent for bbq seitan steaks in the summertime.  this takes awhile to simmer, but it makes a lot, so it can be made early in the season then kept in the freezer for later use.</t>
        </is>
      </c>
      <c r="G1164" t="n">
        <v>11</v>
      </c>
      <c r="H1164" t="n">
        <v>2400</v>
      </c>
      <c r="I1164">
        <f>D1164*60</f>
        <v/>
      </c>
      <c r="J1164">
        <f>COUNTIF(Отзывы!$D:$D, 340508)</f>
        <v/>
      </c>
    </row>
    <row r="1165">
      <c r="A1165" t="n">
        <v>29378</v>
      </c>
      <c r="B1165" t="inlineStr">
        <is>
          <t>whole wheat strawberry walnut bread</t>
        </is>
      </c>
      <c r="C1165" t="n">
        <v>306489</v>
      </c>
      <c r="D1165" s="4" t="n">
        <v>75</v>
      </c>
      <c r="E1165" s="1" t="n">
        <v>39598</v>
      </c>
      <c r="F1165" t="inlineStr">
        <is>
          <t>a yummy way to use up extra strawberries. this is a great breakfast bread.</t>
        </is>
      </c>
      <c r="G1165" t="n">
        <v>11</v>
      </c>
      <c r="H1165" t="n">
        <v>4500</v>
      </c>
      <c r="I1165">
        <f>D1165*60</f>
        <v/>
      </c>
      <c r="J1165">
        <f>COUNTIF(Отзывы!$D:$D, 306489)</f>
        <v/>
      </c>
    </row>
    <row r="1166">
      <c r="A1166" t="n">
        <v>19823</v>
      </c>
      <c r="B1166" t="inlineStr">
        <is>
          <t>papaya marinated steak   malay onion sambal</t>
        </is>
      </c>
      <c r="C1166" t="n">
        <v>140692</v>
      </c>
      <c r="D1166" s="4" t="n">
        <v>25</v>
      </c>
      <c r="E1166" s="1" t="n">
        <v>38635</v>
      </c>
      <c r="F1166" t="inlineStr">
        <is>
          <t>this recipe is great when you have left over papaya skin! grilled steak is the star of many a braai. the papaya skin is the tenderizer for the steaks and the  flesh can be saved for another recipe. the onions in the sambal are salted and then rinsed cleaned, this process softens them and removes their bitter juices. the malay makes about 1 1/2 cups. the recipe is adapted from jenna holst from a south african barbecue. make ahead: the sambal can be prepared through the first step up to 1 day ahead. steaks marinate for 1 1/2 - 2 hours.</t>
        </is>
      </c>
      <c r="H1166" t="n">
        <v>1500</v>
      </c>
      <c r="I1166">
        <f>D1166*60</f>
        <v/>
      </c>
      <c r="J1166">
        <f>COUNTIF(Отзывы!$D:$D, 140692)</f>
        <v/>
      </c>
    </row>
    <row r="1167" ht="409.5" customHeight="1">
      <c r="A1167" t="n">
        <v>26419</v>
      </c>
      <c r="B1167" t="inlineStr">
        <is>
          <t>super easy caramel corn</t>
        </is>
      </c>
      <c r="C1167" t="n">
        <v>401600</v>
      </c>
      <c r="D1167" s="6" t="n">
        <v>10</v>
      </c>
      <c r="E1167" s="1" t="n">
        <v>40145</v>
      </c>
      <c r="F1167" s="2" t="inlineStr">
        <is>
          <t>a super easy, super quick caramel corn recipe. _x000D_
_x000D_
you can make microwave popcorn without all the junk! place 1/4 c of popcorn kernels in a paper bag and turning the top down a few times. pop on the popcorn setting of your microwave. listen carefully and remove when the popping slows. over time you will be able to tell how long you need to pop it.</t>
        </is>
      </c>
      <c r="G1167" t="n">
        <v>4</v>
      </c>
      <c r="H1167" t="n">
        <v>600</v>
      </c>
      <c r="I1167">
        <f>D1167*60</f>
        <v/>
      </c>
      <c r="J1167">
        <f>COUNTIF(Отзывы!$D:$D, 401600)</f>
        <v/>
      </c>
    </row>
    <row r="1168">
      <c r="A1168" t="n">
        <v>1602</v>
      </c>
      <c r="B1168" t="inlineStr">
        <is>
          <t>baby greens with mustard vinaigrette</t>
        </is>
      </c>
      <c r="C1168" t="n">
        <v>11382</v>
      </c>
      <c r="D1168" s="4" t="n">
        <v>35</v>
      </c>
      <c r="E1168" s="1" t="n">
        <v>37138</v>
      </c>
      <c r="F1168" t="inlineStr">
        <is>
          <t>an easy and pleasing first course or side dish. bacon bits may be a nice addition as well.</t>
        </is>
      </c>
      <c r="G1168" t="n">
        <v>7</v>
      </c>
      <c r="H1168" t="n">
        <v>2100</v>
      </c>
      <c r="I1168">
        <f>D1168*60</f>
        <v/>
      </c>
      <c r="J1168">
        <f>COUNTIF(Отзывы!$D:$D, 11382)</f>
        <v/>
      </c>
    </row>
    <row r="1169" ht="105" customHeight="1">
      <c r="A1169" t="n">
        <v>10322</v>
      </c>
      <c r="B1169" t="inlineStr">
        <is>
          <t>ediets lunch   turkey   cheese sandwich w  low calorie chips</t>
        </is>
      </c>
      <c r="C1169" t="n">
        <v>306999</v>
      </c>
      <c r="D1169" s="4" t="n">
        <v>15</v>
      </c>
      <c r="E1169" s="1" t="n">
        <v>39602</v>
      </c>
      <c r="F1169" s="2" t="inlineStr">
        <is>
          <t>calories 482_x000D_
carbs 14%_x000D_
protein 7%_x000D_
fat 2%</t>
        </is>
      </c>
      <c r="G1169" t="n">
        <v>6</v>
      </c>
      <c r="H1169" t="n">
        <v>900</v>
      </c>
      <c r="I1169">
        <f>D1169*60</f>
        <v/>
      </c>
      <c r="J1169">
        <f>COUNTIF(Отзывы!$D:$D, 306999)</f>
        <v/>
      </c>
    </row>
    <row r="1170">
      <c r="A1170" t="n">
        <v>6683</v>
      </c>
      <c r="B1170" t="inlineStr">
        <is>
          <t>chocolate nut torte</t>
        </is>
      </c>
      <c r="C1170" t="n">
        <v>65951</v>
      </c>
      <c r="D1170" s="4" t="n">
        <v>23</v>
      </c>
      <c r="E1170" s="1" t="n">
        <v>37803</v>
      </c>
      <c r="F1170" t="inlineStr">
        <is>
          <t>a very easy recipe. use other nuts instead of pecans for a different flavour (my favourite is hazelnuts)</t>
        </is>
      </c>
      <c r="H1170" t="n">
        <v>1380</v>
      </c>
      <c r="I1170">
        <f>D1170*60</f>
        <v/>
      </c>
      <c r="J1170">
        <f>COUNTIF(Отзывы!$D:$D, 65951)</f>
        <v/>
      </c>
    </row>
    <row r="1171">
      <c r="A1171" t="n">
        <v>12</v>
      </c>
      <c r="B1171" t="inlineStr">
        <is>
          <t>ara s potato  oup</t>
        </is>
      </c>
      <c r="C1171" t="n">
        <v>69190</v>
      </c>
      <c r="D1171" s="4" t="n">
        <v>135</v>
      </c>
      <c r="E1171" s="1" t="n">
        <v>37853</v>
      </c>
      <c r="F1171" t="inlineStr">
        <is>
          <t>i made this recipe myself when i was 13. i was on here trying to find a recipe for potato soup because i liked my mom's so much.  when i was looking, i couldn't find a simple recipe for it that looked good, so i decided to make my own.  now, my soup tastes even better than my mom's and i always make it for family.</t>
        </is>
      </c>
      <c r="H1171" t="n">
        <v>8100</v>
      </c>
      <c r="I1171">
        <f>D1171*60</f>
        <v/>
      </c>
      <c r="J1171">
        <f>COUNTIF(Отзывы!$D:$D, 69190)</f>
        <v/>
      </c>
    </row>
    <row r="1172">
      <c r="A1172" t="n">
        <v>24922</v>
      </c>
      <c r="B1172" t="inlineStr">
        <is>
          <t>southern chicken stew</t>
        </is>
      </c>
      <c r="C1172" t="n">
        <v>65565</v>
      </c>
      <c r="D1172" s="4" t="n">
        <v>70</v>
      </c>
      <c r="E1172" s="1" t="n">
        <v>37798</v>
      </c>
      <c r="F1172" t="inlineStr">
        <is>
          <t>it's a simple and easy dish to prepare.</t>
        </is>
      </c>
      <c r="G1172" t="n">
        <v>9</v>
      </c>
      <c r="H1172" t="n">
        <v>4200</v>
      </c>
      <c r="I1172">
        <f>D1172*60</f>
        <v/>
      </c>
      <c r="J1172">
        <f>COUNTIF(Отзывы!$D:$D, 65565)</f>
        <v/>
      </c>
    </row>
    <row r="1173">
      <c r="A1173" t="n">
        <v>18177</v>
      </c>
      <c r="B1173" t="inlineStr">
        <is>
          <t>mousseline mayonnaise</t>
        </is>
      </c>
      <c r="C1173" t="n">
        <v>264469</v>
      </c>
      <c r="D1173" s="6" t="n">
        <v>5</v>
      </c>
      <c r="E1173" s="1" t="n">
        <v>39395</v>
      </c>
      <c r="F1173" t="inlineStr">
        <is>
          <t>this mayonnaise is particularly good with fish.</t>
        </is>
      </c>
      <c r="H1173" t="n">
        <v>300</v>
      </c>
      <c r="I1173">
        <f>D1173*60</f>
        <v/>
      </c>
      <c r="J1173">
        <f>COUNTIF(Отзывы!$D:$D, 264469)</f>
        <v/>
      </c>
    </row>
    <row r="1174">
      <c r="A1174" t="n">
        <v>20591</v>
      </c>
      <c r="B1174" t="inlineStr">
        <is>
          <t>persian noodle and bean soup   aash e reshteh</t>
        </is>
      </c>
      <c r="C1174" t="n">
        <v>298125</v>
      </c>
      <c r="D1174" s="4" t="n">
        <v>240</v>
      </c>
      <c r="E1174" s="1" t="n">
        <v>39551</v>
      </c>
      <c r="F1174" t="inlineStr">
        <is>
          <t>this thick soup of herbs, greens, legumes, grains, and noodles is cooked in a fried onion based liquid. it is customarily served as a starter before the actual meal is served. to serve, the soup is topped with creamy whey (kashk), fried onions with turmeric, lightly fried garlic, and fried mint. without the whey, the soup is actually completely vegan, which is quite nice.</t>
        </is>
      </c>
      <c r="G1174" t="n">
        <v>20</v>
      </c>
      <c r="H1174" t="n">
        <v>14400</v>
      </c>
      <c r="I1174">
        <f>D1174*60</f>
        <v/>
      </c>
      <c r="J1174">
        <f>COUNTIF(Отзывы!$D:$D, 298125)</f>
        <v/>
      </c>
    </row>
    <row r="1175">
      <c r="A1175" t="n">
        <v>12288</v>
      </c>
      <c r="B1175" t="inlineStr">
        <is>
          <t>gooseberry jam</t>
        </is>
      </c>
      <c r="C1175" t="n">
        <v>150584</v>
      </c>
      <c r="D1175" s="4" t="n">
        <v>75</v>
      </c>
      <c r="E1175" s="1" t="n">
        <v>38723</v>
      </c>
      <c r="F1175" t="inlineStr">
        <is>
          <t>art of preserving, jan berry</t>
        </is>
      </c>
      <c r="G1175" t="n">
        <v>4</v>
      </c>
      <c r="H1175" t="n">
        <v>4500</v>
      </c>
      <c r="I1175">
        <f>D1175*60</f>
        <v/>
      </c>
      <c r="J1175">
        <f>COUNTIF(Отзывы!$D:$D, 150584)</f>
        <v/>
      </c>
    </row>
    <row r="1176">
      <c r="A1176" t="n">
        <v>9989</v>
      </c>
      <c r="B1176" t="inlineStr">
        <is>
          <t>easy double chocolate nut clusters  crock pot</t>
        </is>
      </c>
      <c r="C1176" t="n">
        <v>472454</v>
      </c>
      <c r="D1176" s="4" t="n">
        <v>110</v>
      </c>
      <c r="E1176" s="1" t="n">
        <v>40927</v>
      </c>
      <c r="F1176" t="inlineStr">
        <is>
          <t>super simple, very decadent, this recipe makes a large batch and is great for parties or for giving as holiday treats. the recipe was originally clipped from "farm and home" magazine.</t>
        </is>
      </c>
      <c r="H1176" t="n">
        <v>6600</v>
      </c>
      <c r="I1176">
        <f>D1176*60</f>
        <v/>
      </c>
      <c r="J1176">
        <f>COUNTIF(Отзывы!$D:$D, 472454)</f>
        <v/>
      </c>
    </row>
    <row r="1177">
      <c r="A1177" t="n">
        <v>17889</v>
      </c>
      <c r="B1177" t="inlineStr">
        <is>
          <t>mock tapioca pudding</t>
        </is>
      </c>
      <c r="C1177" t="n">
        <v>58074</v>
      </c>
      <c r="D1177" s="4" t="n">
        <v>25</v>
      </c>
      <c r="E1177" s="1" t="n">
        <v>37715</v>
      </c>
      <c r="F1177" t="inlineStr">
        <is>
          <t>this is posted for a request. i have not tried it yet myself, but i have heard it is very good.</t>
        </is>
      </c>
      <c r="H1177" t="n">
        <v>1500</v>
      </c>
      <c r="I1177">
        <f>D1177*60</f>
        <v/>
      </c>
      <c r="J1177">
        <f>COUNTIF(Отзывы!$D:$D, 58074)</f>
        <v/>
      </c>
    </row>
    <row r="1178">
      <c r="A1178" t="n">
        <v>27885</v>
      </c>
      <c r="B1178" t="inlineStr">
        <is>
          <t>torshi lift</t>
        </is>
      </c>
      <c r="C1178" t="n">
        <v>26966</v>
      </c>
      <c r="D1178" s="4" t="n">
        <v>25</v>
      </c>
      <c r="E1178" s="1" t="n">
        <v>37376</v>
      </c>
      <c r="F1178" t="inlineStr">
        <is>
          <t>of all the pickles prepared in the middle east-and there are many of them - this is one of the most spectacular looking. a delight to serve with grilled and roasted meats. be patient and resist the temptation to open the jar before they are ready! once opened they will keep for 4-6 weeks in a cool place, if they last that long! from a favourite book the complete meze table.</t>
        </is>
      </c>
      <c r="G1178" t="n">
        <v>7</v>
      </c>
      <c r="H1178" t="n">
        <v>1500</v>
      </c>
      <c r="I1178">
        <f>D1178*60</f>
        <v/>
      </c>
      <c r="J1178">
        <f>COUNTIF(Отзывы!$D:$D, 26966)</f>
        <v/>
      </c>
    </row>
    <row r="1179" ht="409.5" customHeight="1">
      <c r="A1179" t="n">
        <v>10960</v>
      </c>
      <c r="B1179" t="inlineStr">
        <is>
          <t>fig   goat cheese nests</t>
        </is>
      </c>
      <c r="C1179" t="n">
        <v>475374</v>
      </c>
      <c r="D1179" s="4" t="n">
        <v>60</v>
      </c>
      <c r="E1179" s="1" t="n">
        <v>40969</v>
      </c>
      <c r="F1179" s="2" t="inlineStr">
        <is>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is>
      </c>
      <c r="H1179" t="n">
        <v>3600</v>
      </c>
      <c r="I1179">
        <f>D1179*60</f>
        <v/>
      </c>
      <c r="J1179">
        <f>COUNTIF(Отзывы!$D:$D, 475374)</f>
        <v/>
      </c>
    </row>
    <row r="1180">
      <c r="A1180" t="n">
        <v>3726</v>
      </c>
      <c r="B1180" t="inlineStr">
        <is>
          <t>breakfast skillet</t>
        </is>
      </c>
      <c r="C1180" t="n">
        <v>286346</v>
      </c>
      <c r="D1180" s="4" t="n">
        <v>40</v>
      </c>
      <c r="E1180" s="1" t="n">
        <v>39490</v>
      </c>
      <c r="F1180" t="inlineStr">
        <is>
          <t>inspired by a dish i enjoy at a restaurant. you can add or substitute other veggies you have around, or toss in some cooked crumbled bacon or sausage, etc.</t>
        </is>
      </c>
      <c r="H1180" t="n">
        <v>2400</v>
      </c>
      <c r="I1180">
        <f>D1180*60</f>
        <v/>
      </c>
      <c r="J1180">
        <f>COUNTIF(Отзывы!$D:$D, 286346)</f>
        <v/>
      </c>
    </row>
    <row r="1181">
      <c r="A1181" t="n">
        <v>173</v>
      </c>
      <c r="B1181" t="inlineStr">
        <is>
          <t>3 layered mexican dip</t>
        </is>
      </c>
      <c r="C1181" t="n">
        <v>122817</v>
      </c>
      <c r="D1181" s="4" t="n">
        <v>40</v>
      </c>
      <c r="E1181" s="1" t="n">
        <v>38490</v>
      </c>
      <c r="F1181" t="inlineStr">
        <is>
          <t>this recipe is really good and simple. i make it for all kinds of parties and it's always all gone by the time we go home.</t>
        </is>
      </c>
      <c r="G1181" t="n">
        <v>5</v>
      </c>
      <c r="H1181" t="n">
        <v>2400</v>
      </c>
      <c r="I1181">
        <f>D1181*60</f>
        <v/>
      </c>
      <c r="J1181">
        <f>COUNTIF(Отзывы!$D:$D, 122817)</f>
        <v/>
      </c>
    </row>
    <row r="1182">
      <c r="A1182" t="n">
        <v>28003</v>
      </c>
      <c r="B1182" t="inlineStr">
        <is>
          <t>triple treat appetizers</t>
        </is>
      </c>
      <c r="C1182" t="n">
        <v>209678</v>
      </c>
      <c r="D1182" s="4" t="n">
        <v>15</v>
      </c>
      <c r="E1182" s="1" t="n">
        <v>39119</v>
      </c>
      <c r="F1182" t="inlineStr">
        <is>
          <t>yet another recipe from better homes and gardens 'so good with fruit' cookbook. not a lot of people like chicken livers, but for those who do, here you go! preparation &amp; cooking time does not include the cooked meatballs, shrimp or chicken livers.</t>
        </is>
      </c>
      <c r="G1182" t="n">
        <v>11</v>
      </c>
      <c r="H1182" t="n">
        <v>900</v>
      </c>
      <c r="I1182">
        <f>D1182*60</f>
        <v/>
      </c>
      <c r="J1182">
        <f>COUNTIF(Отзывы!$D:$D, 209678)</f>
        <v/>
      </c>
    </row>
    <row r="1183">
      <c r="A1183" t="n">
        <v>3951</v>
      </c>
      <c r="B1183" t="inlineStr">
        <is>
          <t>brown sugar scones</t>
        </is>
      </c>
      <c r="C1183" t="n">
        <v>473172</v>
      </c>
      <c r="D1183" s="4" t="n">
        <v>30</v>
      </c>
      <c r="E1183" s="1" t="n">
        <v>40936</v>
      </c>
      <c r="F1183" t="inlineStr">
        <is>
          <t>a recipe i found in my catalogue from king arthur flour.  the recipes states "this traditional british scone is an ideal tea-time treat when served with clotted cream or butter and jam.   it states to use their white whole wheat flour, but i just use all purpose flour.  i made the walnuts and raisins optional, depending on your families tastes.</t>
        </is>
      </c>
      <c r="G1183" t="n">
        <v>13</v>
      </c>
      <c r="H1183" t="n">
        <v>1800</v>
      </c>
      <c r="I1183">
        <f>D1183*60</f>
        <v/>
      </c>
      <c r="J1183">
        <f>COUNTIF(Отзывы!$D:$D, 473172)</f>
        <v/>
      </c>
    </row>
    <row r="1184">
      <c r="A1184" t="n">
        <v>12747</v>
      </c>
      <c r="B1184" t="inlineStr">
        <is>
          <t>green rice  cheesy broccoli rice</t>
        </is>
      </c>
      <c r="C1184" t="n">
        <v>397117</v>
      </c>
      <c r="D1184" s="4" t="n">
        <v>40</v>
      </c>
      <c r="E1184" s="1" t="n">
        <v>40116</v>
      </c>
      <c r="F1184" t="inlineStr">
        <is>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is>
      </c>
      <c r="G1184" t="n">
        <v>9</v>
      </c>
      <c r="H1184" t="n">
        <v>2400</v>
      </c>
      <c r="I1184">
        <f>D1184*60</f>
        <v/>
      </c>
      <c r="J1184">
        <f>COUNTIF(Отзывы!$D:$D, 397117)</f>
        <v/>
      </c>
    </row>
    <row r="1185">
      <c r="A1185" t="n">
        <v>5656</v>
      </c>
      <c r="B1185" t="inlineStr">
        <is>
          <t>chicken biscuit bake</t>
        </is>
      </c>
      <c r="C1185" t="n">
        <v>89267</v>
      </c>
      <c r="D1185" s="4" t="n">
        <v>60</v>
      </c>
      <c r="E1185" s="1" t="n">
        <v>38094</v>
      </c>
      <c r="F1185" t="inlineStr">
        <is>
          <t>utterly scrumptious!!! i made this for friends we had over for supper. they ranted and raved at the wonderful taste. it's truly an easy, easy recipe to make the the taste is out of this world.</t>
        </is>
      </c>
      <c r="G1185" t="n">
        <v>16</v>
      </c>
      <c r="H1185" t="n">
        <v>3600</v>
      </c>
      <c r="I1185">
        <f>D1185*60</f>
        <v/>
      </c>
      <c r="J1185">
        <f>COUNTIF(Отзывы!$D:$D, 89267)</f>
        <v/>
      </c>
    </row>
    <row r="1186">
      <c r="A1186" t="n">
        <v>2130</v>
      </c>
      <c r="B1186" t="inlineStr">
        <is>
          <t>banana cream cheese stuffed french toast</t>
        </is>
      </c>
      <c r="C1186" t="n">
        <v>417392</v>
      </c>
      <c r="D1186" s="4" t="n">
        <v>30</v>
      </c>
      <c r="E1186" s="1" t="n">
        <v>40259</v>
      </c>
      <c r="F1186" t="inlineStr">
        <is>
          <t>resteraunt style breakfast!!! beautiful and yummy. :)</t>
        </is>
      </c>
      <c r="G1186" t="n">
        <v>10</v>
      </c>
      <c r="H1186" t="n">
        <v>1800</v>
      </c>
      <c r="I1186">
        <f>D1186*60</f>
        <v/>
      </c>
      <c r="J1186">
        <f>COUNTIF(Отзывы!$D:$D, 417392)</f>
        <v/>
      </c>
    </row>
    <row r="1187">
      <c r="A1187" t="n">
        <v>7666</v>
      </c>
      <c r="B1187" t="inlineStr">
        <is>
          <t>cornmeal crusted oven fried chicken</t>
        </is>
      </c>
      <c r="C1187" t="n">
        <v>513947</v>
      </c>
      <c r="D1187" s="4" t="n">
        <v>80</v>
      </c>
      <c r="E1187" s="1" t="n">
        <v>41701</v>
      </c>
      <c r="F1187" t="inlineStr">
        <is>
          <t>this has a really nice crispy, flavorful crust...it originated from gourmet magazine...enjoy! cooking time does not include marinating time...</t>
        </is>
      </c>
      <c r="G1187" t="n">
        <v>18</v>
      </c>
      <c r="H1187" t="n">
        <v>4800</v>
      </c>
      <c r="I1187">
        <f>D1187*60</f>
        <v/>
      </c>
      <c r="J1187">
        <f>COUNTIF(Отзывы!$D:$D, 513947)</f>
        <v/>
      </c>
    </row>
    <row r="1188">
      <c r="A1188" t="n">
        <v>21079</v>
      </c>
      <c r="B1188" t="inlineStr">
        <is>
          <t>pollo al colmao  cuban chicken stew with olives</t>
        </is>
      </c>
      <c r="C1188" t="n">
        <v>466765</v>
      </c>
      <c r="D1188" s="4" t="n">
        <v>90</v>
      </c>
      <c r="E1188" s="1" t="n">
        <v>40843</v>
      </c>
      <c r="F1188" t="inlineStr">
        <is>
          <t>this wonderful recipe is from el colmao in koreatown, los angeles, california. the restaurant serves the chicken with rice and black beans.</t>
        </is>
      </c>
      <c r="H1188" t="n">
        <v>5400</v>
      </c>
      <c r="I1188">
        <f>D1188*60</f>
        <v/>
      </c>
      <c r="J1188">
        <f>COUNTIF(Отзывы!$D:$D, 466765)</f>
        <v/>
      </c>
    </row>
    <row r="1189">
      <c r="A1189" t="n">
        <v>17808</v>
      </c>
      <c r="B1189" t="inlineStr">
        <is>
          <t>miso fish with snow peas salad</t>
        </is>
      </c>
      <c r="C1189" t="n">
        <v>445739</v>
      </c>
      <c r="D1189" s="4" t="n">
        <v>15</v>
      </c>
      <c r="E1189" s="1" t="n">
        <v>40548</v>
      </c>
      <c r="F1189" t="inlineStr">
        <is>
          <t>a lovely refreshing dish from recipe+</t>
        </is>
      </c>
      <c r="H1189" t="n">
        <v>900</v>
      </c>
      <c r="I1189">
        <f>D1189*60</f>
        <v/>
      </c>
      <c r="J1189">
        <f>COUNTIF(Отзывы!$D:$D, 445739)</f>
        <v/>
      </c>
    </row>
    <row r="1190">
      <c r="A1190" t="n">
        <v>11990</v>
      </c>
      <c r="B1190" t="inlineStr">
        <is>
          <t>ginger braised seitan</t>
        </is>
      </c>
      <c r="C1190" t="n">
        <v>276754</v>
      </c>
      <c r="D1190" s="4" t="n">
        <v>40</v>
      </c>
      <c r="E1190" s="1" t="n">
        <v>39454</v>
      </c>
      <c r="F1190" t="inlineStr">
        <is>
          <t>a warm and hearty meal, full of ginger.  i made this to mimic a non-vegetarian dish that a friend had in a vietnamese restaurant.  serve it with rice to absorb all the juices.</t>
        </is>
      </c>
      <c r="G1190" t="n">
        <v>12</v>
      </c>
      <c r="H1190" t="n">
        <v>2400</v>
      </c>
      <c r="I1190">
        <f>D1190*60</f>
        <v/>
      </c>
      <c r="J1190">
        <f>COUNTIF(Отзывы!$D:$D, 276754)</f>
        <v/>
      </c>
    </row>
    <row r="1191">
      <c r="A1191" t="n">
        <v>29347</v>
      </c>
      <c r="B1191" t="inlineStr">
        <is>
          <t>whole wheat beer bread recipe   vegan</t>
        </is>
      </c>
      <c r="C1191" t="n">
        <v>327861</v>
      </c>
      <c r="D1191" s="4" t="n">
        <v>65</v>
      </c>
      <c r="E1191" s="1" t="n">
        <v>39720</v>
      </c>
      <c r="F1191" t="inlineStr">
        <is>
          <t>very simple, tasty recipe for beer bread - with no animal products in it!  the flavor of the bread depends on the type of beer you use, so use the good stuff!</t>
        </is>
      </c>
      <c r="H1191" t="n">
        <v>3900</v>
      </c>
      <c r="I1191">
        <f>D1191*60</f>
        <v/>
      </c>
      <c r="J1191">
        <f>COUNTIF(Отзывы!$D:$D, 327861)</f>
        <v/>
      </c>
    </row>
    <row r="1192">
      <c r="A1192" t="n">
        <v>25785</v>
      </c>
      <c r="B1192" t="inlineStr">
        <is>
          <t>st  martin s champagne brie soup</t>
        </is>
      </c>
      <c r="C1192" t="n">
        <v>419935</v>
      </c>
      <c r="D1192" s="4" t="n">
        <v>30</v>
      </c>
      <c r="E1192" s="1" t="n">
        <v>40280</v>
      </c>
      <c r="F1192" t="inlineStr">
        <is>
          <t>st. martin's, and their sister restaurant, arthurs steak house are my two favorite, quiet, romantic, restaurants in dallas. this champagne brie soup is one of their signature items.  it is like velvet.  it is so easy!  st. martin's is also nice enough to post the recipe on their web site! i wanted to be sure that i posted it and "advertised" it here too, so that even folks who do not live in dallas can enjoy it!</t>
        </is>
      </c>
      <c r="G1192" t="n">
        <v>6</v>
      </c>
      <c r="H1192" t="n">
        <v>1800</v>
      </c>
      <c r="I1192">
        <f>D1192*60</f>
        <v/>
      </c>
      <c r="J1192">
        <f>COUNTIF(Отзывы!$D:$D, 419935)</f>
        <v/>
      </c>
    </row>
    <row r="1193">
      <c r="A1193" t="n">
        <v>21765</v>
      </c>
      <c r="B1193" t="inlineStr">
        <is>
          <t>pumpkin spice sugar cookies</t>
        </is>
      </c>
      <c r="C1193" t="n">
        <v>133186</v>
      </c>
      <c r="D1193" s="4" t="n">
        <v>48</v>
      </c>
      <c r="E1193" s="1" t="n">
        <v>38575</v>
      </c>
      <c r="F1193" t="inlineStr">
        <is>
          <t>from my mom's gooseberry patch flavors of fall. haven't tried these yet.</t>
        </is>
      </c>
      <c r="G1193" t="n">
        <v>7</v>
      </c>
      <c r="H1193" t="n">
        <v>2880</v>
      </c>
      <c r="I1193">
        <f>D1193*60</f>
        <v/>
      </c>
      <c r="J1193">
        <f>COUNTIF(Отзывы!$D:$D, 133186)</f>
        <v/>
      </c>
    </row>
    <row r="1194">
      <c r="A1194" t="n">
        <v>6841</v>
      </c>
      <c r="B1194" t="inlineStr">
        <is>
          <t>chocolava cookies</t>
        </is>
      </c>
      <c r="C1194" t="n">
        <v>219214</v>
      </c>
      <c r="D1194" s="4" t="n">
        <v>32</v>
      </c>
      <c r="E1194" s="1" t="n">
        <v>39168</v>
      </c>
      <c r="F1194" t="inlineStr">
        <is>
          <t>this fudgy cookie, names for its cracked, lava-like appearance, is a chocolate lover's dream. i made these this past weekend, for my craft nite get-together. there wasn't any left over for my late night snacking. i hope you enjoy these cookies.</t>
        </is>
      </c>
      <c r="G1194" t="n">
        <v>10</v>
      </c>
      <c r="H1194" t="n">
        <v>1920</v>
      </c>
      <c r="I1194">
        <f>D1194*60</f>
        <v/>
      </c>
      <c r="J1194">
        <f>COUNTIF(Отзывы!$D:$D, 219214)</f>
        <v/>
      </c>
    </row>
    <row r="1195">
      <c r="A1195" t="n">
        <v>11297</v>
      </c>
      <c r="B1195" t="inlineStr">
        <is>
          <t>french pecan pie ii</t>
        </is>
      </c>
      <c r="C1195" t="n">
        <v>318</v>
      </c>
      <c r="D1195" s="4" t="n">
        <v>55</v>
      </c>
      <c r="E1195" s="1" t="n">
        <v>36420</v>
      </c>
      <c r="F1195" t="inlineStr">
        <is>
          <t>much lower  in calories than usual pecan pie! but only if you get there  before i do.</t>
        </is>
      </c>
      <c r="G1195" t="n">
        <v>6</v>
      </c>
      <c r="H1195" t="n">
        <v>3300</v>
      </c>
      <c r="I1195">
        <f>D1195*60</f>
        <v/>
      </c>
      <c r="J1195">
        <f>COUNTIF(Отзывы!$D:$D, 318)</f>
        <v/>
      </c>
    </row>
    <row r="1196">
      <c r="A1196" t="n">
        <v>2210</v>
      </c>
      <c r="B1196" t="inlineStr">
        <is>
          <t>banana tea</t>
        </is>
      </c>
      <c r="C1196" t="n">
        <v>520230</v>
      </c>
      <c r="D1196" s="4" t="n">
        <v>15</v>
      </c>
      <c r="E1196" s="1" t="n">
        <v>42001</v>
      </c>
      <c r="F1196" t="inlineStr">
        <is>
          <t>if you find yourself unable to stay asleep, try this banana-infused tea as a bedtime snack. found this on the dr. oz website: http://www.doctoroz.com/recipe/banana-tea</t>
        </is>
      </c>
      <c r="G1196" t="n">
        <v>3</v>
      </c>
      <c r="H1196" t="n">
        <v>900</v>
      </c>
      <c r="I1196">
        <f>D1196*60</f>
        <v/>
      </c>
      <c r="J1196">
        <f>COUNTIF(Отзывы!$D:$D, 520230)</f>
        <v/>
      </c>
    </row>
    <row r="1197">
      <c r="A1197" t="n">
        <v>15076</v>
      </c>
      <c r="B1197" t="inlineStr">
        <is>
          <t>julia child s asparagus simmered in onions  garlic  and lemon</t>
        </is>
      </c>
      <c r="C1197" t="n">
        <v>403650</v>
      </c>
      <c r="D1197" s="4" t="n">
        <v>55</v>
      </c>
      <c r="E1197" s="1" t="n">
        <v>40161</v>
      </c>
      <c r="F1197" t="inlineStr">
        <is>
          <t>this recipe is based on one found in "from julia child's kitchen". it may be served either hot or cold.</t>
        </is>
      </c>
      <c r="G1197" t="n">
        <v>13</v>
      </c>
      <c r="H1197" t="n">
        <v>3300</v>
      </c>
      <c r="I1197">
        <f>D1197*60</f>
        <v/>
      </c>
      <c r="J1197">
        <f>COUNTIF(Отзывы!$D:$D, 403650)</f>
        <v/>
      </c>
    </row>
    <row r="1198">
      <c r="A1198" t="n">
        <v>25622</v>
      </c>
      <c r="B1198" t="inlineStr">
        <is>
          <t>spinach cheese bake</t>
        </is>
      </c>
      <c r="C1198" t="n">
        <v>225392</v>
      </c>
      <c r="D1198" s="4" t="n">
        <v>50</v>
      </c>
      <c r="E1198" s="1" t="n">
        <v>39202</v>
      </c>
      <c r="F1198" t="inlineStr">
        <is>
          <t>from cooking light, a healthy casserole.</t>
        </is>
      </c>
      <c r="G1198" t="n">
        <v>13</v>
      </c>
      <c r="H1198" t="n">
        <v>3000</v>
      </c>
      <c r="I1198">
        <f>D1198*60</f>
        <v/>
      </c>
      <c r="J1198">
        <f>COUNTIF(Отзывы!$D:$D, 225392)</f>
        <v/>
      </c>
    </row>
    <row r="1199">
      <c r="A1199" t="n">
        <v>14192</v>
      </c>
      <c r="B1199" t="inlineStr">
        <is>
          <t>hot crab fondue</t>
        </is>
      </c>
      <c r="C1199" t="n">
        <v>82643</v>
      </c>
      <c r="D1199" s="4" t="n">
        <v>25</v>
      </c>
      <c r="E1199" s="1" t="n">
        <v>38017</v>
      </c>
      <c r="F1199" t="inlineStr">
        <is>
          <t>this is just about the most perfect fondue. you will need a fondue pot for this recipe.</t>
        </is>
      </c>
      <c r="G1199" t="n">
        <v>13</v>
      </c>
      <c r="H1199" t="n">
        <v>1500</v>
      </c>
      <c r="I1199">
        <f>D1199*60</f>
        <v/>
      </c>
      <c r="J1199">
        <f>COUNTIF(Отзывы!$D:$D, 82643)</f>
        <v/>
      </c>
    </row>
    <row r="1200">
      <c r="A1200" t="n">
        <v>26256</v>
      </c>
      <c r="B1200" t="inlineStr">
        <is>
          <t>sugar free crock pot apple butter</t>
        </is>
      </c>
      <c r="C1200" t="n">
        <v>204126</v>
      </c>
      <c r="D1200" s="4" t="n">
        <v>510</v>
      </c>
      <c r="E1200" s="1" t="n">
        <v>39090</v>
      </c>
      <c r="F1200" t="inlineStr">
        <is>
          <t>another graham kerr wonder! from his cookbook "simply splenda".  in his words, "this is dense, thick and dark brown, just like my grandmother made. the apple peels are left on to add pectin."  **** cooks note: apple butter can be used in baking - can replace up to 1/2 of the shortening in many recipes. add with the liquid ingredients. you may need to reduce sugar in recipes since the apple butter is already sweetened.  .  p.s. it's also wonderful on plain old toast or waffles!</t>
        </is>
      </c>
      <c r="G1200" t="n">
        <v>5</v>
      </c>
      <c r="H1200" t="n">
        <v>30600</v>
      </c>
      <c r="I1200">
        <f>D1200*60</f>
        <v/>
      </c>
      <c r="J1200">
        <f>COUNTIF(Отзывы!$D:$D, 204126)</f>
        <v/>
      </c>
    </row>
    <row r="1201">
      <c r="A1201" t="n">
        <v>7480</v>
      </c>
      <c r="B1201" t="inlineStr">
        <is>
          <t>cookie dough chocolate truffles</t>
        </is>
      </c>
      <c r="C1201" t="n">
        <v>321421</v>
      </c>
      <c r="D1201" s="4" t="n">
        <v>35</v>
      </c>
      <c r="E1201" s="1" t="n">
        <v>39686</v>
      </c>
      <c r="F1201" t="inlineStr">
        <is>
          <t>i saw this on an episode of paula deen and they looked so good! i love to eat cookie dough. the pecans can be optional, i personally don't like nuts, and for those that are allergic they can be omitted.</t>
        </is>
      </c>
      <c r="H1201" t="n">
        <v>2100</v>
      </c>
      <c r="I1201">
        <f>D1201*60</f>
        <v/>
      </c>
      <c r="J1201">
        <f>COUNTIF(Отзывы!$D:$D, 321421)</f>
        <v/>
      </c>
    </row>
    <row r="1202">
      <c r="A1202" t="n">
        <v>2196</v>
      </c>
      <c r="B1202" t="inlineStr">
        <is>
          <t>banana split bites</t>
        </is>
      </c>
      <c r="C1202" t="n">
        <v>514820</v>
      </c>
      <c r="D1202" s="4" t="n">
        <v>65</v>
      </c>
      <c r="E1202" s="1" t="n">
        <v>41723</v>
      </c>
      <c r="F1202" t="inlineStr">
        <is>
          <t>hungry girl find</t>
        </is>
      </c>
      <c r="H1202" t="n">
        <v>3900</v>
      </c>
      <c r="I1202">
        <f>D1202*60</f>
        <v/>
      </c>
      <c r="J1202">
        <f>COUNTIF(Отзывы!$D:$D, 514820)</f>
        <v/>
      </c>
    </row>
    <row r="1203">
      <c r="A1203" t="n">
        <v>12126</v>
      </c>
      <c r="B1203" t="inlineStr">
        <is>
          <t>gluten free  dairy free millet fruit scones</t>
        </is>
      </c>
      <c r="C1203" t="n">
        <v>351588</v>
      </c>
      <c r="D1203" s="4" t="n">
        <v>30</v>
      </c>
      <c r="E1203" s="1" t="n">
        <v>39836</v>
      </c>
      <c r="F1203" t="inlineStr">
        <is>
          <t>these scones do justice to the subtile, slightly sweet taste of millet  flour because there's no extra sugar or spices added. despite being whole grain, their texture is pleasantly light. this recipe was inspired by kimberly harris' buttermilk millet drop biscuit recipe.</t>
        </is>
      </c>
      <c r="H1203" t="n">
        <v>1800</v>
      </c>
      <c r="I1203">
        <f>D1203*60</f>
        <v/>
      </c>
      <c r="J1203">
        <f>COUNTIF(Отзывы!$D:$D, 351588)</f>
        <v/>
      </c>
    </row>
    <row r="1204">
      <c r="A1204" t="n">
        <v>28096</v>
      </c>
      <c r="B1204" t="inlineStr">
        <is>
          <t>tuna and rice supper pie</t>
        </is>
      </c>
      <c r="C1204" t="n">
        <v>182566</v>
      </c>
      <c r="D1204" s="4" t="n">
        <v>30</v>
      </c>
      <c r="E1204" s="1" t="n">
        <v>38953</v>
      </c>
      <c r="F1204" t="inlineStr">
        <is>
          <t>great make ahead dish for a hot summer dinner!</t>
        </is>
      </c>
      <c r="G1204" t="n">
        <v>9</v>
      </c>
      <c r="H1204" t="n">
        <v>1800</v>
      </c>
      <c r="I1204">
        <f>D1204*60</f>
        <v/>
      </c>
      <c r="J1204">
        <f>COUNTIF(Отзывы!$D:$D, 182566)</f>
        <v/>
      </c>
    </row>
    <row r="1205">
      <c r="A1205" t="n">
        <v>3208</v>
      </c>
      <c r="B1205" t="inlineStr">
        <is>
          <t>black eyed pea hummus</t>
        </is>
      </c>
      <c r="C1205" t="n">
        <v>128520</v>
      </c>
      <c r="D1205" s="6" t="n">
        <v>10</v>
      </c>
      <c r="E1205" s="1" t="n">
        <v>38536</v>
      </c>
      <c r="F1205" t="inlineStr">
        <is>
          <t>i found this in a chicago tribune article on ways of adding fiber to your diet.  i adjusted it a bit to suit my family and we were really pleased with the results.  we like hummus with trader joe's italian crackers but this is great with whatever you like to dip into your hummus!</t>
        </is>
      </c>
      <c r="H1205" t="n">
        <v>600</v>
      </c>
      <c r="I1205">
        <f>D1205*60</f>
        <v/>
      </c>
      <c r="J1205">
        <f>COUNTIF(Отзывы!$D:$D, 128520)</f>
        <v/>
      </c>
    </row>
    <row r="1206">
      <c r="A1206" t="n">
        <v>3925</v>
      </c>
      <c r="B1206" t="inlineStr">
        <is>
          <t>brown rice milk</t>
        </is>
      </c>
      <c r="C1206" t="n">
        <v>386601</v>
      </c>
      <c r="D1206" s="4" t="n">
        <v>180</v>
      </c>
      <c r="E1206" s="1" t="n">
        <v>40049</v>
      </c>
      <c r="F1206" t="inlineStr">
        <is>
          <t>simple, easy and very inexpensive, this is better than the store bought stuff, in my opinion. adapted from the vegetarian mother's cookbook to suit our tastes.</t>
        </is>
      </c>
      <c r="G1206" t="n">
        <v>6</v>
      </c>
      <c r="H1206" t="n">
        <v>10800</v>
      </c>
      <c r="I1206">
        <f>D1206*60</f>
        <v/>
      </c>
      <c r="J1206">
        <f>COUNTIF(Отзывы!$D:$D, 386601)</f>
        <v/>
      </c>
    </row>
    <row r="1207">
      <c r="A1207" t="n">
        <v>27501</v>
      </c>
      <c r="B1207" t="inlineStr">
        <is>
          <t>the realtor s parmesan salad dressing</t>
        </is>
      </c>
      <c r="C1207" t="n">
        <v>403051</v>
      </c>
      <c r="D1207" s="6" t="n">
        <v>5</v>
      </c>
      <c r="E1207" s="1" t="n">
        <v>40156</v>
      </c>
      <c r="F1207" t="inlineStr">
        <is>
          <t>what a great dressing this one is.  it's very thick and almost like a dip.  to thin it down, i add a little bit of milk until i get it to the consistency i like.  you can do the same thing and make it just the way you like it- thick or thin- you choose.</t>
        </is>
      </c>
      <c r="G1207" t="n">
        <v>7</v>
      </c>
      <c r="H1207" t="n">
        <v>300</v>
      </c>
      <c r="I1207">
        <f>D1207*60</f>
        <v/>
      </c>
      <c r="J1207">
        <f>COUNTIF(Отзывы!$D:$D, 403051)</f>
        <v/>
      </c>
    </row>
    <row r="1208">
      <c r="A1208" t="n">
        <v>7351</v>
      </c>
      <c r="B1208" t="inlineStr">
        <is>
          <t>coffee filbert ice cream</t>
        </is>
      </c>
      <c r="C1208" t="n">
        <v>97420</v>
      </c>
      <c r="D1208" s="4" t="n">
        <v>150</v>
      </c>
      <c r="E1208" s="1" t="n">
        <v>38209</v>
      </c>
      <c r="F1208" t="inlineStr">
        <is>
          <t>a wonderful desert for coffee lovers.  although i haven't made this yet, i think it will be delicious with a rich chocolate cake! prep time includes chilling time (2 hours) but not freezing time. processing time is included with cook time. recipe source: bon appetit (march 1980)</t>
        </is>
      </c>
      <c r="G1208" t="n">
        <v>7</v>
      </c>
      <c r="H1208" t="n">
        <v>9000</v>
      </c>
      <c r="I1208">
        <f>D1208*60</f>
        <v/>
      </c>
      <c r="J1208">
        <f>COUNTIF(Отзывы!$D:$D, 97420)</f>
        <v/>
      </c>
    </row>
    <row r="1209">
      <c r="A1209" t="n">
        <v>25663</v>
      </c>
      <c r="B1209" t="inlineStr">
        <is>
          <t>spinach salad with fresh summer berries</t>
        </is>
      </c>
      <c r="C1209" t="n">
        <v>133271</v>
      </c>
      <c r="D1209" s="4" t="n">
        <v>15</v>
      </c>
      <c r="E1209" s="1" t="n">
        <v>38575</v>
      </c>
      <c r="F1209" t="inlineStr">
        <is>
          <t>totally non-fat and very nutritious, with a honey-mustard dressing. the surprise flavor is curry in the dressing! use baby spinach or whole-leaf spinach, washed &amp; sliced.</t>
        </is>
      </c>
      <c r="G1209" t="n">
        <v>10</v>
      </c>
      <c r="H1209" t="n">
        <v>900</v>
      </c>
      <c r="I1209">
        <f>D1209*60</f>
        <v/>
      </c>
      <c r="J1209">
        <f>COUNTIF(Отзывы!$D:$D, 133271)</f>
        <v/>
      </c>
    </row>
    <row r="1210">
      <c r="A1210" t="n">
        <v>7086</v>
      </c>
      <c r="B1210" t="inlineStr">
        <is>
          <t>cinnamon walnut bundt cake</t>
        </is>
      </c>
      <c r="C1210" t="n">
        <v>68589</v>
      </c>
      <c r="D1210" s="4" t="n">
        <v>70</v>
      </c>
      <c r="E1210" s="1" t="n">
        <v>37841</v>
      </c>
      <c r="F1210" t="inlineStr">
        <is>
          <t>this is a wonderful moist bundt cake, that rises nicely.</t>
        </is>
      </c>
      <c r="H1210" t="n">
        <v>4200</v>
      </c>
      <c r="I1210">
        <f>D1210*60</f>
        <v/>
      </c>
      <c r="J1210">
        <f>COUNTIF(Отзывы!$D:$D, 68589)</f>
        <v/>
      </c>
    </row>
    <row r="1211">
      <c r="A1211" t="n">
        <v>1222</v>
      </c>
      <c r="B1211" t="inlineStr">
        <is>
          <t>asian grilled salmon   low carb   fabulous</t>
        </is>
      </c>
      <c r="C1211" t="n">
        <v>135757</v>
      </c>
      <c r="D1211" s="4" t="n">
        <v>20</v>
      </c>
      <c r="E1211" s="1" t="n">
        <v>38595</v>
      </c>
      <c r="F1211" t="inlineStr">
        <is>
          <t>this amazing recipe was shared on a low-carb (diabretic lifestyle) group i'm part of. we love this!</t>
        </is>
      </c>
      <c r="H1211" t="n">
        <v>1200</v>
      </c>
      <c r="I1211">
        <f>D1211*60</f>
        <v/>
      </c>
      <c r="J1211">
        <f>COUNTIF(Отзывы!$D:$D, 135757)</f>
        <v/>
      </c>
    </row>
    <row r="1212">
      <c r="A1212" t="n">
        <v>2322</v>
      </c>
      <c r="B1212" t="inlineStr">
        <is>
          <t>barefoot contessa pb choc chunk cookies</t>
        </is>
      </c>
      <c r="C1212" t="n">
        <v>363421</v>
      </c>
      <c r="D1212" s="4" t="n">
        <v>47</v>
      </c>
      <c r="E1212" s="1" t="n">
        <v>39901</v>
      </c>
      <c r="F1212" t="inlineStr">
        <is>
          <t>from ina garten's parties book.</t>
        </is>
      </c>
      <c r="H1212" t="n">
        <v>2820</v>
      </c>
      <c r="I1212">
        <f>D1212*60</f>
        <v/>
      </c>
      <c r="J1212">
        <f>COUNTIF(Отзывы!$D:$D, 363421)</f>
        <v/>
      </c>
    </row>
    <row r="1213">
      <c r="A1213" t="n">
        <v>6782</v>
      </c>
      <c r="B1213" t="inlineStr">
        <is>
          <t>chocolate toffee crunch candy</t>
        </is>
      </c>
      <c r="C1213" t="n">
        <v>321493</v>
      </c>
      <c r="D1213" s="4" t="n">
        <v>20</v>
      </c>
      <c r="E1213" s="1" t="n">
        <v>39686</v>
      </c>
      <c r="F1213" t="inlineStr">
        <is>
          <t>the name says it all! very simple to make and so delicious! a great topping or ingredient to add to ice cream!</t>
        </is>
      </c>
      <c r="G1213" t="n">
        <v>4</v>
      </c>
      <c r="H1213" t="n">
        <v>1200</v>
      </c>
      <c r="I1213">
        <f>D1213*60</f>
        <v/>
      </c>
      <c r="J1213">
        <f>COUNTIF(Отзывы!$D:$D, 321493)</f>
        <v/>
      </c>
    </row>
    <row r="1214">
      <c r="A1214" t="n">
        <v>16790</v>
      </c>
      <c r="B1214" t="inlineStr">
        <is>
          <t>makeover ranch ham  n  cheese pasta</t>
        </is>
      </c>
      <c r="C1214" t="n">
        <v>169172</v>
      </c>
      <c r="D1214" s="4" t="n">
        <v>25</v>
      </c>
      <c r="E1214" s="1" t="n">
        <v>38859</v>
      </c>
      <c r="F1214" t="inlineStr">
        <is>
          <t>a lighter version of ranch ham 'n' cheese pasta.</t>
        </is>
      </c>
      <c r="G1214" t="n">
        <v>16</v>
      </c>
      <c r="H1214" t="n">
        <v>1500</v>
      </c>
      <c r="I1214">
        <f>D1214*60</f>
        <v/>
      </c>
      <c r="J1214">
        <f>COUNTIF(Отзывы!$D:$D, 169172)</f>
        <v/>
      </c>
    </row>
    <row r="1215">
      <c r="A1215" t="n">
        <v>18758</v>
      </c>
      <c r="B1215" t="inlineStr">
        <is>
          <t>no brainer garlic cheese pasta</t>
        </is>
      </c>
      <c r="C1215" t="n">
        <v>52645</v>
      </c>
      <c r="D1215" s="6" t="n">
        <v>6</v>
      </c>
      <c r="E1215" s="1" t="n">
        <v>37650</v>
      </c>
      <c r="F1215" t="inlineStr">
        <is>
          <t>this is a quick and easy pasta recipe, which you can whizz up when you crawl in from work and cannot really be bothered to cook. the actual quatities are not crucial. with fresh pasta it should take about 5 minutes to make (adjust cooking times for dried pasta).</t>
        </is>
      </c>
      <c r="H1215" t="n">
        <v>360</v>
      </c>
      <c r="I1215">
        <f>D1215*60</f>
        <v/>
      </c>
      <c r="J1215">
        <f>COUNTIF(Отзывы!$D:$D, 52645)</f>
        <v/>
      </c>
    </row>
    <row r="1216">
      <c r="A1216" t="n">
        <v>5888</v>
      </c>
      <c r="B1216" t="inlineStr">
        <is>
          <t>chicken pasta salad</t>
        </is>
      </c>
      <c r="C1216" t="n">
        <v>80164</v>
      </c>
      <c r="D1216" s="4" t="n">
        <v>40</v>
      </c>
      <c r="E1216" s="1" t="n">
        <v>37991</v>
      </c>
      <c r="F1216" t="inlineStr">
        <is>
          <t>are you as tired of all the cream cheese and sour cream dishes as i am this holiday season?  looking for something light? try this recipe! no cream cheese, sour cream or mayo in sight! this recipe comes from the light &amp; tasty magazine. i had to post it because it is fantastic! i loved it! you should try it if you need a break (like i did) and want something light! this does the trick! (i sometimes double the dressing!)</t>
        </is>
      </c>
      <c r="H1216" t="n">
        <v>2400</v>
      </c>
      <c r="I1216">
        <f>D1216*60</f>
        <v/>
      </c>
      <c r="J1216">
        <f>COUNTIF(Отзывы!$D:$D, 80164)</f>
        <v/>
      </c>
    </row>
    <row r="1217" ht="409.5" customHeight="1">
      <c r="A1217" t="n">
        <v>3347</v>
      </c>
      <c r="B1217" t="inlineStr">
        <is>
          <t>blue moon  cosmo martini</t>
        </is>
      </c>
      <c r="C1217" t="n">
        <v>237000</v>
      </c>
      <c r="D1217" s="6" t="n">
        <v>5</v>
      </c>
      <c r="E1217" s="1" t="n">
        <v>39258</v>
      </c>
      <c r="F1217" s="2" t="inlineStr">
        <is>
          <t>don't wait for the next blue moon when you can have this._x000D_
and you will have this more then once in a blue moon!_x000D_
making the drink this way makes it more enjoyable for the guys so they don't have to drink a pink drink!</t>
        </is>
      </c>
      <c r="G1217" t="n">
        <v>5</v>
      </c>
      <c r="H1217" t="n">
        <v>300</v>
      </c>
      <c r="I1217">
        <f>D1217*60</f>
        <v/>
      </c>
      <c r="J1217">
        <f>COUNTIF(Отзывы!$D:$D, 237000)</f>
        <v/>
      </c>
    </row>
    <row r="1218">
      <c r="A1218" t="n">
        <v>4520</v>
      </c>
      <c r="B1218" t="inlineStr">
        <is>
          <t>canadian bacon split pea   lentil soup  crock pot</t>
        </is>
      </c>
      <c r="C1218" t="n">
        <v>196766</v>
      </c>
      <c r="D1218" s="4" t="n">
        <v>250</v>
      </c>
      <c r="E1218" s="1" t="n">
        <v>39041</v>
      </c>
      <c r="F1218" t="inlineStr">
        <is>
          <t>made this up tonight. i compared some recipes and then used what i had. turned out very tasty! bet it would be good vegetarian too. great served with herbed croutons and shredded parmesan cheese!</t>
        </is>
      </c>
      <c r="H1218" t="n">
        <v>15000</v>
      </c>
      <c r="I1218">
        <f>D1218*60</f>
        <v/>
      </c>
      <c r="J1218">
        <f>COUNTIF(Отзывы!$D:$D, 196766)</f>
        <v/>
      </c>
    </row>
    <row r="1219">
      <c r="A1219" t="n">
        <v>18925</v>
      </c>
      <c r="B1219" t="inlineStr">
        <is>
          <t>oamc creamy chicken</t>
        </is>
      </c>
      <c r="C1219" t="n">
        <v>103589</v>
      </c>
      <c r="D1219" s="4" t="n">
        <v>50</v>
      </c>
      <c r="E1219" s="1" t="n">
        <v>38299</v>
      </c>
      <c r="F1219" t="inlineStr">
        <is>
          <t>this is from one of my favorite once a month cooking books. i hope that you enjoy this as much as we did.</t>
        </is>
      </c>
      <c r="G1219" t="n">
        <v>13</v>
      </c>
      <c r="H1219" t="n">
        <v>3000</v>
      </c>
      <c r="I1219">
        <f>D1219*60</f>
        <v/>
      </c>
      <c r="J1219">
        <f>COUNTIF(Отзывы!$D:$D, 103589)</f>
        <v/>
      </c>
    </row>
    <row r="1220">
      <c r="A1220" t="n">
        <v>7441</v>
      </c>
      <c r="B1220" t="inlineStr">
        <is>
          <t>commander s chocolate souffle cakes w  white chocolate sauce</t>
        </is>
      </c>
      <c r="C1220" t="n">
        <v>54177</v>
      </c>
      <c r="D1220" s="4" t="n">
        <v>40</v>
      </c>
      <c r="E1220" s="1" t="n">
        <v>37668</v>
      </c>
      <c r="F1220" t="inlineStr">
        <is>
          <t>a decadant single serving desert. the contrasting white sauce on chocolate cake makes for a very pretty presentation. i have had this dessert at commander's palace and it is divine!</t>
        </is>
      </c>
      <c r="G1220" t="n">
        <v>8</v>
      </c>
      <c r="H1220" t="n">
        <v>2400</v>
      </c>
      <c r="I1220">
        <f>D1220*60</f>
        <v/>
      </c>
      <c r="J1220">
        <f>COUNTIF(Отзывы!$D:$D, 54177)</f>
        <v/>
      </c>
    </row>
    <row r="1221">
      <c r="A1221" t="n">
        <v>4388</v>
      </c>
      <c r="B1221" t="inlineStr">
        <is>
          <t>cajun cornbread dressing</t>
        </is>
      </c>
      <c r="C1221" t="n">
        <v>67252</v>
      </c>
      <c r="D1221" s="4" t="n">
        <v>55</v>
      </c>
      <c r="E1221" s="1" t="n">
        <v>37826</v>
      </c>
      <c r="F1221" t="inlineStr">
        <is>
          <t>a different kind of dressing..cajun style! i like to make along with cornish hens.</t>
        </is>
      </c>
      <c r="G1221" t="n">
        <v>18</v>
      </c>
      <c r="H1221" t="n">
        <v>3300</v>
      </c>
      <c r="I1221">
        <f>D1221*60</f>
        <v/>
      </c>
      <c r="J1221">
        <f>COUNTIF(Отзывы!$D:$D, 67252)</f>
        <v/>
      </c>
    </row>
    <row r="1222">
      <c r="A1222" t="n">
        <v>3302</v>
      </c>
      <c r="B1222" t="inlineStr">
        <is>
          <t>blue caribbean sunset</t>
        </is>
      </c>
      <c r="C1222" t="n">
        <v>467493</v>
      </c>
      <c r="D1222" s="6" t="n">
        <v>5</v>
      </c>
      <c r="E1222" s="1" t="n">
        <v>40852</v>
      </c>
      <c r="F1222" t="inlineStr">
        <is>
          <t>take me awayyyyyyyy...</t>
        </is>
      </c>
      <c r="G1222" t="n">
        <v>4</v>
      </c>
      <c r="H1222" t="n">
        <v>300</v>
      </c>
      <c r="I1222">
        <f>D1222*60</f>
        <v/>
      </c>
      <c r="J1222">
        <f>COUNTIF(Отзывы!$D:$D, 467493)</f>
        <v/>
      </c>
    </row>
    <row r="1223">
      <c r="A1223" t="n">
        <v>25575</v>
      </c>
      <c r="B1223" t="inlineStr">
        <is>
          <t>spinach and artichoke stuffed mushrooms</t>
        </is>
      </c>
      <c r="C1223" t="n">
        <v>316694</v>
      </c>
      <c r="D1223" s="4" t="n">
        <v>22</v>
      </c>
      <c r="E1223" s="1" t="n">
        <v>39659</v>
      </c>
      <c r="F1223" t="inlineStr">
        <is>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is>
      </c>
      <c r="G1223" t="n">
        <v>5</v>
      </c>
      <c r="H1223" t="n">
        <v>1320</v>
      </c>
      <c r="I1223">
        <f>D1223*60</f>
        <v/>
      </c>
      <c r="J1223">
        <f>COUNTIF(Отзывы!$D:$D, 316694)</f>
        <v/>
      </c>
    </row>
    <row r="1224">
      <c r="A1224" t="n">
        <v>12820</v>
      </c>
      <c r="B1224" t="inlineStr">
        <is>
          <t>grilled cabbage packets</t>
        </is>
      </c>
      <c r="C1224" t="n">
        <v>239521</v>
      </c>
      <c r="D1224" s="4" t="n">
        <v>55</v>
      </c>
      <c r="E1224" s="1" t="n">
        <v>39272</v>
      </c>
      <c r="F1224" t="inlineStr">
        <is>
          <t>i got this recipe on allrecipes.com. i do increase the garlic and add a little mrs. dash over each wedge. sometimes i'll dice turkey bacon and add it. instead of butter i use i can't believe spray.</t>
        </is>
      </c>
      <c r="H1224" t="n">
        <v>3300</v>
      </c>
      <c r="I1224">
        <f>D1224*60</f>
        <v/>
      </c>
      <c r="J1224">
        <f>COUNTIF(Отзывы!$D:$D, 239521)</f>
        <v/>
      </c>
    </row>
    <row r="1225">
      <c r="A1225" t="n">
        <v>19356</v>
      </c>
      <c r="B1225" t="inlineStr">
        <is>
          <t>orange muffins with apricots   cranberries</t>
        </is>
      </c>
      <c r="C1225" t="n">
        <v>320773</v>
      </c>
      <c r="D1225" s="4" t="n">
        <v>38</v>
      </c>
      <c r="E1225" s="1" t="n">
        <v>39681</v>
      </c>
      <c r="F1225" t="inlineStr">
        <is>
          <t>a lo-fat muffin that tastes great. this is a "heavy" muffin - not light &amp; fluffy, but tasty. to reduce fat &amp; cholesterol i replaced the butter with smart balance regular (not light) spread and used 2 egg whites.</t>
        </is>
      </c>
      <c r="G1225" t="n">
        <v>12</v>
      </c>
      <c r="H1225" t="n">
        <v>2280</v>
      </c>
      <c r="I1225">
        <f>D1225*60</f>
        <v/>
      </c>
      <c r="J1225">
        <f>COUNTIF(Отзывы!$D:$D, 320773)</f>
        <v/>
      </c>
    </row>
    <row r="1226">
      <c r="A1226" t="n">
        <v>6083</v>
      </c>
      <c r="B1226" t="inlineStr">
        <is>
          <t>chicken with peaches and basil</t>
        </is>
      </c>
      <c r="C1226" t="n">
        <v>40061</v>
      </c>
      <c r="D1226" s="4" t="n">
        <v>41</v>
      </c>
      <c r="E1226" s="1" t="n">
        <v>37511</v>
      </c>
      <c r="F1226" t="inlineStr">
        <is>
          <t>this is wonderful when peaches are fresh and in season, but canned peaches can be used when necessary.</t>
        </is>
      </c>
      <c r="G1226" t="n">
        <v>11</v>
      </c>
      <c r="H1226" t="n">
        <v>2460</v>
      </c>
      <c r="I1226">
        <f>D1226*60</f>
        <v/>
      </c>
      <c r="J1226">
        <f>COUNTIF(Отзывы!$D:$D, 40061)</f>
        <v/>
      </c>
    </row>
    <row r="1227">
      <c r="A1227" t="n">
        <v>16203</v>
      </c>
      <c r="B1227" t="inlineStr">
        <is>
          <t>lime mahi mahi</t>
        </is>
      </c>
      <c r="C1227" t="n">
        <v>32645</v>
      </c>
      <c r="D1227" s="4" t="n">
        <v>80</v>
      </c>
      <c r="E1227" s="1" t="n">
        <v>37437</v>
      </c>
      <c r="F1227" t="inlineStr">
        <is>
          <t>here's another marinated steaks-on-the-grill recipe - gotta use those grilling recipes while it's warm!</t>
        </is>
      </c>
      <c r="G1227" t="n">
        <v>7</v>
      </c>
      <c r="H1227" t="n">
        <v>4800</v>
      </c>
      <c r="I1227">
        <f>D1227*60</f>
        <v/>
      </c>
      <c r="J1227">
        <f>COUNTIF(Отзывы!$D:$D, 32645)</f>
        <v/>
      </c>
    </row>
    <row r="1228">
      <c r="A1228" t="n">
        <v>22413</v>
      </c>
      <c r="B1228" t="inlineStr">
        <is>
          <t>refreshing cheese sauce for broccoli</t>
        </is>
      </c>
      <c r="C1228" t="n">
        <v>230675</v>
      </c>
      <c r="D1228" s="6" t="n">
        <v>10</v>
      </c>
      <c r="E1228" s="1" t="n">
        <v>39230</v>
      </c>
      <c r="F1228" t="inlineStr">
        <is>
          <t>creamy and cheesy with an unexpected note</t>
        </is>
      </c>
      <c r="G1228" t="n">
        <v>5</v>
      </c>
      <c r="H1228" t="n">
        <v>600</v>
      </c>
      <c r="I1228">
        <f>D1228*60</f>
        <v/>
      </c>
      <c r="J1228">
        <f>COUNTIF(Отзывы!$D:$D, 230675)</f>
        <v/>
      </c>
    </row>
    <row r="1229" ht="409.5" customHeight="1">
      <c r="A1229" t="n">
        <v>3759</v>
      </c>
      <c r="B1229" t="inlineStr">
        <is>
          <t>brie  cranberry and bacon panini</t>
        </is>
      </c>
      <c r="C1229" t="n">
        <v>365407</v>
      </c>
      <c r="D1229" s="4" t="n">
        <v>15</v>
      </c>
      <c r="E1229" s="1" t="n">
        <v>39913</v>
      </c>
      <c r="F1229" s="2" t="inlineStr">
        <is>
          <t>this is based on a sandwich i often get at a local restaurant. it is absolutely delicious as a panini!_x000D_
in light of a review, i have adjusted the amount of cranberry sauce required from 6 tablespoons to 5. please feel free to adjust this to taste.</t>
        </is>
      </c>
      <c r="H1229" t="n">
        <v>900</v>
      </c>
      <c r="I1229">
        <f>D1229*60</f>
        <v/>
      </c>
      <c r="J1229">
        <f>COUNTIF(Отзывы!$D:$D, 365407)</f>
        <v/>
      </c>
    </row>
    <row r="1230">
      <c r="A1230" t="n">
        <v>3009</v>
      </c>
      <c r="B1230" t="inlineStr">
        <is>
          <t>bewitching smoothie</t>
        </is>
      </c>
      <c r="C1230" t="n">
        <v>248337</v>
      </c>
      <c r="D1230" s="4" t="n">
        <v>15</v>
      </c>
      <c r="E1230" s="1" t="n">
        <v>39317</v>
      </c>
      <c r="F1230" t="inlineStr">
        <is>
          <t>a yummy halloween smoothie</t>
        </is>
      </c>
      <c r="G1230" t="n">
        <v>6</v>
      </c>
      <c r="H1230" t="n">
        <v>900</v>
      </c>
      <c r="I1230">
        <f>D1230*60</f>
        <v/>
      </c>
      <c r="J1230">
        <f>COUNTIF(Отзывы!$D:$D, 248337)</f>
        <v/>
      </c>
    </row>
    <row r="1231">
      <c r="A1231" t="n">
        <v>8663</v>
      </c>
      <c r="B1231" t="inlineStr">
        <is>
          <t>crock pot lentil   ham soup</t>
        </is>
      </c>
      <c r="C1231" t="n">
        <v>520656</v>
      </c>
      <c r="D1231" s="4" t="n">
        <v>375</v>
      </c>
      <c r="E1231" s="1" t="n">
        <v>42021</v>
      </c>
      <c r="F1231" t="inlineStr">
        <is>
          <t>frank saulle's "crock pot lentil &amp; ham soup" is slow cooked to perfection. this is the perfect recipe for a cold lazy night!</t>
        </is>
      </c>
      <c r="G1231" t="n">
        <v>13</v>
      </c>
      <c r="H1231" t="n">
        <v>22500</v>
      </c>
      <c r="I1231">
        <f>D1231*60</f>
        <v/>
      </c>
      <c r="J1231">
        <f>COUNTIF(Отзывы!$D:$D, 520656)</f>
        <v/>
      </c>
    </row>
    <row r="1232">
      <c r="A1232" t="n">
        <v>17497</v>
      </c>
      <c r="B1232" t="inlineStr">
        <is>
          <t>mexican ground beef  and cheese baked rice</t>
        </is>
      </c>
      <c r="C1232" t="n">
        <v>147927</v>
      </c>
      <c r="D1232" s="4" t="n">
        <v>50</v>
      </c>
      <c r="E1232" s="1" t="n">
        <v>38697</v>
      </c>
      <c r="F1232" t="inlineStr">
        <is>
          <t>don't leave out the green olives it's what makes this dish, the more olives the better it will be lol! i have even added in a can of drained black beans to this. make certain to sprinkle lots of cheese on top! this rice dish is delicious! you will need a very large skillet for this. i use my own taco seasoning mix (#76616) to make this recipe.</t>
        </is>
      </c>
      <c r="G1232" t="n">
        <v>15</v>
      </c>
      <c r="H1232" t="n">
        <v>3000</v>
      </c>
      <c r="I1232">
        <f>D1232*60</f>
        <v/>
      </c>
      <c r="J1232">
        <f>COUNTIF(Отзывы!$D:$D, 147927)</f>
        <v/>
      </c>
    </row>
    <row r="1233">
      <c r="A1233" t="n">
        <v>4417</v>
      </c>
      <c r="B1233" t="inlineStr">
        <is>
          <t>cajun shrimp wraps</t>
        </is>
      </c>
      <c r="C1233" t="n">
        <v>51671</v>
      </c>
      <c r="D1233" s="4" t="n">
        <v>40</v>
      </c>
      <c r="E1233" s="1" t="n">
        <v>37637</v>
      </c>
      <c r="F1233" t="inlineStr">
        <is>
          <t>got this from ragu pasta sauce. add more cajun seasoning or even red pepper flakes if you like things hotter.</t>
        </is>
      </c>
      <c r="G1233" t="n">
        <v>8</v>
      </c>
      <c r="H1233" t="n">
        <v>2400</v>
      </c>
      <c r="I1233">
        <f>D1233*60</f>
        <v/>
      </c>
      <c r="J1233">
        <f>COUNTIF(Отзывы!$D:$D, 51671)</f>
        <v/>
      </c>
    </row>
    <row r="1234">
      <c r="A1234" t="n">
        <v>4023</v>
      </c>
      <c r="B1234" t="inlineStr">
        <is>
          <t>brussels  beemster  and bacon gratin</t>
        </is>
      </c>
      <c r="C1234" t="n">
        <v>366521</v>
      </c>
      <c r="D1234" s="4" t="n">
        <v>55</v>
      </c>
      <c r="E1234" s="1" t="n">
        <v>39920</v>
      </c>
      <c r="F1234" t="inlineStr">
        <is>
          <t>adapted from a recipe by tara matarazza at serious eats. beemster is a gouda-style cheese similar to aged goudas; if you can't find it, a 5-year-aged gouda is a reasonable substitute. the regular gouda is used for creaminess; if you use the aged gouda, consider replacing the regular gouda with fontina or havarti.</t>
        </is>
      </c>
      <c r="H1234" t="n">
        <v>3300</v>
      </c>
      <c r="I1234">
        <f>D1234*60</f>
        <v/>
      </c>
      <c r="J1234">
        <f>COUNTIF(Отзывы!$D:$D, 366521)</f>
        <v/>
      </c>
    </row>
    <row r="1235">
      <c r="A1235" t="n">
        <v>4071</v>
      </c>
      <c r="B1235" t="inlineStr">
        <is>
          <t>buffalo style baked potatoes</t>
        </is>
      </c>
      <c r="C1235" t="n">
        <v>137914</v>
      </c>
      <c r="D1235" s="4" t="n">
        <v>60</v>
      </c>
      <c r="E1235" s="1" t="n">
        <v>38614</v>
      </c>
      <c r="F1235" t="inlineStr">
        <is>
          <t>these are first microwaved then baked and taste like chicken wings, the sauce is spicy and makes an excellant side dish</t>
        </is>
      </c>
      <c r="G1235" t="n">
        <v>6</v>
      </c>
      <c r="H1235" t="n">
        <v>3600</v>
      </c>
      <c r="I1235">
        <f>D1235*60</f>
        <v/>
      </c>
      <c r="J1235">
        <f>COUNTIF(Отзывы!$D:$D, 137914)</f>
        <v/>
      </c>
    </row>
    <row r="1236">
      <c r="A1236" t="n">
        <v>9635</v>
      </c>
      <c r="B1236" t="inlineStr">
        <is>
          <t>dreamy stuffed portabellas  vegetarian</t>
        </is>
      </c>
      <c r="C1236" t="n">
        <v>242114</v>
      </c>
      <c r="D1236" s="6" t="n">
        <v>10</v>
      </c>
      <c r="E1236" s="1" t="n">
        <v>39286</v>
      </c>
      <c r="F1236" t="inlineStr">
        <is>
          <t>my own creation of a true stuffed shroom!</t>
        </is>
      </c>
      <c r="H1236" t="n">
        <v>600</v>
      </c>
      <c r="I1236">
        <f>D1236*60</f>
        <v/>
      </c>
      <c r="J1236">
        <f>COUNTIF(Отзывы!$D:$D, 242114)</f>
        <v/>
      </c>
    </row>
    <row r="1237">
      <c r="A1237" t="n">
        <v>11816</v>
      </c>
      <c r="B1237" t="inlineStr">
        <is>
          <t>garlic shrimp with linguini</t>
        </is>
      </c>
      <c r="C1237" t="n">
        <v>259594</v>
      </c>
      <c r="D1237" s="4" t="n">
        <v>30</v>
      </c>
      <c r="E1237" s="1" t="n">
        <v>39371</v>
      </c>
      <c r="F1237" t="inlineStr">
        <is>
          <t>this is a great go-to for dinner, unexpected guests, or just a quick meal when you're already late to a meeting. it's very easy to prepare and such a pleasure to eat! the shrimp is ready by the time the linguini is.  if you are so inclined, feel free to add your favorite fresh herbs in place of the fried or red pepper flakes. if using fresh herbs, the "rule of thumb" is 1 tsp. dried to 1 tbsp. fresh. if you're like me, add in more or less herbs, to your own taste.</t>
        </is>
      </c>
      <c r="H1237" t="n">
        <v>1800</v>
      </c>
      <c r="I1237">
        <f>D1237*60</f>
        <v/>
      </c>
      <c r="J1237">
        <f>COUNTIF(Отзывы!$D:$D, 259594)</f>
        <v/>
      </c>
    </row>
    <row r="1238">
      <c r="A1238" t="n">
        <v>18311</v>
      </c>
      <c r="B1238" t="inlineStr">
        <is>
          <t>mushroom puffs</t>
        </is>
      </c>
      <c r="C1238" t="n">
        <v>13598</v>
      </c>
      <c r="D1238" s="4" t="n">
        <v>45</v>
      </c>
      <c r="E1238" s="1" t="n">
        <v>37197</v>
      </c>
      <c r="F1238" t="inlineStr">
        <is>
          <t>this makes a great appetizer or party food.</t>
        </is>
      </c>
      <c r="H1238" t="n">
        <v>2700</v>
      </c>
      <c r="I1238">
        <f>D1238*60</f>
        <v/>
      </c>
      <c r="J1238">
        <f>COUNTIF(Отзывы!$D:$D, 13598)</f>
        <v/>
      </c>
    </row>
    <row r="1239">
      <c r="A1239" t="n">
        <v>22356</v>
      </c>
      <c r="B1239" t="inlineStr">
        <is>
          <t>red raspberry muffins</t>
        </is>
      </c>
      <c r="C1239" t="n">
        <v>172834</v>
      </c>
      <c r="D1239" s="4" t="n">
        <v>40</v>
      </c>
      <c r="E1239" s="1" t="n">
        <v>38884</v>
      </c>
      <c r="F1239" t="inlineStr">
        <is>
          <t>my gramma (and now my aunt) always had raspberry bushes.  these muffins are just one of the uses for them.</t>
        </is>
      </c>
      <c r="G1239" t="n">
        <v>11</v>
      </c>
      <c r="H1239" t="n">
        <v>2400</v>
      </c>
      <c r="I1239">
        <f>D1239*60</f>
        <v/>
      </c>
      <c r="J1239">
        <f>COUNTIF(Отзывы!$D:$D, 172834)</f>
        <v/>
      </c>
    </row>
    <row r="1240">
      <c r="A1240" t="n">
        <v>15127</v>
      </c>
      <c r="B1240" t="inlineStr">
        <is>
          <t>just2bleu lemonberry cheesecake  by bird</t>
        </is>
      </c>
      <c r="C1240" t="n">
        <v>264164</v>
      </c>
      <c r="D1240" s="4" t="n">
        <v>105</v>
      </c>
      <c r="E1240" s="1" t="n">
        <v>39393</v>
      </c>
      <c r="F1240" t="inlineStr">
        <is>
          <t>this ooh-so-good yummy lemon cheesecake has a fresh blueberry topping that is baked into the cake. the blueberries sink slightly and break down during baking for a wonderful presentation. enjoy. :)</t>
        </is>
      </c>
      <c r="H1240" t="n">
        <v>6300</v>
      </c>
      <c r="I1240">
        <f>D1240*60</f>
        <v/>
      </c>
      <c r="J1240">
        <f>COUNTIF(Отзывы!$D:$D, 264164)</f>
        <v/>
      </c>
    </row>
    <row r="1241">
      <c r="A1241" t="n">
        <v>26838</v>
      </c>
      <c r="B1241" t="inlineStr">
        <is>
          <t>swiss mocha cooler</t>
        </is>
      </c>
      <c r="C1241" t="n">
        <v>455391</v>
      </c>
      <c r="D1241" s="6" t="n">
        <v>5</v>
      </c>
      <c r="E1241" s="1" t="n">
        <v>40670</v>
      </c>
      <c r="F1241" t="inlineStr">
        <is>
          <t>refreshing on a hot summer day!</t>
        </is>
      </c>
      <c r="H1241" t="n">
        <v>300</v>
      </c>
      <c r="I1241">
        <f>D1241*60</f>
        <v/>
      </c>
      <c r="J1241">
        <f>COUNTIF(Отзывы!$D:$D, 455391)</f>
        <v/>
      </c>
    </row>
    <row r="1242">
      <c r="A1242" t="n">
        <v>22489</v>
      </c>
      <c r="B1242" t="inlineStr">
        <is>
          <t>rhubarb raspberry pie</t>
        </is>
      </c>
      <c r="C1242" t="n">
        <v>26256</v>
      </c>
      <c r="D1242" s="4" t="n">
        <v>95</v>
      </c>
      <c r="E1242" s="1" t="n">
        <v>37370</v>
      </c>
      <c r="F1242" t="inlineStr">
        <is>
          <t>not too tart but not too sweet, this beautiful pie is the herald of summertime! serve with vanilla ice cream to balance the tartness of the rhubarb. i prefer this to strawberry-rhubarb pie because i do not like the texture of cooked strawberries. you can use your favorite pie crust in this recipe.</t>
        </is>
      </c>
      <c r="G1242" t="n">
        <v>9</v>
      </c>
      <c r="H1242" t="n">
        <v>5700</v>
      </c>
      <c r="I1242">
        <f>D1242*60</f>
        <v/>
      </c>
      <c r="J1242">
        <f>COUNTIF(Отзывы!$D:$D, 26256)</f>
        <v/>
      </c>
    </row>
    <row r="1243">
      <c r="A1243" t="n">
        <v>29664</v>
      </c>
      <c r="B1243" t="inlineStr">
        <is>
          <t>yellow rice with beans   arroz con habichuelas</t>
        </is>
      </c>
      <c r="C1243" t="n">
        <v>339763</v>
      </c>
      <c r="D1243" s="4" t="n">
        <v>55</v>
      </c>
      <c r="E1243" s="1" t="n">
        <v>39779</v>
      </c>
      <c r="F1243" t="inlineStr">
        <is>
          <t>my husband got this recipe from the puerto rican pantry.</t>
        </is>
      </c>
      <c r="H1243" t="n">
        <v>3300</v>
      </c>
      <c r="I1243">
        <f>D1243*60</f>
        <v/>
      </c>
      <c r="J1243">
        <f>COUNTIF(Отзывы!$D:$D, 339763)</f>
        <v/>
      </c>
    </row>
    <row r="1244">
      <c r="A1244" t="n">
        <v>15987</v>
      </c>
      <c r="B1244" t="inlineStr">
        <is>
          <t>lemon basil potatoes</t>
        </is>
      </c>
      <c r="C1244" t="n">
        <v>304161</v>
      </c>
      <c r="D1244" s="4" t="n">
        <v>40</v>
      </c>
      <c r="E1244" s="1" t="n">
        <v>39586</v>
      </c>
      <c r="F1244" t="inlineStr">
        <is>
          <t>this is from giada de laurentiis.  the lemon and basil give these potatoes a really fresh, clean taste.</t>
        </is>
      </c>
      <c r="G1244" t="n">
        <v>8</v>
      </c>
      <c r="H1244" t="n">
        <v>2400</v>
      </c>
      <c r="I1244">
        <f>D1244*60</f>
        <v/>
      </c>
      <c r="J1244">
        <f>COUNTIF(Отзывы!$D:$D, 304161)</f>
        <v/>
      </c>
    </row>
    <row r="1245">
      <c r="A1245" t="n">
        <v>863</v>
      </c>
      <c r="B1245" t="inlineStr">
        <is>
          <t>apple cinnamon swirl bread</t>
        </is>
      </c>
      <c r="C1245" t="n">
        <v>457603</v>
      </c>
      <c r="D1245" s="4" t="n">
        <v>70</v>
      </c>
      <c r="E1245" s="1" t="n">
        <v>40694</v>
      </c>
      <c r="F1245" t="inlineStr">
        <is>
          <t>delicious snack that's big on flavor and low on fat! this isn't a super sweet bread, but the powdered sugar glaze helps to give it just enough extra sweetness.</t>
        </is>
      </c>
      <c r="G1245" t="n">
        <v>14</v>
      </c>
      <c r="H1245" t="n">
        <v>4200</v>
      </c>
      <c r="I1245">
        <f>D1245*60</f>
        <v/>
      </c>
      <c r="J1245">
        <f>COUNTIF(Отзывы!$D:$D, 457603)</f>
        <v/>
      </c>
    </row>
    <row r="1246">
      <c r="A1246" t="n">
        <v>17691</v>
      </c>
      <c r="B1246" t="inlineStr">
        <is>
          <t>mimi s vegetable soup</t>
        </is>
      </c>
      <c r="C1246" t="n">
        <v>317997</v>
      </c>
      <c r="D1246" s="4" t="n">
        <v>110</v>
      </c>
      <c r="E1246" s="1" t="n">
        <v>39667</v>
      </c>
      <c r="F1246" t="inlineStr">
        <is>
          <t>this is one of my all time favorites - my mom's (mimi's) recipe for vegetable soup. what i like about this recipe is you can add a variety of fresh seasonal vegetables in addition to the "standards".  and you can use canned or frozen vegetables as well.  personnally, i like fresh organic vegetables in this soup, but i've also used the canned for convenience, and the added liquid from the canned veggies adds some more flavor. i've tried this in my crock pot, but i like cooking it better on the stove - no sticking to the bottom that way. this recipe makes a pretty big pot of soup, so eat some now and freeze some for later. add additional liquid as necessary to get the consistency you like for your soup. enjoy!</t>
        </is>
      </c>
      <c r="G1246" t="n">
        <v>22</v>
      </c>
      <c r="H1246" t="n">
        <v>6600</v>
      </c>
      <c r="I1246">
        <f>D1246*60</f>
        <v/>
      </c>
      <c r="J1246">
        <f>COUNTIF(Отзывы!$D:$D, 317997)</f>
        <v/>
      </c>
    </row>
    <row r="1247" ht="165" customHeight="1">
      <c r="A1247" t="n">
        <v>4190</v>
      </c>
      <c r="B1247" t="inlineStr">
        <is>
          <t>buttermilk banana bread</t>
        </is>
      </c>
      <c r="C1247" t="n">
        <v>139558</v>
      </c>
      <c r="D1247" s="4" t="n">
        <v>70</v>
      </c>
      <c r="E1247" s="1" t="n">
        <v>38625</v>
      </c>
      <c r="F1247" s="2" t="inlineStr">
        <is>
          <t>southern recipe:_x000D_
this is a moist flavorful banana bread made with buttermilk.</t>
        </is>
      </c>
      <c r="G1247" t="n">
        <v>7</v>
      </c>
      <c r="H1247" t="n">
        <v>4200</v>
      </c>
      <c r="I1247">
        <f>D1247*60</f>
        <v/>
      </c>
      <c r="J1247">
        <f>COUNTIF(Отзывы!$D:$D, 139558)</f>
        <v/>
      </c>
    </row>
    <row r="1248">
      <c r="A1248" t="n">
        <v>22214</v>
      </c>
      <c r="B1248" t="inlineStr">
        <is>
          <t>raspberry kirsch sorbet</t>
        </is>
      </c>
      <c r="C1248" t="n">
        <v>376312</v>
      </c>
      <c r="D1248" s="4" t="n">
        <v>20</v>
      </c>
      <c r="E1248" s="1" t="n">
        <v>39972</v>
      </c>
      <c r="F1248" t="inlineStr">
        <is>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is>
      </c>
      <c r="G1248" t="n">
        <v>4</v>
      </c>
      <c r="H1248" t="n">
        <v>1200</v>
      </c>
      <c r="I1248">
        <f>D1248*60</f>
        <v/>
      </c>
      <c r="J1248">
        <f>COUNTIF(Отзывы!$D:$D, 376312)</f>
        <v/>
      </c>
    </row>
    <row r="1249">
      <c r="A1249" t="n">
        <v>19542</v>
      </c>
      <c r="B1249" t="inlineStr">
        <is>
          <t>outback steakhouse s dipping sauce</t>
        </is>
      </c>
      <c r="C1249" t="n">
        <v>11138</v>
      </c>
      <c r="D1249" s="4" t="n">
        <v>125</v>
      </c>
      <c r="E1249" s="1" t="n">
        <v>37132</v>
      </c>
      <c r="F1249" t="inlineStr">
        <is>
          <t>a copycat recipe for outback steakhouse dipping sauce for their bloomin onion.</t>
        </is>
      </c>
      <c r="G1249" t="n">
        <v>8</v>
      </c>
      <c r="H1249" t="n">
        <v>7500</v>
      </c>
      <c r="I1249">
        <f>D1249*60</f>
        <v/>
      </c>
      <c r="J1249">
        <f>COUNTIF(Отзывы!$D:$D, 11138)</f>
        <v/>
      </c>
    </row>
    <row r="1250">
      <c r="A1250" t="n">
        <v>3426</v>
      </c>
      <c r="B1250" t="inlineStr">
        <is>
          <t>blueberry salsa salad</t>
        </is>
      </c>
      <c r="C1250" t="n">
        <v>95761</v>
      </c>
      <c r="D1250" s="4" t="n">
        <v>20</v>
      </c>
      <c r="E1250" s="1" t="n">
        <v>38184</v>
      </c>
      <c r="F1250" t="inlineStr">
        <is>
          <t>i don't remember where this came from, but it is really good, especially on a hot summer's day</t>
        </is>
      </c>
      <c r="H1250" t="n">
        <v>1200</v>
      </c>
      <c r="I1250">
        <f>D1250*60</f>
        <v/>
      </c>
      <c r="J1250">
        <f>COUNTIF(Отзывы!$D:$D, 95761)</f>
        <v/>
      </c>
    </row>
    <row r="1251">
      <c r="A1251" t="n">
        <v>26962</v>
      </c>
      <c r="B1251" t="inlineStr">
        <is>
          <t>tampa sushi rolls</t>
        </is>
      </c>
      <c r="C1251" t="n">
        <v>15748</v>
      </c>
      <c r="D1251" s="6" t="n">
        <v>10</v>
      </c>
      <c r="E1251" s="1" t="n">
        <v>37238</v>
      </c>
      <c r="F1251" t="inlineStr">
        <is>
          <t>i found this at a japanese steakhouse. my wife would never go near raw fish but this is cooked, an absolute must try for the sushi beginner! go easy on the wasabi though. kids love it too as an alternative to fish sticks.</t>
        </is>
      </c>
      <c r="G1251" t="n">
        <v>8</v>
      </c>
      <c r="H1251" t="n">
        <v>600</v>
      </c>
      <c r="I1251">
        <f>D1251*60</f>
        <v/>
      </c>
      <c r="J1251">
        <f>COUNTIF(Отзывы!$D:$D, 15748)</f>
        <v/>
      </c>
    </row>
    <row r="1252">
      <c r="A1252" t="n">
        <v>10283</v>
      </c>
      <c r="B1252" t="inlineStr">
        <is>
          <t>easy watermelon jelly</t>
        </is>
      </c>
      <c r="C1252" t="n">
        <v>458101</v>
      </c>
      <c r="D1252" s="4" t="n">
        <v>27</v>
      </c>
      <c r="E1252" s="1" t="n">
        <v>40700</v>
      </c>
      <c r="F1252" t="inlineStr">
        <is>
          <t>easiest watermelon jelly recipe have found. makes 4-5 half-pints. no special equipment needed. sets perfectly every time and is delicious!</t>
        </is>
      </c>
      <c r="G1252" t="n">
        <v>4</v>
      </c>
      <c r="H1252" t="n">
        <v>1620</v>
      </c>
      <c r="I1252">
        <f>D1252*60</f>
        <v/>
      </c>
      <c r="J1252">
        <f>COUNTIF(Отзывы!$D:$D, 458101)</f>
        <v/>
      </c>
    </row>
    <row r="1253">
      <c r="A1253" t="n">
        <v>16587</v>
      </c>
      <c r="B1253" t="inlineStr">
        <is>
          <t>luau chicken</t>
        </is>
      </c>
      <c r="C1253" t="n">
        <v>37228</v>
      </c>
      <c r="D1253" s="4" t="n">
        <v>85</v>
      </c>
      <c r="E1253" s="1" t="n">
        <v>37481</v>
      </c>
      <c r="F1253" t="inlineStr">
        <is>
          <t xml:space="preserve">this recipe was originally called </t>
        </is>
      </c>
      <c r="H1253" t="n">
        <v>5100</v>
      </c>
      <c r="I1253">
        <f>D1253*60</f>
        <v/>
      </c>
      <c r="J1253">
        <f>COUNTIF(Отзывы!$D:$D, 37228)</f>
        <v/>
      </c>
    </row>
    <row r="1254">
      <c r="A1254" t="n">
        <v>3753</v>
      </c>
      <c r="B1254" t="inlineStr">
        <is>
          <t>brie and shallot parisian burgers</t>
        </is>
      </c>
      <c r="C1254" t="n">
        <v>381117</v>
      </c>
      <c r="D1254" s="4" t="n">
        <v>38</v>
      </c>
      <c r="E1254" s="1" t="n">
        <v>40006</v>
      </c>
      <c r="F1254" t="inlineStr">
        <is>
          <t>recipe from weber’s way to grill™ by jamie purviance</t>
        </is>
      </c>
      <c r="G1254" t="n">
        <v>11</v>
      </c>
      <c r="H1254" t="n">
        <v>2280</v>
      </c>
      <c r="I1254">
        <f>D1254*60</f>
        <v/>
      </c>
      <c r="J1254">
        <f>COUNTIF(Отзывы!$D:$D, 381117)</f>
        <v/>
      </c>
    </row>
    <row r="1255">
      <c r="A1255" t="n">
        <v>18868</v>
      </c>
      <c r="B1255" t="inlineStr">
        <is>
          <t>nummy namma choc oat chip cake</t>
        </is>
      </c>
      <c r="C1255" t="n">
        <v>59144</v>
      </c>
      <c r="D1255" s="4" t="n">
        <v>65</v>
      </c>
      <c r="E1255" s="1" t="n">
        <v>37721</v>
      </c>
      <c r="F1255" t="inlineStr">
        <is>
          <t>bananas and chocolate come together happily in this cake which is a favorite of mine. i make this often for church functions.  note:  i've made this with both quick cooking and old fashioned oats and have had better response to the quick cooking kind.  the old fashioned oats stay a little cruncy after the cake is baked which puts some people off.</t>
        </is>
      </c>
      <c r="G1255" t="n">
        <v>12</v>
      </c>
      <c r="H1255" t="n">
        <v>3900</v>
      </c>
      <c r="I1255">
        <f>D1255*60</f>
        <v/>
      </c>
      <c r="J1255">
        <f>COUNTIF(Отзывы!$D:$D, 59144)</f>
        <v/>
      </c>
    </row>
    <row r="1256">
      <c r="A1256" t="n">
        <v>13234</v>
      </c>
      <c r="B1256" t="inlineStr">
        <is>
          <t>ham and swiss cheese potatoes  crock pot</t>
        </is>
      </c>
      <c r="C1256" t="n">
        <v>375522</v>
      </c>
      <c r="D1256" s="4" t="n">
        <v>550</v>
      </c>
      <c r="E1256" s="1" t="n">
        <v>39966</v>
      </c>
      <c r="F1256" t="inlineStr">
        <is>
          <t>i found this in a book that i must return to the library so am posting for future reference.  this comes from the $7 a meal slow cooker cookbook. "kids especially will love this recipe.  it's hot, creamy and comforting, made easy by starting with frozen potatoes."</t>
        </is>
      </c>
      <c r="G1256" t="n">
        <v>11</v>
      </c>
      <c r="H1256" t="n">
        <v>33000</v>
      </c>
      <c r="I1256">
        <f>D1256*60</f>
        <v/>
      </c>
      <c r="J1256">
        <f>COUNTIF(Отзывы!$D:$D, 375522)</f>
        <v/>
      </c>
    </row>
    <row r="1257">
      <c r="A1257" t="n">
        <v>20642</v>
      </c>
      <c r="B1257" t="inlineStr">
        <is>
          <t>petite caramel rolls</t>
        </is>
      </c>
      <c r="C1257" t="n">
        <v>136473</v>
      </c>
      <c r="D1257" s="4" t="n">
        <v>40</v>
      </c>
      <c r="E1257" s="1" t="n">
        <v>38601</v>
      </c>
      <c r="F1257" t="inlineStr">
        <is>
          <t>easy with crescent rolls</t>
        </is>
      </c>
      <c r="H1257" t="n">
        <v>2400</v>
      </c>
      <c r="I1257">
        <f>D1257*60</f>
        <v/>
      </c>
      <c r="J1257">
        <f>COUNTIF(Отзывы!$D:$D, 136473)</f>
        <v/>
      </c>
    </row>
    <row r="1258">
      <c r="A1258" t="n">
        <v>5418</v>
      </c>
      <c r="B1258" t="inlineStr">
        <is>
          <t>cherry pear bread</t>
        </is>
      </c>
      <c r="C1258" t="n">
        <v>197840</v>
      </c>
      <c r="D1258" s="4" t="n">
        <v>55</v>
      </c>
      <c r="E1258" s="1" t="n">
        <v>39048</v>
      </c>
      <c r="F1258" t="inlineStr">
        <is>
          <t>makes two small loaves or one 4x9 loaf. dried cranberries can be used in place of dried cherries.</t>
        </is>
      </c>
      <c r="G1258" t="n">
        <v>12</v>
      </c>
      <c r="H1258" t="n">
        <v>3300</v>
      </c>
      <c r="I1258">
        <f>D1258*60</f>
        <v/>
      </c>
      <c r="J1258">
        <f>COUNTIF(Отзывы!$D:$D, 197840)</f>
        <v/>
      </c>
    </row>
    <row r="1259">
      <c r="A1259" t="n">
        <v>3505</v>
      </c>
      <c r="B1259" t="inlineStr">
        <is>
          <t>bomb baker potatoes   guy fieri</t>
        </is>
      </c>
      <c r="C1259" t="n">
        <v>383114</v>
      </c>
      <c r="D1259" s="4" t="n">
        <v>50</v>
      </c>
      <c r="E1259" s="1" t="n">
        <v>40022</v>
      </c>
      <c r="F1259" t="inlineStr">
        <is>
          <t>a seriously great recipe from guy fieri.  the salt seeps in thru the skin of the potatoes and gives the skin a great strong flavor.  may be a bit salty for some folks, but very tasty</t>
        </is>
      </c>
      <c r="G1259" t="n">
        <v>8</v>
      </c>
      <c r="H1259" t="n">
        <v>3000</v>
      </c>
      <c r="I1259">
        <f>D1259*60</f>
        <v/>
      </c>
      <c r="J1259">
        <f>COUNTIF(Отзывы!$D:$D, 383114)</f>
        <v/>
      </c>
    </row>
    <row r="1260">
      <c r="A1260" t="n">
        <v>9703</v>
      </c>
      <c r="B1260" t="inlineStr">
        <is>
          <t>dutch butter candy a k a  zeeuwse boterbabbelaars</t>
        </is>
      </c>
      <c r="C1260" t="n">
        <v>195523</v>
      </c>
      <c r="D1260" s="4" t="n">
        <v>30</v>
      </c>
      <c r="E1260" s="1" t="n">
        <v>39035</v>
      </c>
      <c r="F1260" t="inlineStr">
        <is>
          <t>taken from a little community cookbook  "cooking on clogs" that has some great family recipes compiled by dutch ladies especially for when they pined for typical dutch recipes and treats that were not available to them shop-bought when they emmigrated to other countries.  i like the fact that these recipes don't have all the added preservatives of their commercial counterparts and are easy to make.  boterbabbelaars are a small toffee candy, if you like your toffee chewy then this is one for you:)   note: treacle is called molasses by north americans.   zwt region: the netherlands.</t>
        </is>
      </c>
      <c r="G1260" t="n">
        <v>6</v>
      </c>
      <c r="H1260" t="n">
        <v>1800</v>
      </c>
      <c r="I1260">
        <f>D1260*60</f>
        <v/>
      </c>
      <c r="J1260">
        <f>COUNTIF(Отзывы!$D:$D, 195523)</f>
        <v/>
      </c>
    </row>
    <row r="1261">
      <c r="A1261" t="n">
        <v>25861</v>
      </c>
      <c r="B1261" t="inlineStr">
        <is>
          <t>steamed clams or mussels</t>
        </is>
      </c>
      <c r="C1261" t="n">
        <v>90619</v>
      </c>
      <c r="D1261" s="4" t="n">
        <v>23</v>
      </c>
      <c r="E1261" s="1" t="n">
        <v>38111</v>
      </c>
      <c r="F1261" t="inlineStr">
        <is>
          <t>easy and delicious.</t>
        </is>
      </c>
      <c r="H1261" t="n">
        <v>1380</v>
      </c>
      <c r="I1261">
        <f>D1261*60</f>
        <v/>
      </c>
      <c r="J1261">
        <f>COUNTIF(Отзывы!$D:$D, 90619)</f>
        <v/>
      </c>
    </row>
    <row r="1262">
      <c r="A1262" t="n">
        <v>14619</v>
      </c>
      <c r="B1262" t="inlineStr">
        <is>
          <t>italian breakfast lemon loaf</t>
        </is>
      </c>
      <c r="C1262" t="n">
        <v>168478</v>
      </c>
      <c r="D1262" s="4" t="n">
        <v>55</v>
      </c>
      <c r="E1262" s="1" t="n">
        <v>38854</v>
      </c>
      <c r="F1262" t="inlineStr">
        <is>
          <t>a different and delicious change for breakfast or anytime.</t>
        </is>
      </c>
      <c r="G1262" t="n">
        <v>9</v>
      </c>
      <c r="H1262" t="n">
        <v>3300</v>
      </c>
      <c r="I1262">
        <f>D1262*60</f>
        <v/>
      </c>
      <c r="J1262">
        <f>COUNTIF(Отзывы!$D:$D, 168478)</f>
        <v/>
      </c>
    </row>
    <row r="1263">
      <c r="A1263" t="n">
        <v>17970</v>
      </c>
      <c r="B1263" t="inlineStr">
        <is>
          <t>mom s cocoa powder brownies</t>
        </is>
      </c>
      <c r="C1263" t="n">
        <v>243900</v>
      </c>
      <c r="D1263" s="4" t="n">
        <v>35</v>
      </c>
      <c r="E1263" s="1" t="n">
        <v>39295</v>
      </c>
      <c r="F1263" t="inlineStr">
        <is>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is>
      </c>
      <c r="G1263" t="n">
        <v>8</v>
      </c>
      <c r="H1263" t="n">
        <v>2100</v>
      </c>
      <c r="I1263">
        <f>D1263*60</f>
        <v/>
      </c>
      <c r="J1263">
        <f>COUNTIF(Отзывы!$D:$D, 243900)</f>
        <v/>
      </c>
    </row>
    <row r="1264">
      <c r="A1264" t="n">
        <v>24218</v>
      </c>
      <c r="B1264" t="inlineStr">
        <is>
          <t>simple chinese chicken salad</t>
        </is>
      </c>
      <c r="C1264" t="n">
        <v>101515</v>
      </c>
      <c r="D1264" s="6" t="n">
        <v>10</v>
      </c>
      <c r="E1264" s="1" t="n">
        <v>38267</v>
      </c>
      <c r="F1264" t="inlineStr">
        <is>
          <t>i was leafing through a low-carb magazine and came across this fantastic recipe. after making it with a few of my own adaptations, this is the final result.</t>
        </is>
      </c>
      <c r="G1264" t="n">
        <v>18</v>
      </c>
      <c r="H1264" t="n">
        <v>600</v>
      </c>
      <c r="I1264">
        <f>D1264*60</f>
        <v/>
      </c>
      <c r="J1264">
        <f>COUNTIF(Отзывы!$D:$D, 101515)</f>
        <v/>
      </c>
    </row>
    <row r="1265">
      <c r="A1265" t="n">
        <v>24113</v>
      </c>
      <c r="B1265" t="inlineStr">
        <is>
          <t>shrimp toast</t>
        </is>
      </c>
      <c r="C1265" t="n">
        <v>110022</v>
      </c>
      <c r="D1265" s="4" t="n">
        <v>15</v>
      </c>
      <c r="E1265" s="1" t="n">
        <v>38384</v>
      </c>
      <c r="F1265" t="inlineStr">
        <is>
          <t>these are so easy and so good! i don't need to get them at leanne chins anymore. the original came from the ultimate chinese cookbook. edited  to add warning about frying time.</t>
        </is>
      </c>
      <c r="G1265" t="n">
        <v>8</v>
      </c>
      <c r="H1265" t="n">
        <v>900</v>
      </c>
      <c r="I1265">
        <f>D1265*60</f>
        <v/>
      </c>
      <c r="J1265">
        <f>COUNTIF(Отзывы!$D:$D, 110022)</f>
        <v/>
      </c>
    </row>
    <row r="1266">
      <c r="A1266" t="n">
        <v>11882</v>
      </c>
      <c r="B1266" t="inlineStr">
        <is>
          <t>gentle thanksgiving mushroom gravy</t>
        </is>
      </c>
      <c r="C1266" t="n">
        <v>337010</v>
      </c>
      <c r="D1266" s="4" t="n">
        <v>25</v>
      </c>
      <c r="E1266" s="1" t="n">
        <v>39765</v>
      </c>
      <c r="F1266" t="inlineStr">
        <is>
          <t>from the farm animal rights movement's "recipes for a gentle thanksgiving." www.gentlethanksgiving.org</t>
        </is>
      </c>
      <c r="H1266" t="n">
        <v>1500</v>
      </c>
      <c r="I1266">
        <f>D1266*60</f>
        <v/>
      </c>
      <c r="J1266">
        <f>COUNTIF(Отзывы!$D:$D, 337010)</f>
        <v/>
      </c>
    </row>
    <row r="1267">
      <c r="A1267" t="n">
        <v>24579</v>
      </c>
      <c r="B1267" t="inlineStr">
        <is>
          <t>smoked mackerel and cream cheese dip</t>
        </is>
      </c>
      <c r="C1267" t="n">
        <v>400953</v>
      </c>
      <c r="D1267" s="5" t="n">
        <v>4</v>
      </c>
      <c r="E1267" s="1" t="n">
        <v>40140</v>
      </c>
      <c r="F1267" t="inlineStr">
        <is>
          <t>this is a lovely easy dip to serve with crackers for lovers of smoked fish</t>
        </is>
      </c>
      <c r="H1267" t="n">
        <v>240</v>
      </c>
      <c r="I1267">
        <f>D1267*60</f>
        <v/>
      </c>
      <c r="J1267">
        <f>COUNTIF(Отзывы!$D:$D, 400953)</f>
        <v/>
      </c>
    </row>
    <row r="1268">
      <c r="A1268" t="n">
        <v>22885</v>
      </c>
      <c r="B1268" t="inlineStr">
        <is>
          <t>rock   roll bbq jalapeno dust</t>
        </is>
      </c>
      <c r="C1268" t="n">
        <v>212062</v>
      </c>
      <c r="D1268" s="4" t="n">
        <v>125</v>
      </c>
      <c r="E1268" s="1" t="n">
        <v>39131</v>
      </c>
      <c r="F1268" t="inlineStr">
        <is>
          <t>this is a great spice to add to anything from soups to salads. i have friends that use it on their popcorn now. i like it on my eggs in the morning. some people may want to add other spices at the grinding stage to make this spice with their own special twist.</t>
        </is>
      </c>
      <c r="G1268" t="n">
        <v>2</v>
      </c>
      <c r="H1268" t="n">
        <v>7500</v>
      </c>
      <c r="I1268">
        <f>D1268*60</f>
        <v/>
      </c>
      <c r="J1268">
        <f>COUNTIF(Отзывы!$D:$D, 212062)</f>
        <v/>
      </c>
    </row>
    <row r="1269">
      <c r="A1269" t="n">
        <v>18730</v>
      </c>
      <c r="B1269" t="inlineStr">
        <is>
          <t>no meat taco dip</t>
        </is>
      </c>
      <c r="C1269" t="n">
        <v>90868</v>
      </c>
      <c r="D1269" s="4" t="n">
        <v>20</v>
      </c>
      <c r="E1269" s="1" t="n">
        <v>38114</v>
      </c>
      <c r="F1269" t="inlineStr">
        <is>
          <t>my sister in-law made this on one of our visits with her. the kids really love this and there are never any leftovers.</t>
        </is>
      </c>
      <c r="G1269" t="n">
        <v>7</v>
      </c>
      <c r="H1269" t="n">
        <v>1200</v>
      </c>
      <c r="I1269">
        <f>D1269*60</f>
        <v/>
      </c>
      <c r="J1269">
        <f>COUNTIF(Отзывы!$D:$D, 90868)</f>
        <v/>
      </c>
    </row>
    <row r="1270" ht="240" customHeight="1">
      <c r="A1270" t="n">
        <v>12403</v>
      </c>
      <c r="B1270" t="inlineStr">
        <is>
          <t>grandma s apple brown betty</t>
        </is>
      </c>
      <c r="C1270" t="n">
        <v>140438</v>
      </c>
      <c r="D1270" s="4" t="n">
        <v>75</v>
      </c>
      <c r="E1270" s="1" t="n">
        <v>38632</v>
      </c>
      <c r="F1270" s="2" t="inlineStr">
        <is>
          <t>this recipe belonged to my grandma, she made it often._x000D_
we love it, comfort food at it's best._x000D_
hope you enjoy!</t>
        </is>
      </c>
      <c r="G1270" t="n">
        <v>7</v>
      </c>
      <c r="H1270" t="n">
        <v>4500</v>
      </c>
      <c r="I1270">
        <f>D1270*60</f>
        <v/>
      </c>
      <c r="J1270">
        <f>COUNTIF(Отзывы!$D:$D, 140438)</f>
        <v/>
      </c>
    </row>
    <row r="1271">
      <c r="A1271" t="n">
        <v>15729</v>
      </c>
      <c r="B1271" t="inlineStr">
        <is>
          <t>lebanese potato salad</t>
        </is>
      </c>
      <c r="C1271" t="n">
        <v>234239</v>
      </c>
      <c r="D1271" s="4" t="n">
        <v>165</v>
      </c>
      <c r="E1271" s="1" t="n">
        <v>39245</v>
      </c>
      <c r="F1271" t="inlineStr">
        <is>
          <t>no eggs and no mayo ... this won't spoil at your potluck!  this is also known as salatit el bataata.  posted for zaar world tour 3</t>
        </is>
      </c>
      <c r="G1271" t="n">
        <v>8</v>
      </c>
      <c r="H1271" t="n">
        <v>9900</v>
      </c>
      <c r="I1271">
        <f>D1271*60</f>
        <v/>
      </c>
      <c r="J1271">
        <f>COUNTIF(Отзывы!$D:$D, 234239)</f>
        <v/>
      </c>
    </row>
    <row r="1272">
      <c r="A1272" t="n">
        <v>27263</v>
      </c>
      <c r="B1272" t="inlineStr">
        <is>
          <t>thai one pot</t>
        </is>
      </c>
      <c r="C1272" t="n">
        <v>272511</v>
      </c>
      <c r="D1272" s="4" t="n">
        <v>35</v>
      </c>
      <c r="E1272" s="1" t="n">
        <v>39435</v>
      </c>
      <c r="F1272" t="inlineStr">
        <is>
          <t>this is from one of my food and wine cookbooks. they say to serve this with a dry riesling from alsace. one cup of bean sprouts can replace the radishes in this dish.</t>
        </is>
      </c>
      <c r="G1272" t="n">
        <v>14</v>
      </c>
      <c r="H1272" t="n">
        <v>2100</v>
      </c>
      <c r="I1272">
        <f>D1272*60</f>
        <v/>
      </c>
      <c r="J1272">
        <f>COUNTIF(Отзывы!$D:$D, 272511)</f>
        <v/>
      </c>
    </row>
    <row r="1273">
      <c r="A1273" t="n">
        <v>20489</v>
      </c>
      <c r="B1273" t="inlineStr">
        <is>
          <t>peppered herb flank steak</t>
        </is>
      </c>
      <c r="C1273" t="n">
        <v>494403</v>
      </c>
      <c r="D1273" s="4" t="n">
        <v>35</v>
      </c>
      <c r="E1273" s="1" t="n">
        <v>41303</v>
      </c>
      <c r="F1273" t="inlineStr">
        <is>
          <t>this is adapted from a recipe in simply classic, a junior league cookbook.  the 8 hour marinating time is really required to make this flank steak delicious.  marinating time is not included in prep and cooking time.</t>
        </is>
      </c>
      <c r="H1273" t="n">
        <v>2100</v>
      </c>
      <c r="I1273">
        <f>D1273*60</f>
        <v/>
      </c>
      <c r="J1273">
        <f>COUNTIF(Отзывы!$D:$D, 494403)</f>
        <v/>
      </c>
    </row>
    <row r="1274">
      <c r="A1274" t="n">
        <v>21568</v>
      </c>
      <c r="B1274" t="inlineStr">
        <is>
          <t>prime rib for 2</t>
        </is>
      </c>
      <c r="C1274" t="n">
        <v>340449</v>
      </c>
      <c r="D1274" s="4" t="n">
        <v>1515</v>
      </c>
      <c r="E1274" s="1" t="n">
        <v>39783</v>
      </c>
      <c r="F1274" t="inlineStr">
        <is>
          <t>this is a method more than a recipe. it is hard to fix prime rib for two, but this method allows the meat to brown nicely, and remain rare in the center when you carve it.  you also have the added bonus of baked potatoes for your side dish! this recipe came from sunset books "cooking for two... or just for you."</t>
        </is>
      </c>
      <c r="G1274" t="n">
        <v>5</v>
      </c>
      <c r="H1274" t="n">
        <v>90900</v>
      </c>
      <c r="I1274">
        <f>D1274*60</f>
        <v/>
      </c>
      <c r="J1274">
        <f>COUNTIF(Отзывы!$D:$D, 340449)</f>
        <v/>
      </c>
    </row>
    <row r="1275">
      <c r="A1275" t="n">
        <v>8151</v>
      </c>
      <c r="B1275" t="inlineStr">
        <is>
          <t>creamed spinach and bacon</t>
        </is>
      </c>
      <c r="C1275" t="n">
        <v>32602</v>
      </c>
      <c r="D1275" s="4" t="n">
        <v>50</v>
      </c>
      <c r="E1275" s="1" t="n">
        <v>37437</v>
      </c>
      <c r="G1275" t="n">
        <v>8</v>
      </c>
      <c r="H1275" t="n">
        <v>3000</v>
      </c>
      <c r="I1275">
        <f>D1275*60</f>
        <v/>
      </c>
      <c r="J1275">
        <f>COUNTIF(Отзывы!$D:$D, 32602)</f>
        <v/>
      </c>
    </row>
    <row r="1276">
      <c r="A1276" t="n">
        <v>12534</v>
      </c>
      <c r="B1276" t="inlineStr">
        <is>
          <t>greek chicken salad with lemon herb dressing</t>
        </is>
      </c>
      <c r="C1276" t="n">
        <v>48457</v>
      </c>
      <c r="D1276" s="4" t="n">
        <v>15</v>
      </c>
      <c r="E1276" s="1" t="n">
        <v>37601</v>
      </c>
      <c r="F1276" t="inlineStr">
        <is>
          <t>the lemon and herb dressing perfectly polishes this 6 ingredient salad!</t>
        </is>
      </c>
      <c r="H1276" t="n">
        <v>900</v>
      </c>
      <c r="I1276">
        <f>D1276*60</f>
        <v/>
      </c>
      <c r="J1276">
        <f>COUNTIF(Отзывы!$D:$D, 48457)</f>
        <v/>
      </c>
    </row>
    <row r="1277" ht="165" customHeight="1">
      <c r="A1277" t="n">
        <v>29113</v>
      </c>
      <c r="B1277" t="inlineStr">
        <is>
          <t>weight watchers  butterfinger fluff</t>
        </is>
      </c>
      <c r="C1277" t="n">
        <v>280815</v>
      </c>
      <c r="D1277" s="6" t="n">
        <v>10</v>
      </c>
      <c r="E1277" s="1" t="n">
        <v>39469</v>
      </c>
      <c r="F1277" s="2" t="inlineStr">
        <is>
          <t>taken from the weight watchers site_x000D_
estimated points are 2points per 1 cup serving.</t>
        </is>
      </c>
      <c r="H1277" t="n">
        <v>600</v>
      </c>
      <c r="I1277">
        <f>D1277*60</f>
        <v/>
      </c>
      <c r="J1277">
        <f>COUNTIF(Отзывы!$D:$D, 280815)</f>
        <v/>
      </c>
    </row>
    <row r="1278">
      <c r="A1278" t="n">
        <v>1396</v>
      </c>
      <c r="B1278" t="inlineStr">
        <is>
          <t>auntie oma s double chocolate cheesecake</t>
        </is>
      </c>
      <c r="C1278" t="n">
        <v>442170</v>
      </c>
      <c r="D1278" s="4" t="n">
        <v>60</v>
      </c>
      <c r="E1278" s="1" t="n">
        <v>40498</v>
      </c>
      <c r="F1278" t="inlineStr">
        <is>
          <t>cheesecake and chocolate....is there anything better??</t>
        </is>
      </c>
      <c r="G1278" t="n">
        <v>13</v>
      </c>
      <c r="H1278" t="n">
        <v>3600</v>
      </c>
      <c r="I1278">
        <f>D1278*60</f>
        <v/>
      </c>
      <c r="J1278">
        <f>COUNTIF(Отзывы!$D:$D, 442170)</f>
        <v/>
      </c>
    </row>
    <row r="1279">
      <c r="A1279" t="n">
        <v>4816</v>
      </c>
      <c r="B1279" t="inlineStr">
        <is>
          <t>carrot cake   alton brown</t>
        </is>
      </c>
      <c r="C1279" t="n">
        <v>228068</v>
      </c>
      <c r="D1279" s="4" t="n">
        <v>80</v>
      </c>
      <c r="E1279" s="1" t="n">
        <v>39217</v>
      </c>
      <c r="F1279" t="inlineStr">
        <is>
          <t>carrot cake alton brown</t>
        </is>
      </c>
      <c r="H1279" t="n">
        <v>4800</v>
      </c>
      <c r="I1279">
        <f>D1279*60</f>
        <v/>
      </c>
      <c r="J1279">
        <f>COUNTIF(Отзывы!$D:$D, 228068)</f>
        <v/>
      </c>
    </row>
    <row r="1280">
      <c r="A1280" t="n">
        <v>8788</v>
      </c>
      <c r="B1280" t="inlineStr">
        <is>
          <t>crumbly topped rhubarb</t>
        </is>
      </c>
      <c r="C1280" t="n">
        <v>8928</v>
      </c>
      <c r="D1280" s="4" t="n">
        <v>50</v>
      </c>
      <c r="E1280" s="1" t="n">
        <v>37017</v>
      </c>
      <c r="F1280" t="inlineStr">
        <is>
          <t>if you love rhubarb, you'll love this dessert!</t>
        </is>
      </c>
      <c r="H1280" t="n">
        <v>3000</v>
      </c>
      <c r="I1280">
        <f>D1280*60</f>
        <v/>
      </c>
      <c r="J1280">
        <f>COUNTIF(Отзывы!$D:$D, 8928)</f>
        <v/>
      </c>
    </row>
    <row r="1281">
      <c r="A1281" t="n">
        <v>19448</v>
      </c>
      <c r="B1281" t="inlineStr">
        <is>
          <t>oreo cream cheese dessert</t>
        </is>
      </c>
      <c r="C1281" t="n">
        <v>44302</v>
      </c>
      <c r="D1281" s="4" t="n">
        <v>15</v>
      </c>
      <c r="E1281" s="1" t="n">
        <v>37556</v>
      </c>
      <c r="F1281" t="inlineStr">
        <is>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is>
      </c>
      <c r="G1281" t="n">
        <v>5</v>
      </c>
      <c r="H1281" t="n">
        <v>900</v>
      </c>
      <c r="I1281">
        <f>D1281*60</f>
        <v/>
      </c>
      <c r="J1281">
        <f>COUNTIF(Отзывы!$D:$D, 44302)</f>
        <v/>
      </c>
    </row>
    <row r="1282">
      <c r="A1282" t="n">
        <v>9515</v>
      </c>
      <c r="B1282" t="inlineStr">
        <is>
          <t>djemma el fna harira soup</t>
        </is>
      </c>
      <c r="C1282" t="n">
        <v>267280</v>
      </c>
      <c r="D1282" s="4" t="n">
        <v>30</v>
      </c>
      <c r="E1282" s="1" t="n">
        <v>39407</v>
      </c>
      <c r="F1282" t="inlineStr">
        <is>
          <t>i just came back from marrakesh and had to recreate the harira i had in the djemma el fna market. i read about 20 recipes and used what i thought was the best of all of them, then used my tastebud memories for the rest. this is an extremely flexible recipe, and should be adjusted to suit your tastes. don't be daunted, it is exceptionally easy! harira is the soup that is traditionally used to break the fast each day during ramadan. note: the spice mix "ras el hanout" is a special blend of 15 - 35 spices created by each spice merchant to his own tastes. it is available to buy through various websites, or you might search the various ingredients and try making your own (i brought some home).</t>
        </is>
      </c>
      <c r="G1282" t="n">
        <v>20</v>
      </c>
      <c r="H1282" t="n">
        <v>1800</v>
      </c>
      <c r="I1282">
        <f>D1282*60</f>
        <v/>
      </c>
      <c r="J1282">
        <f>COUNTIF(Отзывы!$D:$D, 267280)</f>
        <v/>
      </c>
    </row>
    <row r="1283">
      <c r="A1283" t="n">
        <v>14594</v>
      </c>
      <c r="B1283" t="inlineStr">
        <is>
          <t>israeli halva</t>
        </is>
      </c>
      <c r="C1283" t="n">
        <v>529128</v>
      </c>
      <c r="D1283" s="4" t="n">
        <v>20</v>
      </c>
      <c r="E1283" s="1" t="n">
        <v>42693</v>
      </c>
      <c r="F1283" t="inlineStr">
        <is>
          <t>flaky, creamy, sweet sesame (tahini) goodness. this recipe uses the proper temperatures to achieve the perfect texture of halva.</t>
        </is>
      </c>
      <c r="H1283" t="n">
        <v>1200</v>
      </c>
      <c r="I1283">
        <f>D1283*60</f>
        <v/>
      </c>
      <c r="J1283">
        <f>COUNTIF(Отзывы!$D:$D, 529128)</f>
        <v/>
      </c>
    </row>
    <row r="1284">
      <c r="A1284" t="n">
        <v>15792</v>
      </c>
      <c r="B1284" t="inlineStr">
        <is>
          <t>lemon and anise biscotti</t>
        </is>
      </c>
      <c r="C1284" t="n">
        <v>367786</v>
      </c>
      <c r="D1284" s="4" t="n">
        <v>90</v>
      </c>
      <c r="E1284" s="1" t="n">
        <v>39927</v>
      </c>
      <c r="F1284" t="inlineStr">
        <is>
          <t>found in the 2001 cookbook, luscious lemon desserts, this recipe makes for some crunchy, flavorful cookies!</t>
        </is>
      </c>
      <c r="G1284" t="n">
        <v>10</v>
      </c>
      <c r="H1284" t="n">
        <v>5400</v>
      </c>
      <c r="I1284">
        <f>D1284*60</f>
        <v/>
      </c>
      <c r="J1284">
        <f>COUNTIF(Отзывы!$D:$D, 367786)</f>
        <v/>
      </c>
    </row>
    <row r="1285">
      <c r="A1285" t="n">
        <v>3897</v>
      </c>
      <c r="B1285" t="inlineStr">
        <is>
          <t>broiled tilapia with tomato caper salsa</t>
        </is>
      </c>
      <c r="C1285" t="n">
        <v>204248</v>
      </c>
      <c r="D1285" s="4" t="n">
        <v>15</v>
      </c>
      <c r="E1285" s="1" t="n">
        <v>39090</v>
      </c>
      <c r="F1285" t="inlineStr">
        <is>
          <t>from cooking light magazine</t>
        </is>
      </c>
      <c r="G1285" t="n">
        <v>11</v>
      </c>
      <c r="H1285" t="n">
        <v>900</v>
      </c>
      <c r="I1285">
        <f>D1285*60</f>
        <v/>
      </c>
      <c r="J1285">
        <f>COUNTIF(Отзывы!$D:$D, 204248)</f>
        <v/>
      </c>
    </row>
    <row r="1286">
      <c r="A1286" t="n">
        <v>15359</v>
      </c>
      <c r="B1286" t="inlineStr">
        <is>
          <t>kielbasa bean slow cooker soup</t>
        </is>
      </c>
      <c r="C1286" t="n">
        <v>385030</v>
      </c>
      <c r="D1286" s="4" t="n">
        <v>15</v>
      </c>
      <c r="E1286" s="1" t="n">
        <v>40036</v>
      </c>
      <c r="F1286" t="inlineStr">
        <is>
          <t>this is a great recipe that we use it was found on weight watchers and we love it.</t>
        </is>
      </c>
      <c r="H1286" t="n">
        <v>900</v>
      </c>
      <c r="I1286">
        <f>D1286*60</f>
        <v/>
      </c>
      <c r="J1286">
        <f>COUNTIF(Отзывы!$D:$D, 385030)</f>
        <v/>
      </c>
    </row>
    <row r="1287" ht="409.5" customHeight="1">
      <c r="A1287" t="n">
        <v>12435</v>
      </c>
      <c r="B1287" t="inlineStr">
        <is>
          <t>grandma s rivels</t>
        </is>
      </c>
      <c r="C1287" t="n">
        <v>406784</v>
      </c>
      <c r="D1287" s="4" t="n">
        <v>20</v>
      </c>
      <c r="E1287" s="1" t="n">
        <v>40182</v>
      </c>
      <c r="F1287" s="2" t="inlineStr">
        <is>
          <t>this will forever be a soup that makes me think of my grandma.  rivels are kind of simple little dumplings dropped into any flavor of broth.  when i asked my grandma how to make it, she said, "take some eggs and some flour, a little salt, and rivel 'em up!"  we often ate this soup with bbq grilled chicken during the summer._x000D_
_x000D_
(when i was younger we always had chicken rivels, but recently i made a stock with the ham bone from christmas, added some ham soup base, and diced up some leftover ham to add in.  this also produced great results!)</t>
        </is>
      </c>
      <c r="H1287" t="n">
        <v>1200</v>
      </c>
      <c r="I1287">
        <f>D1287*60</f>
        <v/>
      </c>
      <c r="J1287">
        <f>COUNTIF(Отзывы!$D:$D, 406784)</f>
        <v/>
      </c>
    </row>
    <row r="1288">
      <c r="A1288" t="n">
        <v>7131</v>
      </c>
      <c r="B1288" t="inlineStr">
        <is>
          <t>citrus cured salmon</t>
        </is>
      </c>
      <c r="C1288" t="n">
        <v>488258</v>
      </c>
      <c r="D1288" s="4" t="n">
        <v>30</v>
      </c>
      <c r="E1288" s="1" t="n">
        <v>41189</v>
      </c>
      <c r="F1288" t="inlineStr">
        <is>
          <t>now that i know how to cure salmon, i will never buy lox-style salmon again.  this is great on a bagel or on brown bread with either cream cheese or creme fraiche and the usual garnishes of sliced tomato, red onion, and capers  served on a platter with additional grated citrus atop the cured salmon makes for an elegant presentation for serving a crowd.  please note, the format here does not want to accept singular "fillet" and is stating "fillets."  however, a whole side of salmon fillet is used in one big piece, not several fillets.  happy cooking!</t>
        </is>
      </c>
      <c r="G1288" t="n">
        <v>6</v>
      </c>
      <c r="H1288" t="n">
        <v>1800</v>
      </c>
      <c r="I1288">
        <f>D1288*60</f>
        <v/>
      </c>
      <c r="J1288">
        <f>COUNTIF(Отзывы!$D:$D, 488258)</f>
        <v/>
      </c>
    </row>
    <row r="1289">
      <c r="A1289" t="n">
        <v>26215</v>
      </c>
      <c r="B1289" t="inlineStr">
        <is>
          <t>stupid moist miracle whip cupcakes</t>
        </is>
      </c>
      <c r="C1289" t="n">
        <v>33808</v>
      </c>
      <c r="D1289" s="4" t="n">
        <v>27</v>
      </c>
      <c r="E1289" s="1" t="n">
        <v>37448</v>
      </c>
      <c r="F1289" t="inlineStr">
        <is>
          <t>i know the miracle whip sounds strange, but it makes for the moistest cupcakes.</t>
        </is>
      </c>
      <c r="G1289" t="n">
        <v>8</v>
      </c>
      <c r="H1289" t="n">
        <v>1620</v>
      </c>
      <c r="I1289">
        <f>D1289*60</f>
        <v/>
      </c>
      <c r="J1289">
        <f>COUNTIF(Отзывы!$D:$D, 33808)</f>
        <v/>
      </c>
    </row>
    <row r="1290">
      <c r="A1290" t="n">
        <v>9134</v>
      </c>
      <c r="B1290" t="inlineStr">
        <is>
          <t>danish pork tenderloins</t>
        </is>
      </c>
      <c r="C1290" t="n">
        <v>504524</v>
      </c>
      <c r="D1290" s="4" t="n">
        <v>110</v>
      </c>
      <c r="E1290" s="1" t="n">
        <v>41479</v>
      </c>
      <c r="F1290" t="inlineStr">
        <is>
          <t>the danes are famous for their great quality pork, and this recipe showcases it perfectly! serve with recipe #504523</t>
        </is>
      </c>
      <c r="H1290" t="n">
        <v>6600</v>
      </c>
      <c r="I1290">
        <f>D1290*60</f>
        <v/>
      </c>
      <c r="J1290">
        <f>COUNTIF(Отзывы!$D:$D, 504524)</f>
        <v/>
      </c>
    </row>
    <row r="1291">
      <c r="A1291" t="n">
        <v>21560</v>
      </c>
      <c r="B1291" t="inlineStr">
        <is>
          <t>pretzel rolls</t>
        </is>
      </c>
      <c r="C1291" t="n">
        <v>498911</v>
      </c>
      <c r="D1291" s="4" t="n">
        <v>115</v>
      </c>
      <c r="E1291" s="1" t="n">
        <v>41378</v>
      </c>
      <c r="F1291" t="inlineStr">
        <is>
          <t>pretzel rolls.  they're good, worth the work.</t>
        </is>
      </c>
      <c r="H1291" t="n">
        <v>6900</v>
      </c>
      <c r="I1291">
        <f>D1291*60</f>
        <v/>
      </c>
      <c r="J1291">
        <f>COUNTIF(Отзывы!$D:$D, 498911)</f>
        <v/>
      </c>
    </row>
    <row r="1292">
      <c r="A1292" t="n">
        <v>26352</v>
      </c>
      <c r="B1292" t="inlineStr">
        <is>
          <t>sun dried tomato hummus</t>
        </is>
      </c>
      <c r="C1292" t="n">
        <v>9232</v>
      </c>
      <c r="D1292" s="6" t="n">
        <v>10</v>
      </c>
      <c r="E1292" s="1" t="n">
        <v>37043</v>
      </c>
      <c r="F1292" t="inlineStr">
        <is>
          <t>this is a good party dip, and is very healthy. i made plain hummus before but always thought it needed some flavor, well the sun-dried tomatoes did that for me! hope you enjoy it!</t>
        </is>
      </c>
      <c r="H1292" t="n">
        <v>600</v>
      </c>
      <c r="I1292">
        <f>D1292*60</f>
        <v/>
      </c>
      <c r="J1292">
        <f>COUNTIF(Отзывы!$D:$D, 9232)</f>
        <v/>
      </c>
    </row>
    <row r="1293">
      <c r="A1293" t="n">
        <v>21</v>
      </c>
      <c r="B1293" t="inlineStr">
        <is>
          <t>kelly s creamy cheddar pea salad</t>
        </is>
      </c>
      <c r="C1293" t="n">
        <v>125195</v>
      </c>
      <c r="D1293" s="4" t="n">
        <v>20</v>
      </c>
      <c r="E1293" s="1" t="n">
        <v>38512</v>
      </c>
      <c r="F1293" t="inlineStr">
        <is>
          <t>i'm not a big fan of peas, but like them in things. this salad is one of my favorites. happy to share!</t>
        </is>
      </c>
      <c r="G1293" t="n">
        <v>10</v>
      </c>
      <c r="H1293" t="n">
        <v>1200</v>
      </c>
      <c r="I1293">
        <f>D1293*60</f>
        <v/>
      </c>
      <c r="J1293">
        <f>COUNTIF(Отзывы!$D:$D, 125195)</f>
        <v/>
      </c>
    </row>
    <row r="1294">
      <c r="A1294" t="n">
        <v>9009</v>
      </c>
      <c r="B1294" t="inlineStr">
        <is>
          <t>curried potato and pea soup</t>
        </is>
      </c>
      <c r="C1294" t="n">
        <v>218753</v>
      </c>
      <c r="D1294" s="4" t="n">
        <v>35</v>
      </c>
      <c r="E1294" s="1" t="n">
        <v>39166</v>
      </c>
      <c r="F1294" t="inlineStr">
        <is>
          <t>delicious and easy to make. a perfect after-church light lunch.</t>
        </is>
      </c>
      <c r="G1294" t="n">
        <v>15</v>
      </c>
      <c r="H1294" t="n">
        <v>2100</v>
      </c>
      <c r="I1294">
        <f>D1294*60</f>
        <v/>
      </c>
      <c r="J1294">
        <f>COUNTIF(Отзывы!$D:$D, 218753)</f>
        <v/>
      </c>
    </row>
    <row r="1295" ht="390" customHeight="1">
      <c r="A1295" t="n">
        <v>14726</v>
      </c>
      <c r="B1295" t="inlineStr">
        <is>
          <t>italian sausage orzo soup</t>
        </is>
      </c>
      <c r="C1295" t="n">
        <v>472337</v>
      </c>
      <c r="D1295" s="4" t="n">
        <v>35</v>
      </c>
      <c r="E1295" s="1" t="n">
        <v>40926</v>
      </c>
      <c r="F1295" s="2" t="inlineStr">
        <is>
          <t>this one the number one soup picked out of the bay life north magazine in traverse city.  i used turkey sweet italian sausage._x000D_
i added a tich more orzo to the pot then the recipe calls for.</t>
        </is>
      </c>
      <c r="H1295" t="n">
        <v>2100</v>
      </c>
      <c r="I1295">
        <f>D1295*60</f>
        <v/>
      </c>
      <c r="J1295">
        <f>COUNTIF(Отзывы!$D:$D, 472337)</f>
        <v/>
      </c>
    </row>
    <row r="1296">
      <c r="A1296" t="n">
        <v>3192</v>
      </c>
      <c r="B1296" t="inlineStr">
        <is>
          <t>black pepper pasta</t>
        </is>
      </c>
      <c r="C1296" t="n">
        <v>36165</v>
      </c>
      <c r="D1296" s="4" t="n">
        <v>45</v>
      </c>
      <c r="E1296" s="1" t="n">
        <v>37473</v>
      </c>
      <c r="F1296" t="inlineStr">
        <is>
          <t>do not skip the kneading or resting portion of this recipe. they are essential for a light pasta.</t>
        </is>
      </c>
      <c r="G1296" t="n">
        <v>5</v>
      </c>
      <c r="H1296" t="n">
        <v>2700</v>
      </c>
      <c r="I1296">
        <f>D1296*60</f>
        <v/>
      </c>
      <c r="J1296">
        <f>COUNTIF(Отзывы!$D:$D, 36165)</f>
        <v/>
      </c>
    </row>
    <row r="1297">
      <c r="A1297" t="n">
        <v>10515</v>
      </c>
      <c r="B1297" t="inlineStr">
        <is>
          <t>ellie krieger s sloppy joes</t>
        </is>
      </c>
      <c r="C1297" t="n">
        <v>450961</v>
      </c>
      <c r="D1297" s="4" t="n">
        <v>45</v>
      </c>
      <c r="E1297" s="1" t="n">
        <v>40618</v>
      </c>
      <c r="F1297" t="inlineStr">
        <is>
          <t>in 'the food you crave' by ellie krieger</t>
        </is>
      </c>
      <c r="H1297" t="n">
        <v>2700</v>
      </c>
      <c r="I1297">
        <f>D1297*60</f>
        <v/>
      </c>
      <c r="J1297">
        <f>COUNTIF(Отзывы!$D:$D, 450961)</f>
        <v/>
      </c>
    </row>
    <row r="1298">
      <c r="A1298" t="n">
        <v>23964</v>
      </c>
      <c r="B1298" t="inlineStr">
        <is>
          <t>sherry trifle</t>
        </is>
      </c>
      <c r="C1298" t="n">
        <v>8639</v>
      </c>
      <c r="D1298" s="4" t="n">
        <v>20</v>
      </c>
      <c r="E1298" s="1" t="n">
        <v>36964</v>
      </c>
      <c r="F1298" t="inlineStr">
        <is>
          <t>this is the type of trifle i remember as a child growing up in england.</t>
        </is>
      </c>
      <c r="G1298" t="n">
        <v>7</v>
      </c>
      <c r="H1298" t="n">
        <v>1200</v>
      </c>
      <c r="I1298">
        <f>D1298*60</f>
        <v/>
      </c>
      <c r="J1298">
        <f>COUNTIF(Отзывы!$D:$D, 8639)</f>
        <v/>
      </c>
    </row>
    <row r="1299">
      <c r="A1299" t="n">
        <v>25753</v>
      </c>
      <c r="B1299" t="inlineStr">
        <is>
          <t>spring vegetable coleslaw</t>
        </is>
      </c>
      <c r="C1299" t="n">
        <v>338842</v>
      </c>
      <c r="D1299" s="6" t="n">
        <v>6</v>
      </c>
      <c r="E1299" s="1" t="n">
        <v>39773</v>
      </c>
      <c r="F1299" t="inlineStr">
        <is>
          <t>this is a kraft recipe, love the sound of having coleslaw with bacon added, gotta love bacon!!!</t>
        </is>
      </c>
      <c r="G1299" t="n">
        <v>7</v>
      </c>
      <c r="H1299" t="n">
        <v>360</v>
      </c>
      <c r="I1299">
        <f>D1299*60</f>
        <v/>
      </c>
      <c r="J1299">
        <f>COUNTIF(Отзывы!$D:$D, 338842)</f>
        <v/>
      </c>
    </row>
    <row r="1300">
      <c r="A1300" t="n">
        <v>20507</v>
      </c>
      <c r="B1300" t="inlineStr">
        <is>
          <t>peppermint swirls</t>
        </is>
      </c>
      <c r="C1300" t="n">
        <v>342778</v>
      </c>
      <c r="D1300" s="4" t="n">
        <v>35</v>
      </c>
      <c r="E1300" s="1" t="n">
        <v>39791</v>
      </c>
      <c r="F1300" t="inlineStr">
        <is>
          <t>another cookie for your holiday cookie tray.  as a bonus, this recipe can be refrigerated for up to a week.  by leaving out the last 3 ingredients you could "morph" this recipe to other flavored and/or shape cookies.  the cooking time is per baking sheet-ful.</t>
        </is>
      </c>
      <c r="G1300" t="n">
        <v>10</v>
      </c>
      <c r="H1300" t="n">
        <v>2100</v>
      </c>
      <c r="I1300">
        <f>D1300*60</f>
        <v/>
      </c>
      <c r="J1300">
        <f>COUNTIF(Отзывы!$D:$D, 342778)</f>
        <v/>
      </c>
    </row>
    <row r="1301">
      <c r="A1301" t="n">
        <v>4223</v>
      </c>
      <c r="B1301" t="inlineStr">
        <is>
          <t>buttermilk rusks  south african</t>
        </is>
      </c>
      <c r="C1301" t="n">
        <v>133474</v>
      </c>
      <c r="D1301" s="4" t="n">
        <v>70</v>
      </c>
      <c r="E1301" s="1" t="n">
        <v>38579</v>
      </c>
      <c r="F1301" t="inlineStr">
        <is>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is>
      </c>
      <c r="G1301" t="n">
        <v>7</v>
      </c>
      <c r="H1301" t="n">
        <v>4200</v>
      </c>
      <c r="I1301">
        <f>D1301*60</f>
        <v/>
      </c>
      <c r="J1301">
        <f>COUNTIF(Отзывы!$D:$D, 133474)</f>
        <v/>
      </c>
    </row>
    <row r="1302">
      <c r="A1302" t="n">
        <v>28009</v>
      </c>
      <c r="B1302" t="inlineStr">
        <is>
          <t>triscuits florentine</t>
        </is>
      </c>
      <c r="C1302" t="n">
        <v>163165</v>
      </c>
      <c r="D1302" s="4" t="n">
        <v>15</v>
      </c>
      <c r="E1302" s="1" t="n">
        <v>38813</v>
      </c>
      <c r="F1302" t="inlineStr">
        <is>
          <t>a fun and tasty little appetizer or snack, using healthy whole grain crackers and lots of other good stuff!</t>
        </is>
      </c>
      <c r="G1302" t="n">
        <v>6</v>
      </c>
      <c r="H1302" t="n">
        <v>900</v>
      </c>
      <c r="I1302">
        <f>D1302*60</f>
        <v/>
      </c>
      <c r="J1302">
        <f>COUNTIF(Отзывы!$D:$D, 163165)</f>
        <v/>
      </c>
    </row>
    <row r="1303">
      <c r="A1303" t="n">
        <v>11807</v>
      </c>
      <c r="B1303" t="inlineStr">
        <is>
          <t>garlic rosemary chicken with potatoes</t>
        </is>
      </c>
      <c r="C1303" t="n">
        <v>351866</v>
      </c>
      <c r="D1303" s="4" t="n">
        <v>65</v>
      </c>
      <c r="E1303" s="1" t="n">
        <v>39839</v>
      </c>
      <c r="F1303" t="inlineStr">
        <is>
          <t>this is a nice recipe that give even the potatoes a little bit of a tart taste. i wrote this down for my sister who is always looking for an easy recipe.</t>
        </is>
      </c>
      <c r="G1303" t="n">
        <v>7</v>
      </c>
      <c r="H1303" t="n">
        <v>3900</v>
      </c>
      <c r="I1303">
        <f>D1303*60</f>
        <v/>
      </c>
      <c r="J1303">
        <f>COUNTIF(Отзывы!$D:$D, 351866)</f>
        <v/>
      </c>
    </row>
    <row r="1304">
      <c r="A1304" t="n">
        <v>8220</v>
      </c>
      <c r="B1304" t="inlineStr">
        <is>
          <t>creamy chicken  basil  and sun dried tomato pasta bake</t>
        </is>
      </c>
      <c r="C1304" t="n">
        <v>157194</v>
      </c>
      <c r="D1304" s="4" t="n">
        <v>50</v>
      </c>
      <c r="E1304" s="1" t="n">
        <v>38770</v>
      </c>
      <c r="F1304" t="inlineStr">
        <is>
          <t>this is from wild oats.  it can be made up the night before and then just popped in the oven the next day.  they recommend it be served with steamed veggies or a crisp green salad.</t>
        </is>
      </c>
      <c r="G1304" t="n">
        <v>14</v>
      </c>
      <c r="H1304" t="n">
        <v>3000</v>
      </c>
      <c r="I1304">
        <f>D1304*60</f>
        <v/>
      </c>
      <c r="J1304">
        <f>COUNTIF(Отзывы!$D:$D, 157194)</f>
        <v/>
      </c>
    </row>
    <row r="1305">
      <c r="A1305" t="n">
        <v>15739</v>
      </c>
      <c r="B1305" t="inlineStr">
        <is>
          <t>leek   cheese couscous cake</t>
        </is>
      </c>
      <c r="C1305" t="n">
        <v>161259</v>
      </c>
      <c r="D1305" s="4" t="n">
        <v>40</v>
      </c>
      <c r="E1305" s="1" t="n">
        <v>38799</v>
      </c>
      <c r="F1305" t="inlineStr">
        <is>
          <t>a different way to serve couscous.  the cheese melts into the couscous helping it stick together.  serve with a crisp green salad &amp; tomatoes.  for a change use caramelised onions in place of the leeks.</t>
        </is>
      </c>
      <c r="G1305" t="n">
        <v>5</v>
      </c>
      <c r="H1305" t="n">
        <v>2400</v>
      </c>
      <c r="I1305">
        <f>D1305*60</f>
        <v/>
      </c>
      <c r="J1305">
        <f>COUNTIF(Отзывы!$D:$D, 161259)</f>
        <v/>
      </c>
    </row>
    <row r="1306">
      <c r="A1306" t="n">
        <v>25152</v>
      </c>
      <c r="B1306" t="inlineStr">
        <is>
          <t>sparkling ginger orange cocktails   mocktails</t>
        </is>
      </c>
      <c r="C1306" t="n">
        <v>458357</v>
      </c>
      <c r="D1306" s="6" t="n">
        <v>5</v>
      </c>
      <c r="E1306" s="1" t="n">
        <v>40702</v>
      </c>
      <c r="F1306" t="inlineStr">
        <is>
          <t>serve ginger orange mocktails for moms-to-be, or try our sparkling wine variation to tast a wedding engagement. garnish with orange slices and fresh mint sprigs, if desired. from southern living magazine, april 2011.</t>
        </is>
      </c>
      <c r="H1306" t="n">
        <v>300</v>
      </c>
      <c r="I1306">
        <f>D1306*60</f>
        <v/>
      </c>
      <c r="J1306">
        <f>COUNTIF(Отзывы!$D:$D, 458357)</f>
        <v/>
      </c>
    </row>
    <row r="1307">
      <c r="A1307" t="n">
        <v>598</v>
      </c>
      <c r="B1307" t="inlineStr">
        <is>
          <t>alyssa s butter fly tarts</t>
        </is>
      </c>
      <c r="C1307" t="n">
        <v>225426</v>
      </c>
      <c r="D1307" s="4" t="n">
        <v>65</v>
      </c>
      <c r="E1307" s="1" t="n">
        <v>39202</v>
      </c>
      <c r="F1307" t="inlineStr">
        <is>
          <t>like nanaimo bars, butter tarts are a canadian treat and all recipes are very similar. increase the corn syrup - they will be runnier; increase the brown sugar - they will be less runny. the cooking time will also affect the texture of the filling. my daughter and granddaughter won second place in the butter tart contest at the good food festival in toronto...... and yes, i am very proud of them ....... and yes, the tarts are delicious! my granddaughter came up with the recipe name based on the display platter they used for the contest. you can leave out the raisins entirely or decrease the amount ........ try currants or pecans, or walnuts or a mixture. my grandchildren like them with chocolate chips - the choice is yours!</t>
        </is>
      </c>
      <c r="G1307" t="n">
        <v>12</v>
      </c>
      <c r="H1307" t="n">
        <v>3900</v>
      </c>
      <c r="I1307">
        <f>D1307*60</f>
        <v/>
      </c>
      <c r="J1307">
        <f>COUNTIF(Отзывы!$D:$D, 225426)</f>
        <v/>
      </c>
    </row>
    <row r="1308">
      <c r="A1308" t="n">
        <v>22075</v>
      </c>
      <c r="B1308" t="inlineStr">
        <is>
          <t>rafaelo</t>
        </is>
      </c>
      <c r="C1308" t="n">
        <v>217583</v>
      </c>
      <c r="D1308" s="4" t="n">
        <v>60</v>
      </c>
      <c r="E1308" s="1" t="n">
        <v>39161</v>
      </c>
      <c r="F1308" t="inlineStr">
        <is>
          <t>inspired by ferrero's raffaello.</t>
        </is>
      </c>
      <c r="G1308" t="n">
        <v>5</v>
      </c>
      <c r="H1308" t="n">
        <v>3600</v>
      </c>
      <c r="I1308">
        <f>D1308*60</f>
        <v/>
      </c>
      <c r="J1308">
        <f>COUNTIF(Отзывы!$D:$D, 217583)</f>
        <v/>
      </c>
    </row>
    <row r="1309">
      <c r="A1309" t="n">
        <v>5951</v>
      </c>
      <c r="B1309" t="inlineStr">
        <is>
          <t>chicken salad tea sandwiches</t>
        </is>
      </c>
      <c r="C1309" t="n">
        <v>361470</v>
      </c>
      <c r="D1309" s="4" t="n">
        <v>30</v>
      </c>
      <c r="E1309" s="1" t="n">
        <v>39889</v>
      </c>
      <c r="F1309" t="inlineStr">
        <is>
          <t>crunchy, yummy tea sandwiches.</t>
        </is>
      </c>
      <c r="G1309" t="n">
        <v>10</v>
      </c>
      <c r="H1309" t="n">
        <v>1800</v>
      </c>
      <c r="I1309">
        <f>D1309*60</f>
        <v/>
      </c>
      <c r="J1309">
        <f>COUNTIF(Отзывы!$D:$D, 361470)</f>
        <v/>
      </c>
    </row>
    <row r="1310">
      <c r="A1310" t="n">
        <v>2673</v>
      </c>
      <c r="B1310" t="inlineStr">
        <is>
          <t>beef stir fry with asparagus  red bell peppers and caramelized o</t>
        </is>
      </c>
      <c r="C1310" t="n">
        <v>418508</v>
      </c>
      <c r="D1310" s="4" t="n">
        <v>45</v>
      </c>
      <c r="E1310" s="1" t="n">
        <v>40267</v>
      </c>
      <c r="F1310" t="inlineStr">
        <is>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is>
      </c>
      <c r="G1310" t="n">
        <v>12</v>
      </c>
      <c r="H1310" t="n">
        <v>2700</v>
      </c>
      <c r="I1310">
        <f>D1310*60</f>
        <v/>
      </c>
      <c r="J1310">
        <f>COUNTIF(Отзывы!$D:$D, 418508)</f>
        <v/>
      </c>
    </row>
    <row r="1311">
      <c r="A1311" t="n">
        <v>3152</v>
      </c>
      <c r="B1311" t="inlineStr">
        <is>
          <t>black beans and brown rice</t>
        </is>
      </c>
      <c r="C1311" t="n">
        <v>99411</v>
      </c>
      <c r="D1311" s="4" t="n">
        <v>75</v>
      </c>
      <c r="E1311" s="1" t="n">
        <v>38238</v>
      </c>
      <c r="F1311" t="inlineStr">
        <is>
          <t>this is easy, high fiber and tasty, too!</t>
        </is>
      </c>
      <c r="G1311" t="n">
        <v>7</v>
      </c>
      <c r="H1311" t="n">
        <v>4500</v>
      </c>
      <c r="I1311">
        <f>D1311*60</f>
        <v/>
      </c>
      <c r="J1311">
        <f>COUNTIF(Отзывы!$D:$D, 99411)</f>
        <v/>
      </c>
    </row>
    <row r="1312">
      <c r="A1312" t="n">
        <v>14931</v>
      </c>
      <c r="B1312" t="inlineStr">
        <is>
          <t>jeanne s teacakes</t>
        </is>
      </c>
      <c r="C1312" t="n">
        <v>264560</v>
      </c>
      <c r="D1312" s="4" t="n">
        <v>15</v>
      </c>
      <c r="E1312" s="1" t="n">
        <v>39395</v>
      </c>
      <c r="F1312" t="inlineStr">
        <is>
          <t>teacakes are a southern staple.  they are easy and inexpensive to make, and the flavor is amazing.  recipe can be halved and cookies can be baked in a toaster oven.</t>
        </is>
      </c>
      <c r="H1312" t="n">
        <v>900</v>
      </c>
      <c r="I1312">
        <f>D1312*60</f>
        <v/>
      </c>
      <c r="J1312">
        <f>COUNTIF(Отзывы!$D:$D, 264560)</f>
        <v/>
      </c>
    </row>
    <row r="1313" ht="285" customHeight="1">
      <c r="A1313" t="n">
        <v>14384</v>
      </c>
      <c r="B1313" t="inlineStr">
        <is>
          <t>iced mocha cafe</t>
        </is>
      </c>
      <c r="C1313" t="n">
        <v>198790</v>
      </c>
      <c r="D1313" s="6" t="n">
        <v>10</v>
      </c>
      <c r="E1313" s="1" t="n">
        <v>39053</v>
      </c>
      <c r="F1313" s="2" t="inlineStr">
        <is>
          <t>brew a little stronger than normal coffee for this. adapted from a coffee site._x000D_
coffee mochas are popular in spain, italy, and all over the usa!</t>
        </is>
      </c>
      <c r="G1313" t="n">
        <v>5</v>
      </c>
      <c r="H1313" t="n">
        <v>600</v>
      </c>
      <c r="I1313">
        <f>D1313*60</f>
        <v/>
      </c>
      <c r="J1313">
        <f>COUNTIF(Отзывы!$D:$D, 198790)</f>
        <v/>
      </c>
    </row>
    <row r="1314">
      <c r="A1314" t="n">
        <v>6874</v>
      </c>
      <c r="B1314" t="inlineStr">
        <is>
          <t>christiana campbell s tavern saffron rice pilaf</t>
        </is>
      </c>
      <c r="C1314" t="n">
        <v>347714</v>
      </c>
      <c r="D1314" s="4" t="n">
        <v>35</v>
      </c>
      <c r="E1314" s="1" t="n">
        <v>39820</v>
      </c>
      <c r="F1314" t="inlineStr">
        <is>
          <t>from the colonial williamsburg tavern cookbook, c. 2001.  i add a tablespoon or two of minced onion when i add the rice.  also, i use about half the salt listed in the ingredients.</t>
        </is>
      </c>
      <c r="H1314" t="n">
        <v>2100</v>
      </c>
      <c r="I1314">
        <f>D1314*60</f>
        <v/>
      </c>
      <c r="J1314">
        <f>COUNTIF(Отзывы!$D:$D, 347714)</f>
        <v/>
      </c>
    </row>
    <row r="1315">
      <c r="A1315" t="n">
        <v>21916</v>
      </c>
      <c r="B1315" t="inlineStr">
        <is>
          <t>quick chicken tortilla soup</t>
        </is>
      </c>
      <c r="C1315" t="n">
        <v>97786</v>
      </c>
      <c r="D1315" s="6" t="n">
        <v>10</v>
      </c>
      <c r="E1315" s="1" t="n">
        <v>38212</v>
      </c>
      <c r="F1315" t="inlineStr">
        <is>
          <t>quick, easy and tasty.</t>
        </is>
      </c>
      <c r="H1315" t="n">
        <v>600</v>
      </c>
      <c r="I1315">
        <f>D1315*60</f>
        <v/>
      </c>
      <c r="J1315">
        <f>COUNTIF(Отзывы!$D:$D, 97786)</f>
        <v/>
      </c>
    </row>
    <row r="1316">
      <c r="A1316" t="n">
        <v>13936</v>
      </c>
      <c r="B1316" t="inlineStr">
        <is>
          <t>hominy hummus</t>
        </is>
      </c>
      <c r="C1316" t="n">
        <v>107886</v>
      </c>
      <c r="D1316" s="6" t="n">
        <v>5</v>
      </c>
      <c r="E1316" s="1" t="n">
        <v>38361</v>
      </c>
      <c r="F1316" t="inlineStr">
        <is>
          <t>a unique alternative to a chickpea/garbanzo hummus.</t>
        </is>
      </c>
      <c r="G1316" t="n">
        <v>6</v>
      </c>
      <c r="H1316" t="n">
        <v>300</v>
      </c>
      <c r="I1316">
        <f>D1316*60</f>
        <v/>
      </c>
      <c r="J1316">
        <f>COUNTIF(Отзывы!$D:$D, 107886)</f>
        <v/>
      </c>
    </row>
    <row r="1317">
      <c r="A1317" t="n">
        <v>26189</v>
      </c>
      <c r="B1317" t="inlineStr">
        <is>
          <t>stuffed pasta shells</t>
        </is>
      </c>
      <c r="C1317" t="n">
        <v>302529</v>
      </c>
      <c r="D1317" s="4" t="n">
        <v>50</v>
      </c>
      <c r="E1317" s="1" t="n">
        <v>39575</v>
      </c>
      <c r="F1317" t="inlineStr">
        <is>
          <t>i also found this recipe in a school cookbook.  and since i love pasta, i thought this recipe was perfect.  hope you like it.  i like it with a little cheese sprinkled over the top.  enjoy!!!!</t>
        </is>
      </c>
      <c r="G1317" t="n">
        <v>5</v>
      </c>
      <c r="H1317" t="n">
        <v>3000</v>
      </c>
      <c r="I1317">
        <f>D1317*60</f>
        <v/>
      </c>
      <c r="J1317">
        <f>COUNTIF(Отзывы!$D:$D, 302529)</f>
        <v/>
      </c>
    </row>
    <row r="1318">
      <c r="A1318" t="n">
        <v>4119</v>
      </c>
      <c r="B1318" t="inlineStr">
        <is>
          <t>burgers stuffed with blue cheese</t>
        </is>
      </c>
      <c r="C1318" t="n">
        <v>17378</v>
      </c>
      <c r="D1318" s="4" t="n">
        <v>30</v>
      </c>
      <c r="E1318" s="1" t="n">
        <v>37273</v>
      </c>
      <c r="F1318" t="inlineStr">
        <is>
          <t>posted in response to a requested for stuffed burgers.</t>
        </is>
      </c>
      <c r="G1318" t="n">
        <v>11</v>
      </c>
      <c r="H1318" t="n">
        <v>1800</v>
      </c>
      <c r="I1318">
        <f>D1318*60</f>
        <v/>
      </c>
      <c r="J1318">
        <f>COUNTIF(Отзывы!$D:$D, 17378)</f>
        <v/>
      </c>
    </row>
    <row r="1319">
      <c r="A1319" t="n">
        <v>13604</v>
      </c>
      <c r="B1319" t="inlineStr">
        <is>
          <t>henry s farmers market perfect beef prime rib roast</t>
        </is>
      </c>
      <c r="C1319" t="n">
        <v>405671</v>
      </c>
      <c r="D1319" s="4" t="n">
        <v>75</v>
      </c>
      <c r="E1319" s="1" t="n">
        <v>40176</v>
      </c>
      <c r="F1319" t="inlineStr">
        <is>
          <t>given out by butcher at henry's farmers market in monrovia, ca during the week before christmas.</t>
        </is>
      </c>
      <c r="G1319" t="n">
        <v>13</v>
      </c>
      <c r="H1319" t="n">
        <v>4500</v>
      </c>
      <c r="I1319">
        <f>D1319*60</f>
        <v/>
      </c>
      <c r="J1319">
        <f>COUNTIF(Отзывы!$D:$D, 405671)</f>
        <v/>
      </c>
    </row>
    <row r="1320">
      <c r="A1320" t="n">
        <v>28909</v>
      </c>
      <c r="B1320" t="inlineStr">
        <is>
          <t>vineyard fizz  non alcoholic</t>
        </is>
      </c>
      <c r="C1320" t="n">
        <v>115403</v>
      </c>
      <c r="D1320" s="6" t="n">
        <v>5</v>
      </c>
      <c r="E1320" s="1" t="n">
        <v>38447</v>
      </c>
      <c r="F1320" t="inlineStr">
        <is>
          <t>it is always good to know some non-alcoholic cocktail recipes for those who choose not to drink.</t>
        </is>
      </c>
      <c r="G1320" t="n">
        <v>4</v>
      </c>
      <c r="H1320" t="n">
        <v>300</v>
      </c>
      <c r="I1320">
        <f>D1320*60</f>
        <v/>
      </c>
      <c r="J1320">
        <f>COUNTIF(Отзывы!$D:$D, 115403)</f>
        <v/>
      </c>
    </row>
    <row r="1321">
      <c r="A1321" t="n">
        <v>5521</v>
      </c>
      <c r="B1321" t="inlineStr">
        <is>
          <t>chicken   quinoa salad</t>
        </is>
      </c>
      <c r="C1321" t="n">
        <v>246887</v>
      </c>
      <c r="D1321" s="4" t="n">
        <v>30</v>
      </c>
      <c r="E1321" s="1" t="n">
        <v>39310</v>
      </c>
      <c r="F1321" t="inlineStr">
        <is>
          <t>this salad is high in protein and simple to make.  i use chicken that has been grilled, but any leftover chicken would work.  i might also try it with some baked tofu in place of the chicken.</t>
        </is>
      </c>
      <c r="H1321" t="n">
        <v>1800</v>
      </c>
      <c r="I1321">
        <f>D1321*60</f>
        <v/>
      </c>
      <c r="J1321">
        <f>COUNTIF(Отзывы!$D:$D, 246887)</f>
        <v/>
      </c>
    </row>
    <row r="1322">
      <c r="A1322" t="n">
        <v>17854</v>
      </c>
      <c r="B1322" t="inlineStr">
        <is>
          <t>mixed vegetable dish</t>
        </is>
      </c>
      <c r="C1322" t="n">
        <v>70741</v>
      </c>
      <c r="D1322" s="4" t="n">
        <v>45</v>
      </c>
      <c r="E1322" s="1" t="n">
        <v>37872</v>
      </c>
      <c r="G1322" t="n">
        <v>7</v>
      </c>
      <c r="H1322" t="n">
        <v>2700</v>
      </c>
      <c r="I1322">
        <f>D1322*60</f>
        <v/>
      </c>
      <c r="J1322">
        <f>COUNTIF(Отзывы!$D:$D, 70741)</f>
        <v/>
      </c>
    </row>
    <row r="1323">
      <c r="A1323" t="n">
        <v>23551</v>
      </c>
      <c r="B1323" t="inlineStr">
        <is>
          <t>sauteed zucchini strings</t>
        </is>
      </c>
      <c r="C1323" t="n">
        <v>270014</v>
      </c>
      <c r="D1323" s="4" t="n">
        <v>20</v>
      </c>
      <c r="E1323" s="1" t="n">
        <v>39421</v>
      </c>
      <c r="F1323" t="inlineStr">
        <is>
          <t>this makes four side-dish servings.</t>
        </is>
      </c>
      <c r="H1323" t="n">
        <v>1200</v>
      </c>
      <c r="I1323">
        <f>D1323*60</f>
        <v/>
      </c>
      <c r="J1323">
        <f>COUNTIF(Отзывы!$D:$D, 270014)</f>
        <v/>
      </c>
    </row>
    <row r="1324">
      <c r="A1324" t="n">
        <v>18278</v>
      </c>
      <c r="B1324" t="inlineStr">
        <is>
          <t>mushroom and cranberry rice</t>
        </is>
      </c>
      <c r="C1324" t="n">
        <v>350188</v>
      </c>
      <c r="D1324" s="4" t="n">
        <v>17</v>
      </c>
      <c r="E1324" s="1" t="n">
        <v>39829</v>
      </c>
      <c r="F1324" t="inlineStr">
        <is>
          <t>this recipe sounds a little strange, but tastes soo good.</t>
        </is>
      </c>
      <c r="G1324" t="n">
        <v>11</v>
      </c>
      <c r="H1324" t="n">
        <v>1020</v>
      </c>
      <c r="I1324">
        <f>D1324*60</f>
        <v/>
      </c>
      <c r="J1324">
        <f>COUNTIF(Отзывы!$D:$D, 350188)</f>
        <v/>
      </c>
    </row>
    <row r="1325">
      <c r="A1325" t="n">
        <v>26790</v>
      </c>
      <c r="B1325" t="inlineStr">
        <is>
          <t>sweet toffee pretzel mix</t>
        </is>
      </c>
      <c r="C1325" t="n">
        <v>130173</v>
      </c>
      <c r="D1325" s="4" t="n">
        <v>35</v>
      </c>
      <c r="E1325" s="1" t="n">
        <v>38551</v>
      </c>
      <c r="F1325" t="inlineStr">
        <is>
          <t>a yummy sweet and salty snack!</t>
        </is>
      </c>
      <c r="G1325" t="n">
        <v>6</v>
      </c>
      <c r="H1325" t="n">
        <v>2100</v>
      </c>
      <c r="I1325">
        <f>D1325*60</f>
        <v/>
      </c>
      <c r="J1325">
        <f>COUNTIF(Отзывы!$D:$D, 130173)</f>
        <v/>
      </c>
    </row>
    <row r="1326">
      <c r="A1326" t="n">
        <v>7819</v>
      </c>
      <c r="B1326" t="inlineStr">
        <is>
          <t>crab melt</t>
        </is>
      </c>
      <c r="C1326" t="n">
        <v>64921</v>
      </c>
      <c r="D1326" s="4" t="n">
        <v>25</v>
      </c>
      <c r="E1326" s="1" t="n">
        <v>37790</v>
      </c>
      <c r="F1326" t="inlineStr">
        <is>
          <t>nice appetizer or snack.</t>
        </is>
      </c>
      <c r="G1326" t="n">
        <v>8</v>
      </c>
      <c r="H1326" t="n">
        <v>1500</v>
      </c>
      <c r="I1326">
        <f>D1326*60</f>
        <v/>
      </c>
      <c r="J1326">
        <f>COUNTIF(Отзывы!$D:$D, 64921)</f>
        <v/>
      </c>
    </row>
    <row r="1327">
      <c r="A1327" t="n">
        <v>794</v>
      </c>
      <c r="B1327" t="inlineStr">
        <is>
          <t>apple   veggie soup</t>
        </is>
      </c>
      <c r="C1327" t="n">
        <v>71046</v>
      </c>
      <c r="D1327" s="4" t="n">
        <v>55</v>
      </c>
      <c r="E1327" s="1" t="n">
        <v>37874</v>
      </c>
      <c r="F1327" t="inlineStr">
        <is>
          <t>i served this with a thanksgiving dinner and it complimented the meal. make the day ahead, refrigerate and heat just before the dinner</t>
        </is>
      </c>
      <c r="G1327" t="n">
        <v>10</v>
      </c>
      <c r="H1327" t="n">
        <v>3300</v>
      </c>
      <c r="I1327">
        <f>D1327*60</f>
        <v/>
      </c>
      <c r="J1327">
        <f>COUNTIF(Отзывы!$D:$D, 71046)</f>
        <v/>
      </c>
    </row>
    <row r="1328" ht="409.5" customHeight="1">
      <c r="A1328" t="n">
        <v>12402</v>
      </c>
      <c r="B1328" t="inlineStr">
        <is>
          <t>grandma s  no cook peanut butter fudge</t>
        </is>
      </c>
      <c r="C1328" t="n">
        <v>102605</v>
      </c>
      <c r="D1328" s="4" t="n">
        <v>75</v>
      </c>
      <c r="E1328" s="1" t="n">
        <v>38282</v>
      </c>
      <c r="F1328" s="2" t="inlineStr">
        <is>
          <t>i just got this from my sister today, who told me my grandma used to make this. posting in response to a request :) *cook time is fridge time_x000D_
*** just in case you don't read the reviews of recipes, this is most definitely a soft fudge, it doesn't set up firm like typical fudge!</t>
        </is>
      </c>
      <c r="H1328" t="n">
        <v>4500</v>
      </c>
      <c r="I1328">
        <f>D1328*60</f>
        <v/>
      </c>
      <c r="J1328">
        <f>COUNTIF(Отзывы!$D:$D, 102605)</f>
        <v/>
      </c>
    </row>
    <row r="1329">
      <c r="A1329" t="n">
        <v>852</v>
      </c>
      <c r="B1329" t="inlineStr">
        <is>
          <t>apple cider vinegar marinade</t>
        </is>
      </c>
      <c r="C1329" t="n">
        <v>121123</v>
      </c>
      <c r="D1329" s="4" t="n">
        <v>15</v>
      </c>
      <c r="E1329" s="1" t="n">
        <v>38481</v>
      </c>
      <c r="F1329" t="inlineStr">
        <is>
          <t>good use of that healthy, tangy nectar.</t>
        </is>
      </c>
      <c r="H1329" t="n">
        <v>900</v>
      </c>
      <c r="I1329">
        <f>D1329*60</f>
        <v/>
      </c>
      <c r="J1329">
        <f>COUNTIF(Отзывы!$D:$D, 121123)</f>
        <v/>
      </c>
    </row>
    <row r="1330">
      <c r="A1330" t="n">
        <v>11937</v>
      </c>
      <c r="B1330" t="inlineStr">
        <is>
          <t>german topping  for german chocolate cake</t>
        </is>
      </c>
      <c r="C1330" t="n">
        <v>308350</v>
      </c>
      <c r="D1330" s="6" t="n">
        <v>10</v>
      </c>
      <c r="E1330" s="1" t="n">
        <v>39608</v>
      </c>
      <c r="F1330" t="inlineStr">
        <is>
          <t>a lady i know makes the best german filling (for upside down german chocolate cake where the gooey bit is in the middle) in the world. i can't get enough of this stuff. makes enough to fill one 9-inch chocolate cake. this will keep for one week in the fridge.</t>
        </is>
      </c>
      <c r="G1330" t="n">
        <v>7</v>
      </c>
      <c r="H1330" t="n">
        <v>600</v>
      </c>
      <c r="I1330">
        <f>D1330*60</f>
        <v/>
      </c>
      <c r="J1330">
        <f>COUNTIF(Отзывы!$D:$D, 308350)</f>
        <v/>
      </c>
    </row>
    <row r="1331">
      <c r="A1331" t="n">
        <v>5325</v>
      </c>
      <c r="B1331" t="inlineStr">
        <is>
          <t>cheesy stuffed chicken in phyllo</t>
        </is>
      </c>
      <c r="C1331" t="n">
        <v>116983</v>
      </c>
      <c r="D1331" s="4" t="n">
        <v>60</v>
      </c>
      <c r="E1331" s="1" t="n">
        <v>38455</v>
      </c>
      <c r="F1331" t="inlineStr">
        <is>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is>
      </c>
      <c r="G1331" t="n">
        <v>15</v>
      </c>
      <c r="H1331" t="n">
        <v>3600</v>
      </c>
      <c r="I1331">
        <f>D1331*60</f>
        <v/>
      </c>
      <c r="J1331">
        <f>COUNTIF(Отзывы!$D:$D, 116983)</f>
        <v/>
      </c>
    </row>
    <row r="1332">
      <c r="A1332" t="n">
        <v>18171</v>
      </c>
      <c r="B1332" t="inlineStr">
        <is>
          <t>mountain christmas cookies</t>
        </is>
      </c>
      <c r="C1332" t="n">
        <v>342996</v>
      </c>
      <c r="D1332" s="4" t="n">
        <v>20</v>
      </c>
      <c r="E1332" s="1" t="n">
        <v>39792</v>
      </c>
      <c r="F1332" t="inlineStr">
        <is>
          <t>clipped from taste of home a couple years ago. haven't tried them yet.</t>
        </is>
      </c>
      <c r="G1332" t="n">
        <v>9</v>
      </c>
      <c r="H1332" t="n">
        <v>1200</v>
      </c>
      <c r="I1332">
        <f>D1332*60</f>
        <v/>
      </c>
      <c r="J1332">
        <f>COUNTIF(Отзывы!$D:$D, 342996)</f>
        <v/>
      </c>
    </row>
    <row r="1333">
      <c r="A1333" t="n">
        <v>22637</v>
      </c>
      <c r="B1333" t="inlineStr">
        <is>
          <t>rita s garden   green beans parmesan</t>
        </is>
      </c>
      <c r="C1333" t="n">
        <v>321101</v>
      </c>
      <c r="D1333" s="4" t="n">
        <v>15</v>
      </c>
      <c r="E1333" s="1" t="n">
        <v>39685</v>
      </c>
      <c r="F1333" t="inlineStr">
        <is>
          <t>delicious fresh green beans accented with butter and parmesan.</t>
        </is>
      </c>
      <c r="G1333" t="n">
        <v>5</v>
      </c>
      <c r="H1333" t="n">
        <v>900</v>
      </c>
      <c r="I1333">
        <f>D1333*60</f>
        <v/>
      </c>
      <c r="J1333">
        <f>COUNTIF(Отзывы!$D:$D, 321101)</f>
        <v/>
      </c>
    </row>
    <row r="1334">
      <c r="A1334" t="n">
        <v>12178</v>
      </c>
      <c r="B1334" t="inlineStr">
        <is>
          <t>glyko me mila kai bananes  apple and banana pudding</t>
        </is>
      </c>
      <c r="C1334" t="n">
        <v>170754</v>
      </c>
      <c r="D1334" s="4" t="n">
        <v>40</v>
      </c>
      <c r="E1334" s="1" t="n">
        <v>38867</v>
      </c>
      <c r="F1334" t="inlineStr">
        <is>
          <t>i found this on about.com.  sounds great!</t>
        </is>
      </c>
      <c r="G1334" t="n">
        <v>12</v>
      </c>
      <c r="H1334" t="n">
        <v>2400</v>
      </c>
      <c r="I1334">
        <f>D1334*60</f>
        <v/>
      </c>
      <c r="J1334">
        <f>COUNTIF(Отзывы!$D:$D, 170754)</f>
        <v/>
      </c>
    </row>
    <row r="1335">
      <c r="A1335" t="n">
        <v>2215</v>
      </c>
      <c r="B1335" t="inlineStr">
        <is>
          <t>banana walnut muffins</t>
        </is>
      </c>
      <c r="C1335" t="n">
        <v>295611</v>
      </c>
      <c r="D1335" s="4" t="n">
        <v>35</v>
      </c>
      <c r="E1335" s="1" t="n">
        <v>39538</v>
      </c>
      <c r="F1335" t="inlineStr">
        <is>
          <t>sprinkiling cinnamon-sugar on the batter just before baking makes a crunchy top.  i have also subbed chocolate chips for the walnuts.</t>
        </is>
      </c>
      <c r="H1335" t="n">
        <v>2100</v>
      </c>
      <c r="I1335">
        <f>D1335*60</f>
        <v/>
      </c>
      <c r="J1335">
        <f>COUNTIF(Отзывы!$D:$D, 295611)</f>
        <v/>
      </c>
    </row>
    <row r="1336">
      <c r="A1336" t="n">
        <v>22936</v>
      </c>
      <c r="B1336" t="inlineStr">
        <is>
          <t>romano s macaroni grill rosemary bread</t>
        </is>
      </c>
      <c r="C1336" t="n">
        <v>64446</v>
      </c>
      <c r="D1336" s="4" t="n">
        <v>153</v>
      </c>
      <c r="E1336" s="1" t="n">
        <v>37784</v>
      </c>
      <c r="F1336" t="inlineStr">
        <is>
          <t>this is an attempt to immitate the excellent bread that is served in the macaroni grill restaurant.</t>
        </is>
      </c>
      <c r="G1336" t="n">
        <v>7</v>
      </c>
      <c r="H1336" t="n">
        <v>9180</v>
      </c>
      <c r="I1336">
        <f>D1336*60</f>
        <v/>
      </c>
      <c r="J1336">
        <f>COUNTIF(Отзывы!$D:$D, 64446)</f>
        <v/>
      </c>
    </row>
    <row r="1337">
      <c r="A1337" t="n">
        <v>19759</v>
      </c>
      <c r="B1337" t="inlineStr">
        <is>
          <t>pan seared steak and onions</t>
        </is>
      </c>
      <c r="C1337" t="n">
        <v>287676</v>
      </c>
      <c r="D1337" s="4" t="n">
        <v>35</v>
      </c>
      <c r="E1337" s="1" t="n">
        <v>39500</v>
      </c>
      <c r="F1337" t="inlineStr">
        <is>
          <t>from the food network (francine segan) - makes a bourbon sauced with sauteed onions</t>
        </is>
      </c>
      <c r="G1337" t="n">
        <v>6</v>
      </c>
      <c r="H1337" t="n">
        <v>2100</v>
      </c>
      <c r="I1337">
        <f>D1337*60</f>
        <v/>
      </c>
      <c r="J1337">
        <f>COUNTIF(Отзывы!$D:$D, 287676)</f>
        <v/>
      </c>
    </row>
    <row r="1338">
      <c r="A1338" t="n">
        <v>23394</v>
      </c>
      <c r="B1338" t="inlineStr">
        <is>
          <t>saucy hamburger supper</t>
        </is>
      </c>
      <c r="C1338" t="n">
        <v>18904</v>
      </c>
      <c r="D1338" s="4" t="n">
        <v>35</v>
      </c>
      <c r="E1338" s="1" t="n">
        <v>37291</v>
      </c>
      <c r="G1338" t="n">
        <v>9</v>
      </c>
      <c r="H1338" t="n">
        <v>2100</v>
      </c>
      <c r="I1338">
        <f>D1338*60</f>
        <v/>
      </c>
      <c r="J1338">
        <f>COUNTIF(Отзывы!$D:$D, 18904)</f>
        <v/>
      </c>
    </row>
    <row r="1339">
      <c r="A1339" t="n">
        <v>18563</v>
      </c>
      <c r="B1339" t="inlineStr">
        <is>
          <t>neat to eat sloppy joe crescents  pillsbury bake off finalist</t>
        </is>
      </c>
      <c r="C1339" t="n">
        <v>287243</v>
      </c>
      <c r="D1339" s="4" t="n">
        <v>34</v>
      </c>
      <c r="E1339" s="1" t="n">
        <v>39498</v>
      </c>
      <c r="F1339" t="inlineStr">
        <is>
          <t>this sloppy sandwich is given a new twist when it's baked into a crescent. you can still lick your fingers, but you won't have to wash as many shirts! this was a finalist recipe in bake-off #24.</t>
        </is>
      </c>
      <c r="G1339" t="n">
        <v>9</v>
      </c>
      <c r="H1339" t="n">
        <v>2040</v>
      </c>
      <c r="I1339">
        <f>D1339*60</f>
        <v/>
      </c>
      <c r="J1339">
        <f>COUNTIF(Отзывы!$D:$D, 287243)</f>
        <v/>
      </c>
    </row>
    <row r="1340">
      <c r="A1340" t="n">
        <v>9686</v>
      </c>
      <c r="B1340" t="inlineStr">
        <is>
          <t>dummy fudge</t>
        </is>
      </c>
      <c r="C1340" t="n">
        <v>242396</v>
      </c>
      <c r="D1340" s="4" t="n">
        <v>15</v>
      </c>
      <c r="E1340" s="1" t="n">
        <v>39288</v>
      </c>
      <c r="F1340" t="inlineStr">
        <is>
          <t>paula deen - food network</t>
        </is>
      </c>
      <c r="G1340" t="n">
        <v>5</v>
      </c>
      <c r="H1340" t="n">
        <v>900</v>
      </c>
      <c r="I1340">
        <f>D1340*60</f>
        <v/>
      </c>
      <c r="J1340">
        <f>COUNTIF(Отзывы!$D:$D, 242396)</f>
        <v/>
      </c>
    </row>
    <row r="1341">
      <c r="A1341" t="n">
        <v>17276</v>
      </c>
      <c r="B1341" t="inlineStr">
        <is>
          <t>meatballs in tomato wine sauce</t>
        </is>
      </c>
      <c r="C1341" t="n">
        <v>175988</v>
      </c>
      <c r="D1341" s="4" t="n">
        <v>435</v>
      </c>
      <c r="E1341" s="1" t="n">
        <v>38901</v>
      </c>
      <c r="F1341" t="inlineStr">
        <is>
          <t>makes enough for 1 lb. of pasta. you can use spaghetti, penne, or another chunky pasta</t>
        </is>
      </c>
      <c r="G1341" t="n">
        <v>17</v>
      </c>
      <c r="H1341" t="n">
        <v>26100</v>
      </c>
      <c r="I1341">
        <f>D1341*60</f>
        <v/>
      </c>
      <c r="J1341">
        <f>COUNTIF(Отзывы!$D:$D, 175988)</f>
        <v/>
      </c>
    </row>
    <row r="1342">
      <c r="A1342" t="n">
        <v>16556</v>
      </c>
      <c r="B1342" t="inlineStr">
        <is>
          <t>low fat glazed chicken in crock pot</t>
        </is>
      </c>
      <c r="C1342" t="n">
        <v>9909</v>
      </c>
      <c r="D1342" s="4" t="n">
        <v>250</v>
      </c>
      <c r="E1342" s="1" t="n">
        <v>37075</v>
      </c>
      <c r="F1342" t="inlineStr">
        <is>
          <t>this recipe may be low-fat, but it tastes very good! it's from rec.food.recipes news group.</t>
        </is>
      </c>
      <c r="G1342" t="n">
        <v>7</v>
      </c>
      <c r="H1342" t="n">
        <v>15000</v>
      </c>
      <c r="I1342">
        <f>D1342*60</f>
        <v/>
      </c>
      <c r="J1342">
        <f>COUNTIF(Отзывы!$D:$D, 9909)</f>
        <v/>
      </c>
    </row>
    <row r="1343">
      <c r="A1343" t="n">
        <v>22063</v>
      </c>
      <c r="B1343" t="inlineStr">
        <is>
          <t>rachael rays croque monsieur</t>
        </is>
      </c>
      <c r="C1343" t="n">
        <v>266495</v>
      </c>
      <c r="D1343" s="4" t="n">
        <v>40</v>
      </c>
      <c r="E1343" s="1" t="n">
        <v>39405</v>
      </c>
      <c r="F1343" t="inlineStr">
        <is>
          <t>rachael ray</t>
        </is>
      </c>
      <c r="H1343" t="n">
        <v>2400</v>
      </c>
      <c r="I1343">
        <f>D1343*60</f>
        <v/>
      </c>
      <c r="J1343">
        <f>COUNTIF(Отзывы!$D:$D, 266495)</f>
        <v/>
      </c>
    </row>
    <row r="1344" ht="409.5" customHeight="1">
      <c r="A1344" t="n">
        <v>22348</v>
      </c>
      <c r="B1344" t="inlineStr">
        <is>
          <t>red pepper tapenade and charred bread</t>
        </is>
      </c>
      <c r="C1344" t="n">
        <v>160846</v>
      </c>
      <c r="D1344" s="4" t="n">
        <v>15</v>
      </c>
      <c r="E1344" s="1" t="n">
        <v>38797</v>
      </c>
      <c r="F1344" s="2" t="inlineStr">
        <is>
          <t>from rachel ray_x000D_
_x000D_
antipasto additions: _x000D_
italian tuna in oil, 4 ounces _x000D_
1 jar marinated artichokes, 6 ounces _x000D_
hot peppers, cheery peppers, banana peppers or pepperoncini _x000D_
1/2 pound sliced italian deli meats, such as hot or sweet sopressata, genoa salami _x000D_
1/2 pound assorted italian cheeses, sliced or cubed, such as asiago, provolone, and smoked mozzarella.</t>
        </is>
      </c>
      <c r="G1344" t="n">
        <v>7</v>
      </c>
      <c r="H1344" t="n">
        <v>900</v>
      </c>
      <c r="I1344">
        <f>D1344*60</f>
        <v/>
      </c>
      <c r="J1344">
        <f>COUNTIF(Отзывы!$D:$D, 160846)</f>
        <v/>
      </c>
    </row>
    <row r="1345">
      <c r="A1345" t="n">
        <v>950</v>
      </c>
      <c r="B1345" t="inlineStr">
        <is>
          <t>apple smoothie</t>
        </is>
      </c>
      <c r="C1345" t="n">
        <v>39402</v>
      </c>
      <c r="D1345" s="6" t="n">
        <v>5</v>
      </c>
      <c r="E1345" s="1" t="n">
        <v>37503</v>
      </c>
      <c r="F1345" t="inlineStr">
        <is>
          <t>refreshing with just a hint of spice.</t>
        </is>
      </c>
      <c r="G1345" t="n">
        <v>6</v>
      </c>
      <c r="H1345" t="n">
        <v>300</v>
      </c>
      <c r="I1345">
        <f>D1345*60</f>
        <v/>
      </c>
      <c r="J1345">
        <f>COUNTIF(Отзывы!$D:$D, 39402)</f>
        <v/>
      </c>
    </row>
    <row r="1346">
      <c r="A1346" t="n">
        <v>15705</v>
      </c>
      <c r="B1346" t="inlineStr">
        <is>
          <t>lazy perogi casserole</t>
        </is>
      </c>
      <c r="C1346" t="n">
        <v>148084</v>
      </c>
      <c r="D1346" s="4" t="n">
        <v>40</v>
      </c>
      <c r="E1346" s="1" t="n">
        <v>38698</v>
      </c>
      <c r="F1346" t="inlineStr">
        <is>
          <t>this recipe has cottage cheese and cheddar cheese. it was a last ditch effort to try and serve a different kind of dinner.update: 10/28/2008 this definitely needs some extra zing! i suggest you use red pepper flakes, make it a pinch or two - put it in the butter or margarine that you are going to use for the onions.;) let the flakes cook while butter or margarine is heating up. then saute the onions! hopefully, this will help the dish be more pleasing to your palette. :)</t>
        </is>
      </c>
      <c r="G1346" t="n">
        <v>11</v>
      </c>
      <c r="H1346" t="n">
        <v>2400</v>
      </c>
      <c r="I1346">
        <f>D1346*60</f>
        <v/>
      </c>
      <c r="J1346">
        <f>COUNTIF(Отзывы!$D:$D, 148084)</f>
        <v/>
      </c>
    </row>
    <row r="1347">
      <c r="A1347" t="n">
        <v>9373</v>
      </c>
      <c r="B1347" t="inlineStr">
        <is>
          <t>deviled chicken wings</t>
        </is>
      </c>
      <c r="C1347" t="n">
        <v>77294</v>
      </c>
      <c r="D1347" s="4" t="n">
        <v>90</v>
      </c>
      <c r="E1347" s="1" t="n">
        <v>37950</v>
      </c>
      <c r="F1347" t="inlineStr">
        <is>
          <t xml:space="preserve">this is adapted from a recipe by sheila lukins that i found in the sunday newspaper supplement, </t>
        </is>
      </c>
      <c r="H1347" t="n">
        <v>5400</v>
      </c>
      <c r="I1347">
        <f>D1347*60</f>
        <v/>
      </c>
      <c r="J1347">
        <f>COUNTIF(Отзывы!$D:$D, 77294)</f>
        <v/>
      </c>
    </row>
    <row r="1348">
      <c r="A1348" t="n">
        <v>7946</v>
      </c>
      <c r="B1348" t="inlineStr">
        <is>
          <t>cranberry nut pie</t>
        </is>
      </c>
      <c r="C1348" t="n">
        <v>77452</v>
      </c>
      <c r="D1348" s="4" t="n">
        <v>60</v>
      </c>
      <c r="E1348" s="1" t="n">
        <v>37952</v>
      </c>
      <c r="F1348" t="inlineStr">
        <is>
          <t>this pie has become a holiday tradition for us. it has a nice tangy/sweet taste, and it is great with whipped cream. it's also pretty easy as pies go.</t>
        </is>
      </c>
      <c r="G1348" t="n">
        <v>9</v>
      </c>
      <c r="H1348" t="n">
        <v>3600</v>
      </c>
      <c r="I1348">
        <f>D1348*60</f>
        <v/>
      </c>
      <c r="J1348">
        <f>COUNTIF(Отзывы!$D:$D, 77452)</f>
        <v/>
      </c>
    </row>
    <row r="1349">
      <c r="A1349" t="n">
        <v>12508</v>
      </c>
      <c r="B1349" t="inlineStr">
        <is>
          <t>great green beans and perfect potatoes recipe   ww 3 pts</t>
        </is>
      </c>
      <c r="C1349" t="n">
        <v>351320</v>
      </c>
      <c r="D1349" s="4" t="n">
        <v>45</v>
      </c>
      <c r="E1349" s="1" t="n">
        <v>39835</v>
      </c>
      <c r="F1349" t="inlineStr">
        <is>
          <t>this recipe is for green beans and potatoes that is so yummy. now it could be made better with more butter, bacon grease, etc but to keep it at 3 pts for weight watchers it needs to be as written. it is super good. my mother in law is very picky and she liked it a lot. my kids who won't eat garlic usually had seconds. the secret ingredient is the sugar as small as it is so don't leave it out. tastes good with yukon gold small potatoes also. this recipe came from an internet site a while back and the original creator was unknown then. it has been a favorite. enjoy! chefdlh</t>
        </is>
      </c>
      <c r="G1349" t="n">
        <v>9</v>
      </c>
      <c r="H1349" t="n">
        <v>2700</v>
      </c>
      <c r="I1349">
        <f>D1349*60</f>
        <v/>
      </c>
      <c r="J1349">
        <f>COUNTIF(Отзывы!$D:$D, 351320)</f>
        <v/>
      </c>
    </row>
    <row r="1350">
      <c r="A1350" t="n">
        <v>14616</v>
      </c>
      <c r="B1350" t="inlineStr">
        <is>
          <t>italian blt chicken salad</t>
        </is>
      </c>
      <c r="C1350" t="n">
        <v>224199</v>
      </c>
      <c r="D1350" s="4" t="n">
        <v>35</v>
      </c>
      <c r="E1350" s="1" t="n">
        <v>39195</v>
      </c>
      <c r="F1350" t="inlineStr">
        <is>
          <t>a wonderful non-mayo based chicken salad!  the sweet basil and balsamic vinegar taste delicious.  another good addition in this recipe is kalamata olives.  taylor it to your own tastes!</t>
        </is>
      </c>
      <c r="G1350" t="n">
        <v>11</v>
      </c>
      <c r="H1350" t="n">
        <v>2100</v>
      </c>
      <c r="I1350">
        <f>D1350*60</f>
        <v/>
      </c>
      <c r="J1350">
        <f>COUNTIF(Отзывы!$D:$D, 224199)</f>
        <v/>
      </c>
    </row>
    <row r="1351">
      <c r="A1351" t="n">
        <v>4314</v>
      </c>
      <c r="B1351" t="inlineStr">
        <is>
          <t>cabbage and pork sausage   tripp sausage</t>
        </is>
      </c>
      <c r="C1351" t="n">
        <v>316245</v>
      </c>
      <c r="D1351" s="4" t="n">
        <v>80</v>
      </c>
      <c r="E1351" s="1" t="n">
        <v>39658</v>
      </c>
      <c r="F1351" t="inlineStr">
        <is>
          <t>posted from the web in response to a recipe request.  to stuff the casings, you will need a meat grinder with a sausage horn attachment. if you don't have such a device, use the mixture to make fried patties by shaping 1/4 cup of filling into a 1/2 inch thick patty and frying in hot oil until golden brown on both sides.</t>
        </is>
      </c>
      <c r="G1351" t="n">
        <v>10</v>
      </c>
      <c r="H1351" t="n">
        <v>4800</v>
      </c>
      <c r="I1351">
        <f>D1351*60</f>
        <v/>
      </c>
      <c r="J1351">
        <f>COUNTIF(Отзывы!$D:$D, 316245)</f>
        <v/>
      </c>
    </row>
    <row r="1352">
      <c r="A1352" t="n">
        <v>25610</v>
      </c>
      <c r="B1352" t="inlineStr">
        <is>
          <t>spinach artichoke dip</t>
        </is>
      </c>
      <c r="C1352" t="n">
        <v>169217</v>
      </c>
      <c r="D1352" s="4" t="n">
        <v>50</v>
      </c>
      <c r="E1352" s="1" t="n">
        <v>38860</v>
      </c>
      <c r="F1352" t="inlineStr">
        <is>
          <t>i have tried all sorts of spinach artichoke dips, and this one is by far my favorite. it does not have a lot of extra spices, but rather allows the flavor of the various ingredients to shine through. as an impatient chef, i always scoop out a little of the mixture before baking it and warm it up in the microwave. it is not quite as good as baking, but it does give instant gratification. of course, i make everyone else wait for the baked product. lol.</t>
        </is>
      </c>
      <c r="G1352" t="n">
        <v>6</v>
      </c>
      <c r="H1352" t="n">
        <v>3000</v>
      </c>
      <c r="I1352">
        <f>D1352*60</f>
        <v/>
      </c>
      <c r="J1352">
        <f>COUNTIF(Отзывы!$D:$D, 169217)</f>
        <v/>
      </c>
    </row>
    <row r="1353">
      <c r="A1353" t="n">
        <v>2926</v>
      </c>
      <c r="B1353" t="inlineStr">
        <is>
          <t>best healthy banana bread</t>
        </is>
      </c>
      <c r="C1353" t="n">
        <v>23507</v>
      </c>
      <c r="D1353" s="4" t="n">
        <v>50</v>
      </c>
      <c r="E1353" s="1" t="n">
        <v>37343</v>
      </c>
      <c r="F1353" t="inlineStr">
        <is>
          <t>this was originally a reader recipe from cooking light magazine. i have tried many, many banana breads over the years (from healthy to unhealthy versions) and this remains my favorite. it's very easy to make and also freezes very well.</t>
        </is>
      </c>
      <c r="H1353" t="n">
        <v>3000</v>
      </c>
      <c r="I1353">
        <f>D1353*60</f>
        <v/>
      </c>
      <c r="J1353">
        <f>COUNTIF(Отзывы!$D:$D, 23507)</f>
        <v/>
      </c>
    </row>
    <row r="1354">
      <c r="A1354" t="n">
        <v>5394</v>
      </c>
      <c r="B1354" t="inlineStr">
        <is>
          <t>cherry coconut squares</t>
        </is>
      </c>
      <c r="C1354" t="n">
        <v>38181</v>
      </c>
      <c r="D1354" s="4" t="n">
        <v>50</v>
      </c>
      <c r="E1354" s="1" t="n">
        <v>37491</v>
      </c>
      <c r="F1354" t="inlineStr">
        <is>
          <t xml:space="preserve">i gave this recipe an </t>
        </is>
      </c>
      <c r="G1354" t="n">
        <v>5</v>
      </c>
      <c r="H1354" t="n">
        <v>3000</v>
      </c>
      <c r="I1354">
        <f>D1354*60</f>
        <v/>
      </c>
      <c r="J1354">
        <f>COUNTIF(Отзывы!$D:$D, 38181)</f>
        <v/>
      </c>
    </row>
    <row r="1355">
      <c r="A1355" t="n">
        <v>1675</v>
      </c>
      <c r="B1355" t="inlineStr">
        <is>
          <t>bacon wrapped citrus scallops</t>
        </is>
      </c>
      <c r="C1355" t="n">
        <v>321390</v>
      </c>
      <c r="D1355" s="4" t="n">
        <v>25</v>
      </c>
      <c r="E1355" s="1" t="n">
        <v>39686</v>
      </c>
      <c r="F1355" t="inlineStr">
        <is>
          <t>from a recipe card i got at the grocery store, a wonderful grilled seafood treat!</t>
        </is>
      </c>
      <c r="H1355" t="n">
        <v>1500</v>
      </c>
      <c r="I1355">
        <f>D1355*60</f>
        <v/>
      </c>
      <c r="J1355">
        <f>COUNTIF(Отзывы!$D:$D, 321390)</f>
        <v/>
      </c>
    </row>
    <row r="1356">
      <c r="A1356" t="n">
        <v>5057</v>
      </c>
      <c r="B1356" t="inlineStr">
        <is>
          <t>cheater s garlic bread</t>
        </is>
      </c>
      <c r="C1356" t="n">
        <v>140034</v>
      </c>
      <c r="D1356" s="6" t="n">
        <v>10</v>
      </c>
      <c r="E1356" s="1" t="n">
        <v>38629</v>
      </c>
      <c r="F1356" t="inlineStr">
        <is>
          <t>i was in a pinch one night for some garlic bread, and i had to use what i had on hand. this garlic bread can pretty much be made anytime because it uses ingredients that are super common.</t>
        </is>
      </c>
      <c r="G1356" t="n">
        <v>5</v>
      </c>
      <c r="H1356" t="n">
        <v>600</v>
      </c>
      <c r="I1356">
        <f>D1356*60</f>
        <v/>
      </c>
      <c r="J1356">
        <f>COUNTIF(Отзывы!$D:$D, 140034)</f>
        <v/>
      </c>
    </row>
    <row r="1357">
      <c r="A1357" t="n">
        <v>9867</v>
      </c>
      <c r="B1357" t="inlineStr">
        <is>
          <t>easy campbell s soup honey mustard chicken breasts</t>
        </is>
      </c>
      <c r="C1357" t="n">
        <v>236439</v>
      </c>
      <c r="D1357" s="4" t="n">
        <v>25</v>
      </c>
      <c r="E1357" s="1" t="n">
        <v>39254</v>
      </c>
      <c r="F1357" t="inlineStr">
        <is>
          <t>i got this recipe out of a campbell's soup cookbook.  it was very quick and easy to make.  serve it over rice or mashed potatoes to soak up all the sauce!</t>
        </is>
      </c>
      <c r="G1357" t="n">
        <v>7</v>
      </c>
      <c r="H1357" t="n">
        <v>1500</v>
      </c>
      <c r="I1357">
        <f>D1357*60</f>
        <v/>
      </c>
      <c r="J1357">
        <f>COUNTIF(Отзывы!$D:$D, 236439)</f>
        <v/>
      </c>
    </row>
    <row r="1358">
      <c r="A1358" t="n">
        <v>18718</v>
      </c>
      <c r="B1358" t="inlineStr">
        <is>
          <t>no fail homemade noodles</t>
        </is>
      </c>
      <c r="C1358" t="n">
        <v>91311</v>
      </c>
      <c r="D1358" s="4" t="n">
        <v>30</v>
      </c>
      <c r="E1358" s="1" t="n">
        <v>38125</v>
      </c>
      <c r="F1358" t="inlineStr">
        <is>
          <t>noodles are easy; they just seem hard. try this recipe; you will find it is perfect every time.</t>
        </is>
      </c>
      <c r="H1358" t="n">
        <v>1800</v>
      </c>
      <c r="I1358">
        <f>D1358*60</f>
        <v/>
      </c>
      <c r="J1358">
        <f>COUNTIF(Отзывы!$D:$D, 91311)</f>
        <v/>
      </c>
    </row>
    <row r="1359">
      <c r="A1359" t="n">
        <v>19483</v>
      </c>
      <c r="B1359" t="inlineStr">
        <is>
          <t>oriental marinade</t>
        </is>
      </c>
      <c r="C1359" t="n">
        <v>168181</v>
      </c>
      <c r="D1359" s="4" t="n">
        <v>65</v>
      </c>
      <c r="E1359" s="1" t="n">
        <v>38853</v>
      </c>
      <c r="F1359" t="inlineStr">
        <is>
          <t>i found this recipe in a barbecue cookbook years ago.  i used it to marinate chicken wings, to rave reviews.  could also be used on pork, meat or fish</t>
        </is>
      </c>
      <c r="H1359" t="n">
        <v>3900</v>
      </c>
      <c r="I1359">
        <f>D1359*60</f>
        <v/>
      </c>
      <c r="J1359">
        <f>COUNTIF(Отзывы!$D:$D, 168181)</f>
        <v/>
      </c>
    </row>
    <row r="1360">
      <c r="A1360" t="n">
        <v>2592</v>
      </c>
      <c r="B1360" t="inlineStr">
        <is>
          <t>beef and bok choy hot pot</t>
        </is>
      </c>
      <c r="C1360" t="n">
        <v>59257</v>
      </c>
      <c r="D1360" s="4" t="n">
        <v>140</v>
      </c>
      <c r="E1360" s="1" t="n">
        <v>37723</v>
      </c>
      <c r="H1360" t="n">
        <v>8400</v>
      </c>
      <c r="I1360">
        <f>D1360*60</f>
        <v/>
      </c>
      <c r="J1360">
        <f>COUNTIF(Отзывы!$D:$D, 59257)</f>
        <v/>
      </c>
    </row>
    <row r="1361">
      <c r="A1361" t="n">
        <v>4971</v>
      </c>
      <c r="B1361" t="inlineStr">
        <is>
          <t>celery and avocado salad</t>
        </is>
      </c>
      <c r="C1361" t="n">
        <v>136945</v>
      </c>
      <c r="D1361" s="6" t="n">
        <v>10</v>
      </c>
      <c r="E1361" s="1" t="n">
        <v>38606</v>
      </c>
      <c r="F1361" t="inlineStr">
        <is>
          <t>something a bit different.  nice summer side dish.</t>
        </is>
      </c>
      <c r="G1361" t="n">
        <v>11</v>
      </c>
      <c r="H1361" t="n">
        <v>600</v>
      </c>
      <c r="I1361">
        <f>D1361*60</f>
        <v/>
      </c>
      <c r="J1361">
        <f>COUNTIF(Отзывы!$D:$D, 136945)</f>
        <v/>
      </c>
    </row>
    <row r="1362">
      <c r="A1362" t="n">
        <v>19035</v>
      </c>
      <c r="B1362" t="inlineStr">
        <is>
          <t>old bay tilapia  sweet potatoes and veggies</t>
        </is>
      </c>
      <c r="C1362" t="n">
        <v>197390</v>
      </c>
      <c r="D1362" s="4" t="n">
        <v>60</v>
      </c>
      <c r="E1362" s="1" t="n">
        <v>39044</v>
      </c>
      <c r="F1362" t="inlineStr">
        <is>
          <t>i'm not a huge fan of the classic sweet potato casserole, so i concocted this dish.  the reds, oranges, and yellows are perfect for fall entertaining!  then i decided that the flavors would complement tilapia, orange roughy, or any white fish really well.  it was a hit as both a vegetable side and as a full meal.</t>
        </is>
      </c>
      <c r="G1362" t="n">
        <v>10</v>
      </c>
      <c r="H1362" t="n">
        <v>3600</v>
      </c>
      <c r="I1362">
        <f>D1362*60</f>
        <v/>
      </c>
      <c r="J1362">
        <f>COUNTIF(Отзывы!$D:$D, 197390)</f>
        <v/>
      </c>
    </row>
    <row r="1363">
      <c r="A1363" t="n">
        <v>15663</v>
      </c>
      <c r="B1363" t="inlineStr">
        <is>
          <t>lavender hot chocolate</t>
        </is>
      </c>
      <c r="C1363" t="n">
        <v>290835</v>
      </c>
      <c r="D1363" s="4" t="n">
        <v>30</v>
      </c>
      <c r="E1363" s="1" t="n">
        <v>39516</v>
      </c>
      <c r="F1363" t="inlineStr">
        <is>
          <t>i love lavender drinks.</t>
        </is>
      </c>
      <c r="G1363" t="n">
        <v>7</v>
      </c>
      <c r="H1363" t="n">
        <v>1800</v>
      </c>
      <c r="I1363">
        <f>D1363*60</f>
        <v/>
      </c>
      <c r="J1363">
        <f>COUNTIF(Отзывы!$D:$D, 290835)</f>
        <v/>
      </c>
    </row>
    <row r="1364">
      <c r="A1364" t="n">
        <v>3621</v>
      </c>
      <c r="B1364" t="inlineStr">
        <is>
          <t>bran currant muffins</t>
        </is>
      </c>
      <c r="C1364" t="n">
        <v>303275</v>
      </c>
      <c r="D1364" s="4" t="n">
        <v>35</v>
      </c>
      <c r="E1364" s="1" t="n">
        <v>39580</v>
      </c>
      <c r="F1364" t="inlineStr">
        <is>
          <t>these are moist and flavorful, just pleasantly sweet.  the recipe makes quite a lot of muffins, but the batter will keep in the fridge for up to 6 weeks.  from the back of a box of sun-maid zante currants.  i'm sure raisins or other dried fruits would work as well, but the currants are delightful.</t>
        </is>
      </c>
      <c r="H1364" t="n">
        <v>2100</v>
      </c>
      <c r="I1364">
        <f>D1364*60</f>
        <v/>
      </c>
      <c r="J1364">
        <f>COUNTIF(Отзывы!$D:$D, 303275)</f>
        <v/>
      </c>
    </row>
    <row r="1365">
      <c r="A1365" t="n">
        <v>14570</v>
      </c>
      <c r="B1365" t="inlineStr">
        <is>
          <t>irish whiskey fruitcake</t>
        </is>
      </c>
      <c r="C1365" t="n">
        <v>197585</v>
      </c>
      <c r="D1365" s="4" t="n">
        <v>165</v>
      </c>
      <c r="E1365" s="1" t="n">
        <v>39045</v>
      </c>
      <c r="F1365" t="inlineStr">
        <is>
          <t>this is the fruitcake i made for my birth family for many years; my sister still loves it and swears it is better than any fruitcake she's ever tasted.  i haven't tasted any that come close. it needs 2 - 4 weeks for the flavors to meld and age well.  prep time is only a guess.</t>
        </is>
      </c>
      <c r="G1365" t="n">
        <v>16</v>
      </c>
      <c r="H1365" t="n">
        <v>9900</v>
      </c>
      <c r="I1365">
        <f>D1365*60</f>
        <v/>
      </c>
      <c r="J1365">
        <f>COUNTIF(Отзывы!$D:$D, 197585)</f>
        <v/>
      </c>
    </row>
    <row r="1366">
      <c r="A1366" t="n">
        <v>28024</v>
      </c>
      <c r="B1366" t="inlineStr">
        <is>
          <t>tropical fritter snacks</t>
        </is>
      </c>
      <c r="C1366" t="n">
        <v>86378</v>
      </c>
      <c r="D1366" s="4" t="n">
        <v>20</v>
      </c>
      <c r="E1366" s="1" t="n">
        <v>38058</v>
      </c>
      <c r="F1366" t="inlineStr">
        <is>
          <t>i took a long detour around a pineapple fritter recipe and concocted these. we found them to be quite tasty.</t>
        </is>
      </c>
      <c r="G1366" t="n">
        <v>8</v>
      </c>
      <c r="H1366" t="n">
        <v>1200</v>
      </c>
      <c r="I1366">
        <f>D1366*60</f>
        <v/>
      </c>
      <c r="J1366">
        <f>COUNTIF(Отзывы!$D:$D, 86378)</f>
        <v/>
      </c>
    </row>
    <row r="1367">
      <c r="A1367" t="n">
        <v>9365</v>
      </c>
      <c r="B1367" t="inlineStr">
        <is>
          <t>detoxifying hummus</t>
        </is>
      </c>
      <c r="C1367" t="n">
        <v>438608</v>
      </c>
      <c r="D1367" s="6" t="n">
        <v>10</v>
      </c>
      <c r="E1367" s="1" t="n">
        <v>40453</v>
      </c>
      <c r="F1367" t="inlineStr">
        <is>
          <t>i use this recipe to make hummus for my autistic son's rice cakes. anyone can eat it to help detox heavy metals from the body! all ingredients should be organic.</t>
        </is>
      </c>
      <c r="G1367" t="n">
        <v>5</v>
      </c>
      <c r="H1367" t="n">
        <v>600</v>
      </c>
      <c r="I1367">
        <f>D1367*60</f>
        <v/>
      </c>
      <c r="J1367">
        <f>COUNTIF(Отзывы!$D:$D, 438608)</f>
        <v/>
      </c>
    </row>
    <row r="1368">
      <c r="A1368" t="n">
        <v>16574</v>
      </c>
      <c r="B1368" t="inlineStr">
        <is>
          <t>low fat  high fiber oatmeal raisin cookies</t>
        </is>
      </c>
      <c r="C1368" t="n">
        <v>384502</v>
      </c>
      <c r="D1368" s="4" t="n">
        <v>23</v>
      </c>
      <c r="E1368" s="1" t="n">
        <v>40032</v>
      </c>
      <c r="F1368" t="inlineStr">
        <is>
          <t>i adapted quaker oatmeal's "vanishing oatmeal raisen cookies" recipe to lower the fat and increase the fiber (and my husband didn't even notice!)  for less sugar and even lower fat, i sometimes substitute splenda for the granulated sugar and energ egg substitue for the eggs.</t>
        </is>
      </c>
      <c r="G1368" t="n">
        <v>12</v>
      </c>
      <c r="H1368" t="n">
        <v>1380</v>
      </c>
      <c r="I1368">
        <f>D1368*60</f>
        <v/>
      </c>
      <c r="J1368">
        <f>COUNTIF(Отзывы!$D:$D, 384502)</f>
        <v/>
      </c>
    </row>
    <row r="1369">
      <c r="A1369" t="n">
        <v>13923</v>
      </c>
      <c r="B1369" t="inlineStr">
        <is>
          <t>homemade whole wheat waffles</t>
        </is>
      </c>
      <c r="C1369" t="n">
        <v>295096</v>
      </c>
      <c r="D1369" s="4" t="n">
        <v>32</v>
      </c>
      <c r="E1369" s="1" t="n">
        <v>39535</v>
      </c>
      <c r="F1369" t="inlineStr">
        <is>
          <t>the best waffle you will ever put in your mouth, or any others mouth for that matter!</t>
        </is>
      </c>
      <c r="H1369" t="n">
        <v>1920</v>
      </c>
      <c r="I1369">
        <f>D1369*60</f>
        <v/>
      </c>
      <c r="J1369">
        <f>COUNTIF(Отзывы!$D:$D, 295096)</f>
        <v/>
      </c>
    </row>
    <row r="1370">
      <c r="A1370" t="n">
        <v>16988</v>
      </c>
      <c r="B1370" t="inlineStr">
        <is>
          <t>maple spice cookies</t>
        </is>
      </c>
      <c r="C1370" t="n">
        <v>157975</v>
      </c>
      <c r="D1370" s="4" t="n">
        <v>42</v>
      </c>
      <c r="E1370" s="1" t="n">
        <v>38775</v>
      </c>
      <c r="F1370" t="inlineStr">
        <is>
          <t>i love maple cookies, and these are just wonderful! not overpowering, just sweetly subtle with maple and spices. perfect with a cup of afternoon tea. this recipe comes from the maple syrup cookbook by ken haedrich.</t>
        </is>
      </c>
      <c r="H1370" t="n">
        <v>2520</v>
      </c>
      <c r="I1370">
        <f>D1370*60</f>
        <v/>
      </c>
      <c r="J1370">
        <f>COUNTIF(Отзывы!$D:$D, 157975)</f>
        <v/>
      </c>
    </row>
    <row r="1371">
      <c r="A1371" t="n">
        <v>5409</v>
      </c>
      <c r="B1371" t="inlineStr">
        <is>
          <t>cherry ice cream</t>
        </is>
      </c>
      <c r="C1371" t="n">
        <v>82339</v>
      </c>
      <c r="D1371" s="4" t="n">
        <v>200</v>
      </c>
      <c r="E1371" s="1" t="n">
        <v>38014</v>
      </c>
      <c r="F1371" t="inlineStr">
        <is>
          <t>i have not made this recipe.</t>
        </is>
      </c>
      <c r="G1371" t="n">
        <v>6</v>
      </c>
      <c r="H1371" t="n">
        <v>12000</v>
      </c>
      <c r="I1371">
        <f>D1371*60</f>
        <v/>
      </c>
      <c r="J1371">
        <f>COUNTIF(Отзывы!$D:$D, 82339)</f>
        <v/>
      </c>
    </row>
    <row r="1372">
      <c r="A1372" t="n">
        <v>21073</v>
      </c>
      <c r="B1372" t="inlineStr">
        <is>
          <t>polish sausage  potato skillet</t>
        </is>
      </c>
      <c r="C1372" t="n">
        <v>379621</v>
      </c>
      <c r="D1372" s="4" t="n">
        <v>45</v>
      </c>
      <c r="E1372" s="1" t="n">
        <v>39993</v>
      </c>
      <c r="F1372" t="inlineStr">
        <is>
          <t>i came up with this recipe by combining what sounded good to me from other recipies.  i was trying to come up with another way to use polish sausage.  it is terrific.  the beans can easily be left out if you prefer.</t>
        </is>
      </c>
      <c r="G1372" t="n">
        <v>11</v>
      </c>
      <c r="H1372" t="n">
        <v>2700</v>
      </c>
      <c r="I1372">
        <f>D1372*60</f>
        <v/>
      </c>
      <c r="J1372">
        <f>COUNTIF(Отзывы!$D:$D, 379621)</f>
        <v/>
      </c>
    </row>
    <row r="1373">
      <c r="A1373" t="n">
        <v>19808</v>
      </c>
      <c r="B1373" t="inlineStr">
        <is>
          <t>papa d s lasagna</t>
        </is>
      </c>
      <c r="C1373" t="n">
        <v>469343</v>
      </c>
      <c r="D1373" s="4" t="n">
        <v>180</v>
      </c>
      <c r="E1373" s="1" t="n">
        <v>40880</v>
      </c>
      <c r="F1373" t="inlineStr">
        <is>
          <t>this is a moist lasagna, if you prefer a firmer texture reduce the amount of beef broth and/or drain the stewed tomatoes. ricotta cheese can be used in place of the cottage cheese.</t>
        </is>
      </c>
      <c r="G1373" t="n">
        <v>20</v>
      </c>
      <c r="H1373" t="n">
        <v>10800</v>
      </c>
      <c r="I1373">
        <f>D1373*60</f>
        <v/>
      </c>
      <c r="J1373">
        <f>COUNTIF(Отзывы!$D:$D, 469343)</f>
        <v/>
      </c>
    </row>
    <row r="1374">
      <c r="A1374" t="n">
        <v>4158</v>
      </c>
      <c r="B1374" t="inlineStr">
        <is>
          <t>butter pecan crisps from cake mix</t>
        </is>
      </c>
      <c r="C1374" t="n">
        <v>343747</v>
      </c>
      <c r="D1374" s="4" t="n">
        <v>43</v>
      </c>
      <c r="E1374" s="1" t="n">
        <v>39797</v>
      </c>
      <c r="F1374" t="inlineStr">
        <is>
          <t>from the crisco website - i have not ever made cookies from a cake mix, but this recipe sounds very easy.</t>
        </is>
      </c>
      <c r="H1374" t="n">
        <v>2580</v>
      </c>
      <c r="I1374">
        <f>D1374*60</f>
        <v/>
      </c>
      <c r="J1374">
        <f>COUNTIF(Отзывы!$D:$D, 343747)</f>
        <v/>
      </c>
    </row>
    <row r="1375">
      <c r="A1375" t="n">
        <v>6515</v>
      </c>
      <c r="B1375" t="inlineStr">
        <is>
          <t>chocolate chip cookie mix in a jar</t>
        </is>
      </c>
      <c r="C1375" t="n">
        <v>71896</v>
      </c>
      <c r="D1375" s="6" t="n">
        <v>10</v>
      </c>
      <c r="E1375" s="1" t="n">
        <v>37894</v>
      </c>
      <c r="F1375" t="inlineStr">
        <is>
          <t>from taste of home, this is on my gift making list for the season</t>
        </is>
      </c>
      <c r="G1375" t="n">
        <v>6</v>
      </c>
      <c r="H1375" t="n">
        <v>600</v>
      </c>
      <c r="I1375">
        <f>D1375*60</f>
        <v/>
      </c>
      <c r="J1375">
        <f>COUNTIF(Отзывы!$D:$D, 71896)</f>
        <v/>
      </c>
    </row>
    <row r="1376">
      <c r="A1376" t="n">
        <v>16059</v>
      </c>
      <c r="B1376" t="inlineStr">
        <is>
          <t>lentil balls</t>
        </is>
      </c>
      <c r="C1376" t="n">
        <v>217051</v>
      </c>
      <c r="D1376" s="4" t="n">
        <v>20</v>
      </c>
      <c r="E1376" s="1" t="n">
        <v>39156</v>
      </c>
      <c r="F1376" t="inlineStr">
        <is>
          <t>this recipe came from a brochure about toddler nutrition from the tasmanian health department. it is given to australian mums as their kids embark upon the "picky eater" stage.</t>
        </is>
      </c>
      <c r="G1376" t="n">
        <v>9</v>
      </c>
      <c r="H1376" t="n">
        <v>1200</v>
      </c>
      <c r="I1376">
        <f>D1376*60</f>
        <v/>
      </c>
      <c r="J1376">
        <f>COUNTIF(Отзывы!$D:$D, 217051)</f>
        <v/>
      </c>
    </row>
    <row r="1377">
      <c r="A1377" t="n">
        <v>27602</v>
      </c>
      <c r="B1377" t="inlineStr">
        <is>
          <t>three pepper spice cookies</t>
        </is>
      </c>
      <c r="C1377" t="n">
        <v>141906</v>
      </c>
      <c r="D1377" s="4" t="n">
        <v>48</v>
      </c>
      <c r="E1377" s="1" t="n">
        <v>38644</v>
      </c>
      <c r="F1377" t="inlineStr">
        <is>
          <t>this spicy cookie recipe came from better homes &amp; gardens. black pepper &amp; cayenne in a cookie!? oh yeah!</t>
        </is>
      </c>
      <c r="H1377" t="n">
        <v>2880</v>
      </c>
      <c r="I1377">
        <f>D1377*60</f>
        <v/>
      </c>
      <c r="J1377">
        <f>COUNTIF(Отзывы!$D:$D, 141906)</f>
        <v/>
      </c>
    </row>
    <row r="1378">
      <c r="A1378" t="n">
        <v>6511</v>
      </c>
      <c r="B1378" t="inlineStr">
        <is>
          <t>chocolate chip cookie brittle</t>
        </is>
      </c>
      <c r="C1378" t="n">
        <v>402576</v>
      </c>
      <c r="D1378" s="4" t="n">
        <v>30</v>
      </c>
      <c r="E1378" s="1" t="n">
        <v>40152</v>
      </c>
      <c r="F1378" t="inlineStr">
        <is>
          <t>adapted from the _american country inn bed and breakfast cookbook vol 2_, as printed at a piece of cake. she says "it's basically an entire pan of the crisp, brown-buttery, sugary edges of the very best chocolate chip cookie." http://bit.ly/stfdf</t>
        </is>
      </c>
      <c r="H1378" t="n">
        <v>1800</v>
      </c>
      <c r="I1378">
        <f>D1378*60</f>
        <v/>
      </c>
      <c r="J1378">
        <f>COUNTIF(Отзывы!$D:$D, 402576)</f>
        <v/>
      </c>
    </row>
    <row r="1379">
      <c r="A1379" t="n">
        <v>16684</v>
      </c>
      <c r="B1379" t="inlineStr">
        <is>
          <t>macaroni beef stew</t>
        </is>
      </c>
      <c r="C1379" t="n">
        <v>189118</v>
      </c>
      <c r="D1379" s="4" t="n">
        <v>170</v>
      </c>
      <c r="E1379" s="1" t="n">
        <v>38994</v>
      </c>
      <c r="F1379" t="inlineStr">
        <is>
          <t>this recipe comes from pillsbury anytime pasta &amp; pizza.  a 1986 version of those supermarket booklets.  the macaroni adds a nice change from the usual potatoes.</t>
        </is>
      </c>
      <c r="G1379" t="n">
        <v>11</v>
      </c>
      <c r="H1379" t="n">
        <v>10200</v>
      </c>
      <c r="I1379">
        <f>D1379*60</f>
        <v/>
      </c>
      <c r="J1379">
        <f>COUNTIF(Отзывы!$D:$D, 189118)</f>
        <v/>
      </c>
    </row>
    <row r="1380">
      <c r="A1380" t="n">
        <v>28484</v>
      </c>
      <c r="B1380" t="inlineStr">
        <is>
          <t>val s chicken cordon bleu rolls</t>
        </is>
      </c>
      <c r="C1380" t="n">
        <v>118108</v>
      </c>
      <c r="D1380" s="4" t="n">
        <v>35</v>
      </c>
      <c r="E1380" s="1" t="n">
        <v>38462</v>
      </c>
      <c r="F1380" t="inlineStr">
        <is>
          <t>my husband loves this meal on a cold day. it goes great with any side dish and is very filling.</t>
        </is>
      </c>
      <c r="G1380" t="n">
        <v>10</v>
      </c>
      <c r="H1380" t="n">
        <v>2100</v>
      </c>
      <c r="I1380">
        <f>D1380*60</f>
        <v/>
      </c>
      <c r="J1380">
        <f>COUNTIF(Отзывы!$D:$D, 118108)</f>
        <v/>
      </c>
    </row>
    <row r="1381">
      <c r="A1381" t="n">
        <v>14471</v>
      </c>
      <c r="B1381" t="inlineStr">
        <is>
          <t>individual apple cobbler</t>
        </is>
      </c>
      <c r="C1381" t="n">
        <v>262960</v>
      </c>
      <c r="D1381" s="4" t="n">
        <v>30</v>
      </c>
      <c r="E1381" s="1" t="n">
        <v>39387</v>
      </c>
      <c r="F1381" t="inlineStr">
        <is>
          <t>this cobbler is super easy and serves 2-4  people.</t>
        </is>
      </c>
      <c r="G1381" t="n">
        <v>10</v>
      </c>
      <c r="H1381" t="n">
        <v>1800</v>
      </c>
      <c r="I1381">
        <f>D1381*60</f>
        <v/>
      </c>
      <c r="J1381">
        <f>COUNTIF(Отзывы!$D:$D, 262960)</f>
        <v/>
      </c>
    </row>
    <row r="1382">
      <c r="A1382" t="n">
        <v>29826</v>
      </c>
      <c r="B1382" t="inlineStr">
        <is>
          <t>zesty chicken marinade</t>
        </is>
      </c>
      <c r="C1382" t="n">
        <v>262994</v>
      </c>
      <c r="D1382" s="4" t="n">
        <v>135</v>
      </c>
      <c r="E1382" s="1" t="n">
        <v>39387</v>
      </c>
      <c r="F1382" t="inlineStr">
        <is>
          <t>this is a great combo. prep time includes the marination time.</t>
        </is>
      </c>
      <c r="G1382" t="n">
        <v>3</v>
      </c>
      <c r="H1382" t="n">
        <v>8100</v>
      </c>
      <c r="I1382">
        <f>D1382*60</f>
        <v/>
      </c>
      <c r="J1382">
        <f>COUNTIF(Отзывы!$D:$D, 262994)</f>
        <v/>
      </c>
    </row>
    <row r="1383">
      <c r="A1383" t="n">
        <v>28352</v>
      </c>
      <c r="B1383" t="inlineStr">
        <is>
          <t>tyler s ultimate meatloaf</t>
        </is>
      </c>
      <c r="C1383" t="n">
        <v>168651</v>
      </c>
      <c r="D1383" s="4" t="n">
        <v>105</v>
      </c>
      <c r="E1383" s="1" t="n">
        <v>38855</v>
      </c>
      <c r="F1383" t="inlineStr">
        <is>
          <t>from the foodtv show tyler's ultimate.  i watched him make this the other day and it really looked amazing.  the relish really seemed to moisten it and it looked good enough to eat on it's own.  posting for myself, but would love to hear from anyone who's tried it.</t>
        </is>
      </c>
      <c r="G1383" t="n">
        <v>20</v>
      </c>
      <c r="H1383" t="n">
        <v>6300</v>
      </c>
      <c r="I1383">
        <f>D1383*60</f>
        <v/>
      </c>
      <c r="J1383">
        <f>COUNTIF(Отзывы!$D:$D, 168651)</f>
        <v/>
      </c>
    </row>
    <row r="1384">
      <c r="A1384" t="n">
        <v>162</v>
      </c>
      <c r="B1384" t="inlineStr">
        <is>
          <t>3 cheese toasted sandwiches</t>
        </is>
      </c>
      <c r="C1384" t="n">
        <v>123408</v>
      </c>
      <c r="D1384" s="4" t="n">
        <v>20</v>
      </c>
      <c r="E1384" s="1" t="n">
        <v>38495</v>
      </c>
      <c r="F1384" t="inlineStr">
        <is>
          <t>the mixture of melted cottage cheese, cheddar cheese and parmesan cheese is irresistible paired in crisp toasted bread.  delicious. from better homes and gardens new dieter's cookbook</t>
        </is>
      </c>
      <c r="G1384" t="n">
        <v>6</v>
      </c>
      <c r="H1384" t="n">
        <v>1200</v>
      </c>
      <c r="I1384">
        <f>D1384*60</f>
        <v/>
      </c>
      <c r="J1384">
        <f>COUNTIF(Отзывы!$D:$D, 123408)</f>
        <v/>
      </c>
    </row>
    <row r="1385">
      <c r="A1385" t="n">
        <v>8705</v>
      </c>
      <c r="B1385" t="inlineStr">
        <is>
          <t>crock pot smokey black beans</t>
        </is>
      </c>
      <c r="C1385" t="n">
        <v>157590</v>
      </c>
      <c r="D1385" s="4" t="n">
        <v>485</v>
      </c>
      <c r="E1385" s="1" t="n">
        <v>38773</v>
      </c>
      <c r="F1385" t="inlineStr">
        <is>
          <t>a little spicy, a little sweet.  great as a filling for burritos or enchiladas, or as a side with grilled meats or fish.</t>
        </is>
      </c>
      <c r="H1385" t="n">
        <v>29100</v>
      </c>
      <c r="I1385">
        <f>D1385*60</f>
        <v/>
      </c>
      <c r="J1385">
        <f>COUNTIF(Отзывы!$D:$D, 157590)</f>
        <v/>
      </c>
    </row>
    <row r="1386">
      <c r="A1386" t="n">
        <v>25882</v>
      </c>
      <c r="B1386" t="inlineStr">
        <is>
          <t>stewed apples  and so much more</t>
        </is>
      </c>
      <c r="C1386" t="n">
        <v>190890</v>
      </c>
      <c r="D1386" s="4" t="n">
        <v>115</v>
      </c>
      <c r="E1386" s="1" t="n">
        <v>39006</v>
      </c>
      <c r="F1386" t="inlineStr">
        <is>
          <t>this recipe is so versatile that's why i named it as such.  this is great as a topping over vanilla ice cream, a slice of cheesecake or a slice of pound cake.  it can also be used as a pastry filling.  place filling in baked phyllo cups (frozen food section) for a quick dessert or you can use as a filling in pre-made frozen puff pastry by rolling out to a rectangle, spooning filling down the middle and fold sides in leaving middle somewhat exposed and baking until golden brown.  then again, it's great just all by itself.</t>
        </is>
      </c>
      <c r="G1386" t="n">
        <v>8</v>
      </c>
      <c r="H1386" t="n">
        <v>6900</v>
      </c>
      <c r="I1386">
        <f>D1386*60</f>
        <v/>
      </c>
      <c r="J1386">
        <f>COUNTIF(Отзывы!$D:$D, 190890)</f>
        <v/>
      </c>
    </row>
    <row r="1387">
      <c r="A1387" t="n">
        <v>9217</v>
      </c>
      <c r="B1387" t="inlineStr">
        <is>
          <t>decadent vegan chocolate mousse</t>
        </is>
      </c>
      <c r="C1387" t="n">
        <v>471226</v>
      </c>
      <c r="D1387" s="4" t="n">
        <v>80</v>
      </c>
      <c r="E1387" s="1" t="n">
        <v>40911</v>
      </c>
      <c r="F1387" t="inlineStr">
        <is>
          <t>many non-vegans think of vegan foods, especially the desserts, as not as desirable, to put it lightly, as non-vegan desserts. however, as an omnivore myself, i can assure anyone looking for an amazing chocolate mousse recipe, look no further. the fats and sugars in this recipe are either natural or unprocessed, making this, as most desserts go, rather healthy.</t>
        </is>
      </c>
      <c r="G1387" t="n">
        <v>6</v>
      </c>
      <c r="H1387" t="n">
        <v>4800</v>
      </c>
      <c r="I1387">
        <f>D1387*60</f>
        <v/>
      </c>
      <c r="J1387">
        <f>COUNTIF(Отзывы!$D:$D, 471226)</f>
        <v/>
      </c>
    </row>
    <row r="1388">
      <c r="A1388" t="n">
        <v>25812</v>
      </c>
      <c r="B1388" t="inlineStr">
        <is>
          <t>state fair puprle ribbon dried apricots</t>
        </is>
      </c>
      <c r="C1388" t="n">
        <v>209103</v>
      </c>
      <c r="D1388" s="4" t="n">
        <v>485</v>
      </c>
      <c r="E1388" s="1" t="n">
        <v>39117</v>
      </c>
      <c r="F1388" t="inlineStr">
        <is>
          <t>this recipe got me the purple rossette ribbon actually.  top of all the dried foods at the nebraska state fair.</t>
        </is>
      </c>
      <c r="H1388" t="n">
        <v>29100</v>
      </c>
      <c r="I1388">
        <f>D1388*60</f>
        <v/>
      </c>
      <c r="J1388">
        <f>COUNTIF(Отзывы!$D:$D, 209103)</f>
        <v/>
      </c>
    </row>
    <row r="1389">
      <c r="A1389" t="n">
        <v>9623</v>
      </c>
      <c r="B1389" t="inlineStr">
        <is>
          <t>dragon s breath sticky ribs</t>
        </is>
      </c>
      <c r="C1389" t="n">
        <v>413695</v>
      </c>
      <c r="D1389" s="4" t="n">
        <v>110</v>
      </c>
      <c r="E1389" s="1" t="n">
        <v>40228</v>
      </c>
      <c r="F1389" t="inlineStr">
        <is>
          <t>the name comes for the use of 2 full heads of the delicious and sweet roasted garlic.  a delicious recipe that is sure to get rave reviews from your family or guests.  make sure that that you have plenty of napkins on hand.  dig in and enjoy!  please note:  if you want sauce for dipping you  might want to make additional.</t>
        </is>
      </c>
      <c r="H1389" t="n">
        <v>6600</v>
      </c>
      <c r="I1389">
        <f>D1389*60</f>
        <v/>
      </c>
      <c r="J1389">
        <f>COUNTIF(Отзывы!$D:$D, 413695)</f>
        <v/>
      </c>
    </row>
    <row r="1390">
      <c r="A1390" t="n">
        <v>27881</v>
      </c>
      <c r="B1390" t="inlineStr">
        <is>
          <t>torgogna  or  torgo s vegan lasagna for 2</t>
        </is>
      </c>
      <c r="C1390" t="n">
        <v>389420</v>
      </c>
      <c r="D1390" s="4" t="n">
        <v>40</v>
      </c>
      <c r="E1390" s="1" t="n">
        <v>40064</v>
      </c>
      <c r="F1390" t="inlineStr">
        <is>
          <t>i am torgo. when the master told me we were becoming vegan, i said it was an abomination. he then reminded me, "you're the abomination, goat boy!" since he doesn't yet want to give up his favorite comfort foods (and comfort wives), i concocted this simple fake lasagna. it makes 2 large portions if only accompanied with bread, or 4 small portions if 2 hapless guests dine with you and your the master. you'll find torgotta cheese with my other recipes.</t>
        </is>
      </c>
      <c r="H1390" t="n">
        <v>2400</v>
      </c>
      <c r="I1390">
        <f>D1390*60</f>
        <v/>
      </c>
      <c r="J1390">
        <f>COUNTIF(Отзывы!$D:$D, 389420)</f>
        <v/>
      </c>
    </row>
    <row r="1391">
      <c r="A1391" t="n">
        <v>8343</v>
      </c>
      <c r="B1391" t="inlineStr">
        <is>
          <t>creamy pumpkin custard pie</t>
        </is>
      </c>
      <c r="C1391" t="n">
        <v>4691</v>
      </c>
      <c r="D1391" s="4" t="n">
        <v>65</v>
      </c>
      <c r="E1391" s="1" t="n">
        <v>36495</v>
      </c>
      <c r="F1391" t="inlineStr">
        <is>
          <t>another pumpkin pie</t>
        </is>
      </c>
      <c r="G1391" t="n">
        <v>10</v>
      </c>
      <c r="H1391" t="n">
        <v>3900</v>
      </c>
      <c r="I1391">
        <f>D1391*60</f>
        <v/>
      </c>
      <c r="J1391">
        <f>COUNTIF(Отзывы!$D:$D, 4691)</f>
        <v/>
      </c>
    </row>
    <row r="1392">
      <c r="A1392" t="n">
        <v>9522</v>
      </c>
      <c r="B1392" t="inlineStr">
        <is>
          <t>doctored up refried beans  in the microwave</t>
        </is>
      </c>
      <c r="C1392" t="n">
        <v>213980</v>
      </c>
      <c r="D1392" s="6" t="n">
        <v>5</v>
      </c>
      <c r="E1392" s="1" t="n">
        <v>39139</v>
      </c>
      <c r="F1392" t="inlineStr">
        <is>
          <t>these are a nice change from the usual straight from the can beans and they're quick and easy to make in the microwave.  we love them along side tacos, enchiladas or any other mexican dishes.</t>
        </is>
      </c>
      <c r="H1392" t="n">
        <v>300</v>
      </c>
      <c r="I1392">
        <f>D1392*60</f>
        <v/>
      </c>
      <c r="J1392">
        <f>COUNTIF(Отзывы!$D:$D, 213980)</f>
        <v/>
      </c>
    </row>
    <row r="1393">
      <c r="A1393" t="n">
        <v>22595</v>
      </c>
      <c r="B1393" t="inlineStr">
        <is>
          <t>rick s kentucky bourbon steak</t>
        </is>
      </c>
      <c r="C1393" t="n">
        <v>325171</v>
      </c>
      <c r="D1393" s="4" t="n">
        <v>30</v>
      </c>
      <c r="E1393" s="1" t="n">
        <v>39706</v>
      </c>
      <c r="F1393" t="inlineStr">
        <is>
          <t>this recipe is more of a steak sauce/ way to cook a steak. any cut will work, i use ny. strip, i enjoy trying different bourbons, each kind adds it own flavors to the sauce.</t>
        </is>
      </c>
      <c r="G1393" t="n">
        <v>4</v>
      </c>
      <c r="H1393" t="n">
        <v>1800</v>
      </c>
      <c r="I1393">
        <f>D1393*60</f>
        <v/>
      </c>
      <c r="J1393">
        <f>COUNTIF(Отзывы!$D:$D, 325171)</f>
        <v/>
      </c>
    </row>
    <row r="1394">
      <c r="A1394" t="n">
        <v>4067</v>
      </c>
      <c r="B1394" t="inlineStr">
        <is>
          <t>buffalo chicken wrap in a snap</t>
        </is>
      </c>
      <c r="C1394" t="n">
        <v>308163</v>
      </c>
      <c r="D1394" s="6" t="n">
        <v>5</v>
      </c>
      <c r="E1394" s="1" t="n">
        <v>39607</v>
      </c>
      <c r="F1394" t="inlineStr">
        <is>
          <t>this is an easy summer or anytime wrap sandwich to put together.  an easy lunch for a warm summer day would be an apple, this sandwich and an iced tea/water.</t>
        </is>
      </c>
      <c r="G1394" t="n">
        <v>5</v>
      </c>
      <c r="H1394" t="n">
        <v>300</v>
      </c>
      <c r="I1394">
        <f>D1394*60</f>
        <v/>
      </c>
      <c r="J1394">
        <f>COUNTIF(Отзывы!$D:$D, 308163)</f>
        <v/>
      </c>
    </row>
    <row r="1395">
      <c r="A1395" t="n">
        <v>5295</v>
      </c>
      <c r="B1395" t="inlineStr">
        <is>
          <t>cheesy pizza pasta</t>
        </is>
      </c>
      <c r="C1395" t="n">
        <v>405978</v>
      </c>
      <c r="D1395" s="4" t="n">
        <v>70</v>
      </c>
      <c r="E1395" s="1" t="n">
        <v>40177</v>
      </c>
      <c r="F1395" t="inlineStr">
        <is>
          <t>from eatbetteramerica.com use your favorite jarred sauce, i generally make my own.</t>
        </is>
      </c>
      <c r="G1395" t="n">
        <v>9</v>
      </c>
      <c r="H1395" t="n">
        <v>4200</v>
      </c>
      <c r="I1395">
        <f>D1395*60</f>
        <v/>
      </c>
      <c r="J1395">
        <f>COUNTIF(Отзывы!$D:$D, 405978)</f>
        <v/>
      </c>
    </row>
    <row r="1396">
      <c r="A1396" t="n">
        <v>19008</v>
      </c>
      <c r="B1396" t="inlineStr">
        <is>
          <t>ofenguck  peek in the oven casserole</t>
        </is>
      </c>
      <c r="C1396" t="n">
        <v>456012</v>
      </c>
      <c r="D1396" s="4" t="n">
        <v>55</v>
      </c>
      <c r="E1396" s="1" t="n">
        <v>40676</v>
      </c>
      <c r="F1396" t="inlineStr">
        <is>
          <t>a swiss main-dish casserole with potatoes, sausage, cheese and eggs.  adapted from cooking the swiss way.</t>
        </is>
      </c>
      <c r="G1396" t="n">
        <v>13</v>
      </c>
      <c r="H1396" t="n">
        <v>3300</v>
      </c>
      <c r="I1396">
        <f>D1396*60</f>
        <v/>
      </c>
      <c r="J1396">
        <f>COUNTIF(Отзывы!$D:$D, 456012)</f>
        <v/>
      </c>
    </row>
    <row r="1397">
      <c r="A1397" t="n">
        <v>4103</v>
      </c>
      <c r="B1397" t="inlineStr">
        <is>
          <t>bumelos de masa  sephardic pancakes</t>
        </is>
      </c>
      <c r="C1397" t="n">
        <v>423269</v>
      </c>
      <c r="D1397" s="4" t="n">
        <v>35</v>
      </c>
      <c r="E1397" s="1" t="n">
        <v>40302</v>
      </c>
      <c r="F1397" t="inlineStr">
        <is>
          <t>posting for zwt6 (greece)</t>
        </is>
      </c>
      <c r="G1397" t="n">
        <v>7</v>
      </c>
      <c r="H1397" t="n">
        <v>2100</v>
      </c>
      <c r="I1397">
        <f>D1397*60</f>
        <v/>
      </c>
      <c r="J1397">
        <f>COUNTIF(Отзывы!$D:$D, 423269)</f>
        <v/>
      </c>
    </row>
    <row r="1398">
      <c r="A1398" t="n">
        <v>22969</v>
      </c>
      <c r="B1398" t="inlineStr">
        <is>
          <t>rosemary garlic grilled steak</t>
        </is>
      </c>
      <c r="C1398" t="n">
        <v>299476</v>
      </c>
      <c r="D1398" s="4" t="n">
        <v>11</v>
      </c>
      <c r="E1398" s="1" t="n">
        <v>39556</v>
      </c>
      <c r="F1398" t="inlineStr">
        <is>
          <t>this recipe came from the newspaper 10 years ago and makes a great steak.</t>
        </is>
      </c>
      <c r="G1398" t="n">
        <v>6</v>
      </c>
      <c r="H1398" t="n">
        <v>660</v>
      </c>
      <c r="I1398">
        <f>D1398*60</f>
        <v/>
      </c>
      <c r="J1398">
        <f>COUNTIF(Отзывы!$D:$D, 299476)</f>
        <v/>
      </c>
    </row>
    <row r="1399">
      <c r="A1399" t="n">
        <v>27566</v>
      </c>
      <c r="B1399" t="inlineStr">
        <is>
          <t>three bears porridge</t>
        </is>
      </c>
      <c r="C1399" t="n">
        <v>182098</v>
      </c>
      <c r="D1399" s="6" t="n">
        <v>5</v>
      </c>
      <c r="E1399" s="1" t="n">
        <v>38946</v>
      </c>
      <c r="F1399" t="inlineStr">
        <is>
          <t>this is what my mummy called it when we were younger, we refused to eat it without the brown sugar or the name, we thought it was special. i had it before my exams as well--it helped me concentrate and kept me going with lots of energy all the way to lunch</t>
        </is>
      </c>
      <c r="G1399" t="n">
        <v>4</v>
      </c>
      <c r="H1399" t="n">
        <v>300</v>
      </c>
      <c r="I1399">
        <f>D1399*60</f>
        <v/>
      </c>
      <c r="J1399">
        <f>COUNTIF(Отзывы!$D:$D, 182098)</f>
        <v/>
      </c>
    </row>
    <row r="1400">
      <c r="A1400" t="n">
        <v>21161</v>
      </c>
      <c r="B1400" t="inlineStr">
        <is>
          <t>pork and beans bread</t>
        </is>
      </c>
      <c r="C1400" t="n">
        <v>61971</v>
      </c>
      <c r="D1400" s="4" t="n">
        <v>90</v>
      </c>
      <c r="E1400" s="1" t="n">
        <v>37753</v>
      </c>
      <c r="F1400" t="inlineStr">
        <is>
          <t>an interesting bread, sounds different than any other i have seen. found it in one of my cookbooks. tell me what you think of it.</t>
        </is>
      </c>
      <c r="G1400" t="n">
        <v>13</v>
      </c>
      <c r="H1400" t="n">
        <v>5400</v>
      </c>
      <c r="I1400">
        <f>D1400*60</f>
        <v/>
      </c>
      <c r="J1400">
        <f>COUNTIF(Отзывы!$D:$D, 61971)</f>
        <v/>
      </c>
    </row>
    <row r="1401">
      <c r="A1401" t="n">
        <v>16986</v>
      </c>
      <c r="B1401" t="inlineStr">
        <is>
          <t>maple pumpkin dinner rolls</t>
        </is>
      </c>
      <c r="C1401" t="n">
        <v>262340</v>
      </c>
      <c r="D1401" s="4" t="n">
        <v>110</v>
      </c>
      <c r="E1401" s="1" t="n">
        <v>39385</v>
      </c>
      <c r="F1401" t="inlineStr">
        <is>
          <t>this recipe is easily prepared in any moderate to large food processor, though you can also make the dough in a stand mixer with a dough hook or by hand. the rolls bake up moist and tender, though the recipe calls for minimal added fat. canned, unseasoned pumpkin puree adds plenty of moisture, along with autumnal flavor and beautiful color. maple syrup, rather than refined sugars, gives the rolls a delicate, earthy sweetness. for the best flavor, use dark b grade maple syrup. in a pinch, you can substitute an equal amount of dark brown sugar for the syrup. these rolls are best served hot from the oven, but you can also let them cool for reheating in a 350 degree f oven for 5-8 minutes when needed. or freeze in a zip-close plastic bag for up to two months. reheat wrapped in foil in a 350 degree f oven. the rolls are delicious on their own but are quite nice served with apple butter or a spoonful of cranberry sauce. in the unlikely event that you have any leftover, they make an excellent base for a mini-ham sandwich spiked with a grainy country-style mustard. prep time includes rising time as well.</t>
        </is>
      </c>
      <c r="H1401" t="n">
        <v>6600</v>
      </c>
      <c r="I1401">
        <f>D1401*60</f>
        <v/>
      </c>
      <c r="J1401">
        <f>COUNTIF(Отзывы!$D:$D, 262340)</f>
        <v/>
      </c>
    </row>
    <row r="1402">
      <c r="A1402" t="n">
        <v>2890</v>
      </c>
      <c r="B1402" t="inlineStr">
        <is>
          <t>best ever beef roast</t>
        </is>
      </c>
      <c r="C1402" t="n">
        <v>390632</v>
      </c>
      <c r="D1402" s="4" t="n">
        <v>20</v>
      </c>
      <c r="E1402" s="1" t="n">
        <v>40073</v>
      </c>
      <c r="F1402" t="inlineStr">
        <is>
          <t>this is a family favorite, very juicy and tender. makes for a great gravy, great recipe for dinner guest!</t>
        </is>
      </c>
      <c r="G1402" t="n">
        <v>10</v>
      </c>
      <c r="H1402" t="n">
        <v>1200</v>
      </c>
      <c r="I1402">
        <f>D1402*60</f>
        <v/>
      </c>
      <c r="J1402">
        <f>COUNTIF(Отзывы!$D:$D, 390632)</f>
        <v/>
      </c>
    </row>
    <row r="1403">
      <c r="A1403" t="n">
        <v>8348</v>
      </c>
      <c r="B1403" t="inlineStr">
        <is>
          <t>creamy reuben soup</t>
        </is>
      </c>
      <c r="C1403" t="n">
        <v>46875</v>
      </c>
      <c r="D1403" s="4" t="n">
        <v>55</v>
      </c>
      <c r="E1403" s="1" t="n">
        <v>37579</v>
      </c>
      <c r="F1403" t="inlineStr">
        <is>
          <t>the classic ingredients of a reuben sandwich in a thick and hearty soup!</t>
        </is>
      </c>
      <c r="G1403" t="n">
        <v>11</v>
      </c>
      <c r="H1403" t="n">
        <v>3300</v>
      </c>
      <c r="I1403">
        <f>D1403*60</f>
        <v/>
      </c>
      <c r="J1403">
        <f>COUNTIF(Отзывы!$D:$D, 46875)</f>
        <v/>
      </c>
    </row>
    <row r="1404">
      <c r="A1404" t="n">
        <v>13600</v>
      </c>
      <c r="B1404" t="inlineStr">
        <is>
          <t>hemingway special  a caribbean inspired cocktail</t>
        </is>
      </c>
      <c r="C1404" t="n">
        <v>232119</v>
      </c>
      <c r="D1404" s="6" t="n">
        <v>5</v>
      </c>
      <c r="E1404" s="1" t="n">
        <v>39237</v>
      </c>
      <c r="F1404" t="inlineStr">
        <is>
          <t>a spin off of the "hemingway special" serve in a frosty glass over ice and you are set to sample a taste of the caribbean!</t>
        </is>
      </c>
      <c r="G1404" t="n">
        <v>6</v>
      </c>
      <c r="H1404" t="n">
        <v>300</v>
      </c>
      <c r="I1404">
        <f>D1404*60</f>
        <v/>
      </c>
      <c r="J1404">
        <f>COUNTIF(Отзывы!$D:$D, 232119)</f>
        <v/>
      </c>
    </row>
    <row r="1405">
      <c r="A1405" t="n">
        <v>1687</v>
      </c>
      <c r="B1405" t="inlineStr">
        <is>
          <t>bacon  cheddar  and tomato pita pizzas</t>
        </is>
      </c>
      <c r="C1405" t="n">
        <v>39467</v>
      </c>
      <c r="D1405" s="4" t="n">
        <v>19</v>
      </c>
      <c r="E1405" s="1" t="n">
        <v>37503</v>
      </c>
      <c r="F1405" t="inlineStr">
        <is>
          <t>quick american pizza. romano tomatoes are good in this recipe as well.</t>
        </is>
      </c>
      <c r="G1405" t="n">
        <v>8</v>
      </c>
      <c r="H1405" t="n">
        <v>1140</v>
      </c>
      <c r="I1405">
        <f>D1405*60</f>
        <v/>
      </c>
      <c r="J1405">
        <f>COUNTIF(Отзывы!$D:$D, 39467)</f>
        <v/>
      </c>
    </row>
    <row r="1406">
      <c r="A1406" t="n">
        <v>20091</v>
      </c>
      <c r="B1406" t="inlineStr">
        <is>
          <t>pea and lettuce soup</t>
        </is>
      </c>
      <c r="C1406" t="n">
        <v>59656</v>
      </c>
      <c r="D1406" s="4" t="n">
        <v>40</v>
      </c>
      <c r="E1406" s="1" t="n">
        <v>37726</v>
      </c>
      <c r="F1406" t="inlineStr">
        <is>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is>
      </c>
      <c r="G1406" t="n">
        <v>9</v>
      </c>
      <c r="H1406" t="n">
        <v>2400</v>
      </c>
      <c r="I1406">
        <f>D1406*60</f>
        <v/>
      </c>
      <c r="J1406">
        <f>COUNTIF(Отзывы!$D:$D, 59656)</f>
        <v/>
      </c>
    </row>
    <row r="1407">
      <c r="A1407" t="n">
        <v>27007</v>
      </c>
      <c r="B1407" t="inlineStr">
        <is>
          <t>tapioca cream</t>
        </is>
      </c>
      <c r="C1407" t="n">
        <v>168921</v>
      </c>
      <c r="D1407" s="4" t="n">
        <v>30</v>
      </c>
      <c r="E1407" s="1" t="n">
        <v>38859</v>
      </c>
      <c r="F1407" t="inlineStr">
        <is>
          <t>a light and lovely dessert to cap off your meal. to make it extra special, sprinkle with cinnamon, nutmeg, or a few slices of berries.</t>
        </is>
      </c>
      <c r="H1407" t="n">
        <v>1800</v>
      </c>
      <c r="I1407">
        <f>D1407*60</f>
        <v/>
      </c>
      <c r="J1407">
        <f>COUNTIF(Отзывы!$D:$D, 168921)</f>
        <v/>
      </c>
    </row>
    <row r="1408">
      <c r="A1408" t="n">
        <v>4607</v>
      </c>
      <c r="B1408" t="inlineStr">
        <is>
          <t>cappuccino ice</t>
        </is>
      </c>
      <c r="C1408" t="n">
        <v>112687</v>
      </c>
      <c r="D1408" s="4" t="n">
        <v>40</v>
      </c>
      <c r="E1408" s="1" t="n">
        <v>38415</v>
      </c>
      <c r="F1408" t="inlineStr">
        <is>
          <t>nummmy !!!! coffee lovers take note, can be addictive.</t>
        </is>
      </c>
      <c r="H1408" t="n">
        <v>2400</v>
      </c>
      <c r="I1408">
        <f>D1408*60</f>
        <v/>
      </c>
      <c r="J1408">
        <f>COUNTIF(Отзывы!$D:$D, 112687)</f>
        <v/>
      </c>
    </row>
    <row r="1409">
      <c r="A1409" t="n">
        <v>28257</v>
      </c>
      <c r="B1409" t="inlineStr">
        <is>
          <t>turtle cheesecake   quick and easy</t>
        </is>
      </c>
      <c r="C1409" t="n">
        <v>223444</v>
      </c>
      <c r="D1409" s="4" t="n">
        <v>55</v>
      </c>
      <c r="E1409" s="1" t="n">
        <v>39190</v>
      </c>
      <c r="F1409" t="inlineStr">
        <is>
          <t>i bought a frozen assortment pack of cheesecake bites that included a turtle cheesecake that i just love!! so i made this recipe to replicate the one from lawlers, but in a whole cheesecake. prep time does not include cooling and refrigeration time.</t>
        </is>
      </c>
      <c r="G1409" t="n">
        <v>9</v>
      </c>
      <c r="H1409" t="n">
        <v>3300</v>
      </c>
      <c r="I1409">
        <f>D1409*60</f>
        <v/>
      </c>
      <c r="J1409">
        <f>COUNTIF(Отзывы!$D:$D, 223444)</f>
        <v/>
      </c>
    </row>
    <row r="1410">
      <c r="A1410" t="n">
        <v>10958</v>
      </c>
      <c r="B1410" t="inlineStr">
        <is>
          <t>fiesta shrimp cocktail  rsc</t>
        </is>
      </c>
      <c r="C1410" t="n">
        <v>494323</v>
      </c>
      <c r="D1410" s="4" t="n">
        <v>30</v>
      </c>
      <c r="E1410" s="1" t="n">
        <v>41302</v>
      </c>
      <c r="F1410" t="inlineStr">
        <is>
          <t>ready, set, cook! hidden valley contest entry  this colorful first course dish uses fresh, healthy ingredients.  the pan roasted corn gives a smoky sweetness to the sauce while the avocado cools everything down.  fiesta shrimp cocktail gives a lovely presentation that is sure to draw complements from your dinner guests.  this recipe can easily be doubled or tripled for parties.</t>
        </is>
      </c>
      <c r="G1410" t="n">
        <v>18</v>
      </c>
      <c r="H1410" t="n">
        <v>1800</v>
      </c>
      <c r="I1410">
        <f>D1410*60</f>
        <v/>
      </c>
      <c r="J1410">
        <f>COUNTIF(Отзывы!$D:$D, 494323)</f>
        <v/>
      </c>
    </row>
    <row r="1411">
      <c r="A1411" t="n">
        <v>9245</v>
      </c>
      <c r="B1411" t="inlineStr">
        <is>
          <t>deep dish turkey pot pie</t>
        </is>
      </c>
      <c r="C1411" t="n">
        <v>147101</v>
      </c>
      <c r="D1411" s="4" t="n">
        <v>40</v>
      </c>
      <c r="E1411" s="1" t="n">
        <v>38688</v>
      </c>
      <c r="F1411" t="inlineStr">
        <is>
          <t>yummmmmm!</t>
        </is>
      </c>
      <c r="H1411" t="n">
        <v>2400</v>
      </c>
      <c r="I1411">
        <f>D1411*60</f>
        <v/>
      </c>
      <c r="J1411">
        <f>COUNTIF(Отзывы!$D:$D, 147101)</f>
        <v/>
      </c>
    </row>
    <row r="1412">
      <c r="A1412" t="n">
        <v>26582</v>
      </c>
      <c r="B1412" t="inlineStr">
        <is>
          <t>sweet  sugar free gluten free  granola</t>
        </is>
      </c>
      <c r="C1412" t="n">
        <v>328418</v>
      </c>
      <c r="D1412" s="4" t="n">
        <v>35</v>
      </c>
      <c r="E1412" s="1" t="n">
        <v>39722</v>
      </c>
      <c r="F1412" t="inlineStr">
        <is>
          <t>made with agave nectar, which has a low glycemic level and is a delicious and safe alternative to table sugar. unlike the crystalline form of fructose, which is refined primarily from corn, agave syrup is fructose in its natural form. this nectar does not contain processing chemicals. even better, because fructose is sweeter than table sugar, less is needed in your recipes. it can be most useful for people who are diabetic, have insulin resistance (syndrome x), or are simply watching their carbohydrate intake.</t>
        </is>
      </c>
      <c r="G1412" t="n">
        <v>19</v>
      </c>
      <c r="H1412" t="n">
        <v>2100</v>
      </c>
      <c r="I1412">
        <f>D1412*60</f>
        <v/>
      </c>
      <c r="J1412">
        <f>COUNTIF(Отзывы!$D:$D, 328418)</f>
        <v/>
      </c>
    </row>
    <row r="1413">
      <c r="A1413" t="n">
        <v>28100</v>
      </c>
      <c r="B1413" t="inlineStr">
        <is>
          <t>tuna bumsteads</t>
        </is>
      </c>
      <c r="C1413" t="n">
        <v>60173</v>
      </c>
      <c r="D1413" s="4" t="n">
        <v>35</v>
      </c>
      <c r="E1413" s="1" t="n">
        <v>37729</v>
      </c>
      <c r="F1413" t="inlineStr">
        <is>
          <t>i remember these from my junior high school cafeteria, every friday without fail! i still hate tuna but now i can at least make up for that with a substitution!</t>
        </is>
      </c>
      <c r="G1413" t="n">
        <v>9</v>
      </c>
      <c r="H1413" t="n">
        <v>2100</v>
      </c>
      <c r="I1413">
        <f>D1413*60</f>
        <v/>
      </c>
      <c r="J1413">
        <f>COUNTIF(Отзывы!$D:$D, 60173)</f>
        <v/>
      </c>
    </row>
    <row r="1414">
      <c r="A1414" t="n">
        <v>9538</v>
      </c>
      <c r="B1414" t="inlineStr">
        <is>
          <t>don t cook the pasta manicotti</t>
        </is>
      </c>
      <c r="C1414" t="n">
        <v>178905</v>
      </c>
      <c r="D1414" s="4" t="n">
        <v>95</v>
      </c>
      <c r="E1414" s="1" t="n">
        <v>38922</v>
      </c>
      <c r="F1414" t="inlineStr">
        <is>
          <t>from the recipe hall of fame cookbook ii. preparation time includes standing time.</t>
        </is>
      </c>
      <c r="G1414" t="n">
        <v>15</v>
      </c>
      <c r="H1414" t="n">
        <v>5700</v>
      </c>
      <c r="I1414">
        <f>D1414*60</f>
        <v/>
      </c>
      <c r="J1414">
        <f>COUNTIF(Отзывы!$D:$D, 178905)</f>
        <v/>
      </c>
    </row>
    <row r="1415">
      <c r="A1415" t="n">
        <v>4923</v>
      </c>
      <c r="B1415" t="inlineStr">
        <is>
          <t>cauliflower   green olive salad</t>
        </is>
      </c>
      <c r="C1415" t="n">
        <v>95453</v>
      </c>
      <c r="D1415" s="6" t="n">
        <v>8</v>
      </c>
      <c r="E1415" s="1" t="n">
        <v>38180</v>
      </c>
      <c r="F1415" t="inlineStr">
        <is>
          <t>my mother has made this for years. with some adaptations and couple of decades, i have come to actually like it! originally, she made it with with bleu cheese instead of feta cheese. this is a real hit at picnics.</t>
        </is>
      </c>
      <c r="H1415" t="n">
        <v>480</v>
      </c>
      <c r="I1415">
        <f>D1415*60</f>
        <v/>
      </c>
      <c r="J1415">
        <f>COUNTIF(Отзывы!$D:$D, 95453)</f>
        <v/>
      </c>
    </row>
    <row r="1416">
      <c r="A1416" t="n">
        <v>9642</v>
      </c>
      <c r="B1416" t="inlineStr">
        <is>
          <t>dried cranberry and apple turkey stuffing</t>
        </is>
      </c>
      <c r="C1416" t="n">
        <v>79683</v>
      </c>
      <c r="D1416" s="4" t="n">
        <v>25</v>
      </c>
      <c r="E1416" s="1" t="n">
        <v>37984</v>
      </c>
      <c r="F1416" t="inlineStr">
        <is>
          <t>a recipe of my girlfriends, made at her house for a christmas dinner a few years back...an excellent recipe for a stuffing, that is prepared to cook inside the turkey. note cooking time depends on how long the turkey is cooked, i imagine that you could bake this outside the turkey also too. this recipe can be doubled if desired.</t>
        </is>
      </c>
      <c r="G1416" t="n">
        <v>14</v>
      </c>
      <c r="H1416" t="n">
        <v>1500</v>
      </c>
      <c r="I1416">
        <f>D1416*60</f>
        <v/>
      </c>
      <c r="J1416">
        <f>COUNTIF(Отзывы!$D:$D, 79683)</f>
        <v/>
      </c>
    </row>
    <row r="1417">
      <c r="A1417" t="n">
        <v>22225</v>
      </c>
      <c r="B1417" t="inlineStr">
        <is>
          <t>ratatouille that fills</t>
        </is>
      </c>
      <c r="C1417" t="n">
        <v>386368</v>
      </c>
      <c r="D1417" s="4" t="n">
        <v>110</v>
      </c>
      <c r="E1417" s="1" t="n">
        <v>40045</v>
      </c>
      <c r="F1417" t="inlineStr">
        <is>
          <t>in light of the review, i have corrected the recipe. we love rataouille, but have found hunger pains a short while after. thus, i have reinvented the recipe to fill our appetites. think french meets italian in a dazzling clash of flavor.</t>
        </is>
      </c>
      <c r="G1417" t="n">
        <v>16</v>
      </c>
      <c r="H1417" t="n">
        <v>6600</v>
      </c>
      <c r="I1417">
        <f>D1417*60</f>
        <v/>
      </c>
      <c r="J1417">
        <f>COUNTIF(Отзывы!$D:$D, 386368)</f>
        <v/>
      </c>
    </row>
    <row r="1418">
      <c r="A1418" t="n">
        <v>29442</v>
      </c>
      <c r="B1418" t="inlineStr">
        <is>
          <t>will s guacamole</t>
        </is>
      </c>
      <c r="C1418" t="n">
        <v>113075</v>
      </c>
      <c r="D1418" s="6" t="n">
        <v>10</v>
      </c>
      <c r="E1418" s="1" t="n">
        <v>38420</v>
      </c>
      <c r="F1418" t="inlineStr">
        <is>
          <t>will went to a cooking class and discovered how to make this. it's awesome.</t>
        </is>
      </c>
      <c r="H1418" t="n">
        <v>600</v>
      </c>
      <c r="I1418">
        <f>D1418*60</f>
        <v/>
      </c>
      <c r="J1418">
        <f>COUNTIF(Отзывы!$D:$D, 113075)</f>
        <v/>
      </c>
    </row>
    <row r="1419">
      <c r="A1419" t="n">
        <v>22669</v>
      </c>
      <c r="B1419" t="inlineStr">
        <is>
          <t>roast chicken salad with peaches  goat cheese  and pecans</t>
        </is>
      </c>
      <c r="C1419" t="n">
        <v>383201</v>
      </c>
      <c r="D1419" s="4" t="n">
        <v>20</v>
      </c>
      <c r="E1419" s="1" t="n">
        <v>40022</v>
      </c>
      <c r="F1419" t="inlineStr">
        <is>
          <t>fresh peaches and goat cheese headline this simple no-cook salad recipe. the 8-ingredient vinaigrette, made with pantry staples, takes minutes to make and is a delicious compliment to the other ingredients in the salad. use a store-bought rotisserie chicken to save time in the kitchen.  from cooking light</t>
        </is>
      </c>
      <c r="H1419" t="n">
        <v>1200</v>
      </c>
      <c r="I1419">
        <f>D1419*60</f>
        <v/>
      </c>
      <c r="J1419">
        <f>COUNTIF(Отзывы!$D:$D, 383201)</f>
        <v/>
      </c>
    </row>
    <row r="1420" ht="409.5" customHeight="1">
      <c r="A1420" t="n">
        <v>26595</v>
      </c>
      <c r="B1420" t="inlineStr">
        <is>
          <t>sweet and sour anything</t>
        </is>
      </c>
      <c r="C1420" t="n">
        <v>397198</v>
      </c>
      <c r="D1420" s="4" t="n">
        <v>40</v>
      </c>
      <c r="E1420" s="1" t="n">
        <v>40116</v>
      </c>
      <c r="F1420" s="2" t="inlineStr">
        <is>
          <t>i wanted to make sweet and sour something, started out with one recipe, ended up adapting another,   and in the end, had a very good sweet and sour vegetable dish, with some chicken for good measure, although quite frankly, it was fine with just the vegetables.  so in this recipe, i give you just the veggies, but feel free to add meat ( i cut two chicken breasts in thin slices and stir-fried them, then added veggies to that), i'm adding a note on how to prepare pork if you choose to use that. also, use whichever vegetables you have, so many lend themselves to chinese cuisine.  i should add that you will need to make the marinade even if you don't use meat, since you will use it in your sauce.  please play with the recipe, that's what i did!  i've given cooking time allowing for meat, it will be less if you omit the meat._x000D_
the original recipe comes from the australian womens weekly "chinese cooking class cookbook"</t>
        </is>
      </c>
      <c r="G1420" t="n">
        <v>18</v>
      </c>
      <c r="H1420" t="n">
        <v>2400</v>
      </c>
      <c r="I1420">
        <f>D1420*60</f>
        <v/>
      </c>
      <c r="J1420">
        <f>COUNTIF(Отзывы!$D:$D, 397198)</f>
        <v/>
      </c>
    </row>
    <row r="1421">
      <c r="A1421" t="n">
        <v>24308</v>
      </c>
      <c r="B1421" t="inlineStr">
        <is>
          <t>simple  easy pickled beets</t>
        </is>
      </c>
      <c r="C1421" t="n">
        <v>118927</v>
      </c>
      <c r="D1421" s="4" t="n">
        <v>30</v>
      </c>
      <c r="E1421" s="1" t="n">
        <v>38466</v>
      </c>
      <c r="F1421" t="inlineStr">
        <is>
          <t>during the winter when fresh beets are not available, this is what i make. you can use beets out of the garden, just cook them, peel and slice them and reserve some of the juice that you cook them in. i love the way these taste. and they will keep in an airtight container in the 'fridge for quite a while.</t>
        </is>
      </c>
      <c r="G1421" t="n">
        <v>5</v>
      </c>
      <c r="H1421" t="n">
        <v>1800</v>
      </c>
      <c r="I1421">
        <f>D1421*60</f>
        <v/>
      </c>
      <c r="J1421">
        <f>COUNTIF(Отзывы!$D:$D, 118927)</f>
        <v/>
      </c>
    </row>
    <row r="1422">
      <c r="A1422" t="n">
        <v>9017</v>
      </c>
      <c r="B1422" t="inlineStr">
        <is>
          <t>curried shrimp and cheddar soup</t>
        </is>
      </c>
      <c r="C1422" t="n">
        <v>339402</v>
      </c>
      <c r="D1422" s="4" t="n">
        <v>15</v>
      </c>
      <c r="E1422" s="1" t="n">
        <v>39777</v>
      </c>
      <c r="F1422" t="inlineStr">
        <is>
          <t>i made up this recipe for quick lunch on a chilly day for my seafood loving husband.  don't let the long list of ingredients fool you.  this was 15 minutes from idea to table.</t>
        </is>
      </c>
      <c r="H1422" t="n">
        <v>900</v>
      </c>
      <c r="I1422">
        <f>D1422*60</f>
        <v/>
      </c>
      <c r="J1422">
        <f>COUNTIF(Отзывы!$D:$D, 339402)</f>
        <v/>
      </c>
    </row>
    <row r="1423">
      <c r="A1423" t="n">
        <v>14768</v>
      </c>
      <c r="B1423" t="inlineStr">
        <is>
          <t>italian tuna pasta salad</t>
        </is>
      </c>
      <c r="C1423" t="n">
        <v>301519</v>
      </c>
      <c r="D1423" s="4" t="n">
        <v>20</v>
      </c>
      <c r="E1423" s="1" t="n">
        <v>39568</v>
      </c>
      <c r="F1423" t="inlineStr">
        <is>
          <t>i used to love tuna helper's pasta salad and was so disappointed when they discontinued it. over the years i've kicked around different ideas. this is what i think is a fairly close approximation to it.</t>
        </is>
      </c>
      <c r="G1423" t="n">
        <v>7</v>
      </c>
      <c r="H1423" t="n">
        <v>1200</v>
      </c>
      <c r="I1423">
        <f>D1423*60</f>
        <v/>
      </c>
      <c r="J1423">
        <f>COUNTIF(Отзывы!$D:$D, 301519)</f>
        <v/>
      </c>
    </row>
    <row r="1424" ht="409.5" customHeight="1">
      <c r="A1424" t="n">
        <v>26373</v>
      </c>
      <c r="B1424" t="inlineStr">
        <is>
          <t>sunflower veggie tofu burgers</t>
        </is>
      </c>
      <c r="C1424" t="n">
        <v>324271</v>
      </c>
      <c r="D1424" s="4" t="n">
        <v>30</v>
      </c>
      <c r="E1424" s="1" t="n">
        <v>39701</v>
      </c>
      <c r="F1424" s="2" t="inlineStr">
        <is>
          <t>a delicious, easy veggie burger.  the colour is lovely, and the flavour and texture satisfies both the omnivore and the vegetarian!_x000D_
adapted from a shoppers drug mart promo magazine from a few years back...(which says it adapted it from anne lindsay's "new light cooking")._x000D_
although quick enough prepared with a box grater, the prep is especially easy when grated through a food processor!</t>
        </is>
      </c>
      <c r="G1424" t="n">
        <v>12</v>
      </c>
      <c r="H1424" t="n">
        <v>1800</v>
      </c>
      <c r="I1424">
        <f>D1424*60</f>
        <v/>
      </c>
      <c r="J1424">
        <f>COUNTIF(Отзывы!$D:$D, 324271)</f>
        <v/>
      </c>
    </row>
    <row r="1425">
      <c r="A1425" t="n">
        <v>23807</v>
      </c>
      <c r="B1425" t="inlineStr">
        <is>
          <t>secret salsa</t>
        </is>
      </c>
      <c r="C1425" t="n">
        <v>344</v>
      </c>
      <c r="D1425" s="4" t="n">
        <v>210</v>
      </c>
      <c r="E1425" s="1" t="n">
        <v>36405</v>
      </c>
      <c r="F1425" t="inlineStr">
        <is>
          <t>i rescued this salsa recipe by adopting it from the recipezaar account, and plan to nurse it back to health when i get the chance :)  i think with a bit of tweaking, this recipe could be really good!</t>
        </is>
      </c>
      <c r="G1425" t="n">
        <v>11</v>
      </c>
      <c r="H1425" t="n">
        <v>12600</v>
      </c>
      <c r="I1425">
        <f>D1425*60</f>
        <v/>
      </c>
      <c r="J1425">
        <f>COUNTIF(Отзывы!$D:$D, 344)</f>
        <v/>
      </c>
    </row>
    <row r="1426">
      <c r="A1426" t="n">
        <v>28261</v>
      </c>
      <c r="B1426" t="inlineStr">
        <is>
          <t>tuscan bean and vegetable soup</t>
        </is>
      </c>
      <c r="C1426" t="n">
        <v>282609</v>
      </c>
      <c r="D1426" s="4" t="n">
        <v>20</v>
      </c>
      <c r="E1426" s="1" t="n">
        <v>39476</v>
      </c>
      <c r="F1426" t="inlineStr">
        <is>
          <t>from cookshelf healthy cooking.  for a heartier soup, add 12 oz diced cooked chicken.  serve with low-fat pesto sauce (recipe included) and garlic bread.  doesn't that sound just so good?</t>
        </is>
      </c>
      <c r="H1426" t="n">
        <v>1200</v>
      </c>
      <c r="I1426">
        <f>D1426*60</f>
        <v/>
      </c>
      <c r="J1426">
        <f>COUNTIF(Отзывы!$D:$D, 282609)</f>
        <v/>
      </c>
    </row>
    <row r="1427">
      <c r="A1427" t="n">
        <v>28671</v>
      </c>
      <c r="B1427" t="inlineStr">
        <is>
          <t>vegetable pasta pie</t>
        </is>
      </c>
      <c r="C1427" t="n">
        <v>94096</v>
      </c>
      <c r="D1427" s="4" t="n">
        <v>105</v>
      </c>
      <c r="E1427" s="1" t="n">
        <v>38161</v>
      </c>
      <c r="F1427" t="inlineStr">
        <is>
          <t>i've had this recipe for ages. i used to make it before i moved overseas. 2 things i always did differently was replace the ricotta with cottage cheese and i used a cast iron skillet as opposed to the springform pan. goes well with nice tossed salad. also try using wholemeal flour for pastry... i have done that and it made if very hearty and wholesome--especially if you use wholemeal pasta and stick with low fat cheeses.</t>
        </is>
      </c>
      <c r="G1427" t="n">
        <v>15</v>
      </c>
      <c r="H1427" t="n">
        <v>6300</v>
      </c>
      <c r="I1427">
        <f>D1427*60</f>
        <v/>
      </c>
      <c r="J1427">
        <f>COUNTIF(Отзывы!$D:$D, 94096)</f>
        <v/>
      </c>
    </row>
    <row r="1428">
      <c r="A1428" t="n">
        <v>28072</v>
      </c>
      <c r="B1428" t="inlineStr">
        <is>
          <t>tsr version of chili s chicken enchilada soup by todd wilbur</t>
        </is>
      </c>
      <c r="C1428" t="n">
        <v>58976</v>
      </c>
      <c r="D1428" s="4" t="n">
        <v>70</v>
      </c>
      <c r="E1428" s="1" t="n">
        <v>37719</v>
      </c>
      <c r="F1428" t="inlineStr">
        <is>
          <t>from www.topsecretrecipes.com. the dish is one of chili's most raved-about items. i ordered this when i was at lunch with my sister. had to get two bowls to go!</t>
        </is>
      </c>
      <c r="G1428" t="n">
        <v>18</v>
      </c>
      <c r="H1428" t="n">
        <v>4200</v>
      </c>
      <c r="I1428">
        <f>D1428*60</f>
        <v/>
      </c>
      <c r="J1428">
        <f>COUNTIF(Отзывы!$D:$D, 58976)</f>
        <v/>
      </c>
    </row>
    <row r="1429">
      <c r="A1429" t="n">
        <v>25532</v>
      </c>
      <c r="B1429" t="inlineStr">
        <is>
          <t>spicy tomato macaroni and cheese</t>
        </is>
      </c>
      <c r="C1429" t="n">
        <v>102642</v>
      </c>
      <c r="D1429" s="4" t="n">
        <v>25</v>
      </c>
      <c r="E1429" s="1" t="n">
        <v>38286</v>
      </c>
      <c r="F1429" t="inlineStr">
        <is>
          <t xml:space="preserve">this is great. this pasta recipe has a nice spicy cheese sauce and is easy to throw together. the spiciness of the dish can be easy altered to suit ones preferences. i did use the </t>
        </is>
      </c>
      <c r="H1429" t="n">
        <v>1500</v>
      </c>
      <c r="I1429">
        <f>D1429*60</f>
        <v/>
      </c>
      <c r="J1429">
        <f>COUNTIF(Отзывы!$D:$D, 102642)</f>
        <v/>
      </c>
    </row>
    <row r="1430">
      <c r="A1430" t="n">
        <v>18358</v>
      </c>
      <c r="B1430" t="inlineStr">
        <is>
          <t>mustard and ginger cookies</t>
        </is>
      </c>
      <c r="C1430" t="n">
        <v>126046</v>
      </c>
      <c r="D1430" s="4" t="n">
        <v>70</v>
      </c>
      <c r="E1430" s="1" t="n">
        <v>38518</v>
      </c>
      <c r="F1430" t="inlineStr">
        <is>
          <t>don't let the name throw you off--these are hauntingly good cookies.</t>
        </is>
      </c>
      <c r="G1430" t="n">
        <v>13</v>
      </c>
      <c r="H1430" t="n">
        <v>4200</v>
      </c>
      <c r="I1430">
        <f>D1430*60</f>
        <v/>
      </c>
      <c r="J1430">
        <f>COUNTIF(Отзывы!$D:$D, 126046)</f>
        <v/>
      </c>
    </row>
    <row r="1431">
      <c r="A1431" t="n">
        <v>27567</v>
      </c>
      <c r="B1431" t="inlineStr">
        <is>
          <t>three can casserole</t>
        </is>
      </c>
      <c r="C1431" t="n">
        <v>104316</v>
      </c>
      <c r="D1431" s="4" t="n">
        <v>40</v>
      </c>
      <c r="E1431" s="1" t="n">
        <v>38308</v>
      </c>
      <c r="F1431" t="inlineStr">
        <is>
          <t>it does not get much simpler than this. by using canned ingredients, the green bean casserole can also be made in an rv kitchen, or even in a camp site dutch oven.</t>
        </is>
      </c>
      <c r="G1431" t="n">
        <v>3</v>
      </c>
      <c r="H1431" t="n">
        <v>2400</v>
      </c>
      <c r="I1431">
        <f>D1431*60</f>
        <v/>
      </c>
      <c r="J1431">
        <f>COUNTIF(Отзывы!$D:$D, 104316)</f>
        <v/>
      </c>
    </row>
    <row r="1432">
      <c r="A1432" t="n">
        <v>29633</v>
      </c>
      <c r="B1432" t="inlineStr">
        <is>
          <t>ya ya punch</t>
        </is>
      </c>
      <c r="C1432" t="n">
        <v>59148</v>
      </c>
      <c r="D1432" s="6" t="n">
        <v>5</v>
      </c>
      <c r="E1432" s="1" t="n">
        <v>37721</v>
      </c>
      <c r="F1432" t="inlineStr">
        <is>
          <t>a popular drink at joe's crab shack restaurant.</t>
        </is>
      </c>
      <c r="G1432" t="n">
        <v>6</v>
      </c>
      <c r="H1432" t="n">
        <v>300</v>
      </c>
      <c r="I1432">
        <f>D1432*60</f>
        <v/>
      </c>
      <c r="J1432">
        <f>COUNTIF(Отзывы!$D:$D, 59148)</f>
        <v/>
      </c>
    </row>
    <row r="1433" ht="409.5" customHeight="1">
      <c r="A1433" t="n">
        <v>12320</v>
      </c>
      <c r="B1433" t="inlineStr">
        <is>
          <t>gourmet twenty dollar burger</t>
        </is>
      </c>
      <c r="C1433" t="n">
        <v>323944</v>
      </c>
      <c r="D1433" s="4" t="n">
        <v>40</v>
      </c>
      <c r="E1433" s="1" t="n">
        <v>39699</v>
      </c>
      <c r="F1433" s="2" t="inlineStr">
        <is>
          <t>i was looking for a different burger and came across this recipe on allrecipes.com credit goes to the poster who submitted this delicious gourmet burger, mollys._x000D_
these take a little time but so worth the extra effort as they turned out wonderfully moist and juicy. try to buy the best minced beef you can for a truely gourmet taste.</t>
        </is>
      </c>
      <c r="G1433" t="n">
        <v>16</v>
      </c>
      <c r="H1433" t="n">
        <v>2400</v>
      </c>
      <c r="I1433">
        <f>D1433*60</f>
        <v/>
      </c>
      <c r="J1433">
        <f>COUNTIF(Отзывы!$D:$D, 323944)</f>
        <v/>
      </c>
    </row>
    <row r="1434" ht="409.5" customHeight="1">
      <c r="A1434" t="n">
        <v>6077</v>
      </c>
      <c r="B1434" t="inlineStr">
        <is>
          <t>chicken with mushroom gravy    for two</t>
        </is>
      </c>
      <c r="C1434" t="n">
        <v>322564</v>
      </c>
      <c r="D1434" s="4" t="n">
        <v>35</v>
      </c>
      <c r="E1434" s="1" t="n">
        <v>39694</v>
      </c>
      <c r="F1434" s="2" t="inlineStr">
        <is>
          <t>a nice quick meal when you want something tasty and fast. one of my favorite flavors with chicken. makes a lot of gravy to put over hot rice or pasta._x000D_
_x000D_
enjoy! _x000D_
_x000D_
your comments and ratings are welcome. ;)</t>
        </is>
      </c>
      <c r="G1434" t="n">
        <v>12</v>
      </c>
      <c r="H1434" t="n">
        <v>2100</v>
      </c>
      <c r="I1434">
        <f>D1434*60</f>
        <v/>
      </c>
      <c r="J1434">
        <f>COUNTIF(Отзывы!$D:$D, 322564)</f>
        <v/>
      </c>
    </row>
    <row r="1435">
      <c r="A1435" t="n">
        <v>12569</v>
      </c>
      <c r="B1435" t="inlineStr">
        <is>
          <t>greek mushroom salad</t>
        </is>
      </c>
      <c r="C1435" t="n">
        <v>544</v>
      </c>
      <c r="D1435" s="4" t="n">
        <v>38</v>
      </c>
      <c r="E1435" s="1" t="n">
        <v>36382</v>
      </c>
      <c r="G1435" t="n">
        <v>10</v>
      </c>
      <c r="H1435" t="n">
        <v>2280</v>
      </c>
      <c r="I1435">
        <f>D1435*60</f>
        <v/>
      </c>
      <c r="J1435">
        <f>COUNTIF(Отзывы!$D:$D, 544)</f>
        <v/>
      </c>
    </row>
    <row r="1436">
      <c r="A1436" t="n">
        <v>17680</v>
      </c>
      <c r="B1436" t="inlineStr">
        <is>
          <t>milo choc chip cookies</t>
        </is>
      </c>
      <c r="C1436" t="n">
        <v>241148</v>
      </c>
      <c r="D1436" s="4" t="n">
        <v>30</v>
      </c>
      <c r="E1436" s="1" t="n">
        <v>39281</v>
      </c>
      <c r="F1436" t="inlineStr">
        <is>
          <t>this is my adaptation of a recipe found in a recent nestle pamphlet.</t>
        </is>
      </c>
      <c r="G1436" t="n">
        <v>7</v>
      </c>
      <c r="H1436" t="n">
        <v>1800</v>
      </c>
      <c r="I1436">
        <f>D1436*60</f>
        <v/>
      </c>
      <c r="J1436">
        <f>COUNTIF(Отзывы!$D:$D, 241148)</f>
        <v/>
      </c>
    </row>
    <row r="1437">
      <c r="A1437" t="n">
        <v>28511</v>
      </c>
      <c r="B1437" t="inlineStr">
        <is>
          <t>vanilla coffee flan</t>
        </is>
      </c>
      <c r="C1437" t="n">
        <v>43410</v>
      </c>
      <c r="D1437" s="4" t="n">
        <v>150</v>
      </c>
      <c r="E1437" s="1" t="n">
        <v>37545</v>
      </c>
      <c r="F1437" t="inlineStr">
        <is>
          <t>incredible! i am amazed at even myself.</t>
        </is>
      </c>
      <c r="G1437" t="n">
        <v>8</v>
      </c>
      <c r="H1437" t="n">
        <v>9000</v>
      </c>
      <c r="I1437">
        <f>D1437*60</f>
        <v/>
      </c>
      <c r="J1437">
        <f>COUNTIF(Отзывы!$D:$D, 43410)</f>
        <v/>
      </c>
    </row>
    <row r="1438">
      <c r="A1438" t="n">
        <v>3850</v>
      </c>
      <c r="B1438" t="inlineStr">
        <is>
          <t>broccoli with cheese sauce</t>
        </is>
      </c>
      <c r="C1438" t="n">
        <v>269646</v>
      </c>
      <c r="D1438" s="4" t="n">
        <v>20</v>
      </c>
      <c r="E1438" s="1" t="n">
        <v>39419</v>
      </c>
      <c r="F1438" t="inlineStr">
        <is>
          <t>an easy side dish to have with any meal!  the cheese sauce makes this the ultimate vegetable.  it also makes your dinner plate colorful and pretty!  quick preparation.</t>
        </is>
      </c>
      <c r="H1438" t="n">
        <v>1200</v>
      </c>
      <c r="I1438">
        <f>D1438*60</f>
        <v/>
      </c>
      <c r="J1438">
        <f>COUNTIF(Отзывы!$D:$D, 269646)</f>
        <v/>
      </c>
    </row>
    <row r="1439">
      <c r="A1439" t="n">
        <v>16698</v>
      </c>
      <c r="B1439" t="inlineStr">
        <is>
          <t>macaroon cake</t>
        </is>
      </c>
      <c r="C1439" t="n">
        <v>422226</v>
      </c>
      <c r="D1439" s="4" t="n">
        <v>95</v>
      </c>
      <c r="E1439" s="1" t="n">
        <v>40297</v>
      </c>
      <c r="F1439" t="inlineStr">
        <is>
          <t>tasteofhome.com</t>
        </is>
      </c>
      <c r="H1439" t="n">
        <v>5700</v>
      </c>
      <c r="I1439">
        <f>D1439*60</f>
        <v/>
      </c>
      <c r="J1439">
        <f>COUNTIF(Отзывы!$D:$D, 422226)</f>
        <v/>
      </c>
    </row>
    <row r="1440">
      <c r="A1440" t="n">
        <v>12760</v>
      </c>
      <c r="B1440" t="inlineStr">
        <is>
          <t>green tea smoothie</t>
        </is>
      </c>
      <c r="C1440" t="n">
        <v>38155</v>
      </c>
      <c r="D1440" s="6" t="n">
        <v>5</v>
      </c>
      <c r="E1440" s="1" t="n">
        <v>37491</v>
      </c>
      <c r="F1440" t="inlineStr">
        <is>
          <t>if you're searching for something uniquely frosty, try this tasty interpretation of those classic summertime thirst quenchers</t>
        </is>
      </c>
      <c r="G1440" t="n">
        <v>5</v>
      </c>
      <c r="H1440" t="n">
        <v>300</v>
      </c>
      <c r="I1440">
        <f>D1440*60</f>
        <v/>
      </c>
      <c r="J1440">
        <f>COUNTIF(Отзывы!$D:$D, 38155)</f>
        <v/>
      </c>
    </row>
    <row r="1441">
      <c r="A1441" t="n">
        <v>28293</v>
      </c>
      <c r="B1441" t="inlineStr">
        <is>
          <t>twenty minute chicken stew</t>
        </is>
      </c>
      <c r="C1441" t="n">
        <v>419375</v>
      </c>
      <c r="D1441" s="4" t="n">
        <v>25</v>
      </c>
      <c r="E1441" s="1" t="n">
        <v>40275</v>
      </c>
      <c r="F1441" t="inlineStr">
        <is>
          <t>stews typically take hours of simmering, but not this one! by starting with boneless chicken breast, nourishing canned vegetables, and two fresh vegetables that most households have on hand, we’ve created a homey chicken stew that takes minimum chopping (just an onion and a couple of potatoes), a minimum cooking time (less than 15 minutes of simmering), and no last-minute shopping (a reasonably stocked pantry should have everything in-house).  you can vary the herbs to suit your family’s taste.</t>
        </is>
      </c>
      <c r="H1441" t="n">
        <v>1500</v>
      </c>
      <c r="I1441">
        <f>D1441*60</f>
        <v/>
      </c>
      <c r="J1441">
        <f>COUNTIF(Отзывы!$D:$D, 419375)</f>
        <v/>
      </c>
    </row>
    <row r="1442">
      <c r="A1442" t="n">
        <v>22128</v>
      </c>
      <c r="B1442" t="inlineStr">
        <is>
          <t>ranch garlic dill snack crackers</t>
        </is>
      </c>
      <c r="C1442" t="n">
        <v>371629</v>
      </c>
      <c r="D1442" s="4" t="n">
        <v>65</v>
      </c>
      <c r="E1442" s="1" t="n">
        <v>39945</v>
      </c>
      <c r="F1442" t="inlineStr">
        <is>
          <t>a tasty snack cracker that once you start eating, you have a hard time stopping!</t>
        </is>
      </c>
      <c r="G1442" t="n">
        <v>5</v>
      </c>
      <c r="H1442" t="n">
        <v>3900</v>
      </c>
      <c r="I1442">
        <f>D1442*60</f>
        <v/>
      </c>
      <c r="J1442">
        <f>COUNTIF(Отзывы!$D:$D, 371629)</f>
        <v/>
      </c>
    </row>
    <row r="1443" ht="360" customHeight="1">
      <c r="A1443" t="n">
        <v>1115</v>
      </c>
      <c r="B1443" t="inlineStr">
        <is>
          <t>arkansas hot pepper pecans</t>
        </is>
      </c>
      <c r="C1443" t="n">
        <v>406507</v>
      </c>
      <c r="D1443" s="4" t="n">
        <v>75</v>
      </c>
      <c r="E1443" s="1" t="n">
        <v>40181</v>
      </c>
      <c r="F1443" s="2" t="inlineStr">
        <is>
          <t>my grandfather used to make these all the time. they are like potato chips, you can't eat just one!_x000D_
_x000D_
prep time includes the soaking after cooking. i do not include the salt.</t>
        </is>
      </c>
      <c r="G1443" t="n">
        <v>5</v>
      </c>
      <c r="H1443" t="n">
        <v>4500</v>
      </c>
      <c r="I1443">
        <f>D1443*60</f>
        <v/>
      </c>
      <c r="J1443">
        <f>COUNTIF(Отзывы!$D:$D, 406507)</f>
        <v/>
      </c>
    </row>
    <row r="1444" ht="409.5" customHeight="1">
      <c r="A1444" t="n">
        <v>21322</v>
      </c>
      <c r="B1444" t="inlineStr">
        <is>
          <t>portobello wellington</t>
        </is>
      </c>
      <c r="C1444" t="n">
        <v>358470</v>
      </c>
      <c r="D1444" s="4" t="n">
        <v>45</v>
      </c>
      <c r="E1444" s="1" t="n">
        <v>39873</v>
      </c>
      <c r="F1444" s="2" t="inlineStr">
        <is>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is>
      </c>
      <c r="H1444" t="n">
        <v>2700</v>
      </c>
      <c r="I1444">
        <f>D1444*60</f>
        <v/>
      </c>
      <c r="J1444">
        <f>COUNTIF(Отзывы!$D:$D, 358470)</f>
        <v/>
      </c>
    </row>
    <row r="1445">
      <c r="A1445" t="n">
        <v>11347</v>
      </c>
      <c r="B1445" t="inlineStr">
        <is>
          <t>fresh cheese spaetzle</t>
        </is>
      </c>
      <c r="C1445" t="n">
        <v>423839</v>
      </c>
      <c r="D1445" s="4" t="n">
        <v>25</v>
      </c>
      <c r="E1445" s="1" t="n">
        <v>40305</v>
      </c>
      <c r="F1445" t="inlineStr">
        <is>
          <t>zwt6 germany. germans typically use quark when making spaetzle, but  grace parisi from http://www.foodandwine.com told us that the type available in the united states isn't curdy enough. so parisi uses small-curd cottage cheese in the spaetzle and makes the chive sauce with tangy quark. adding 2 tablespoons of granulated sugar instead of the chives turns this savory dish into a delicious dessert.</t>
        </is>
      </c>
      <c r="G1445" t="n">
        <v>8</v>
      </c>
      <c r="H1445" t="n">
        <v>1500</v>
      </c>
      <c r="I1445">
        <f>D1445*60</f>
        <v/>
      </c>
      <c r="J1445">
        <f>COUNTIF(Отзывы!$D:$D, 423839)</f>
        <v/>
      </c>
    </row>
    <row r="1446">
      <c r="A1446" t="n">
        <v>25150</v>
      </c>
      <c r="B1446" t="inlineStr">
        <is>
          <t>sparkling apple punch</t>
        </is>
      </c>
      <c r="C1446" t="n">
        <v>311708</v>
      </c>
      <c r="D1446" s="6" t="n">
        <v>10</v>
      </c>
      <c r="E1446" s="1" t="n">
        <v>39632</v>
      </c>
      <c r="F1446" t="inlineStr">
        <is>
          <t>this is a cool and refreshing punch, easy to prepare.</t>
        </is>
      </c>
      <c r="H1446" t="n">
        <v>600</v>
      </c>
      <c r="I1446">
        <f>D1446*60</f>
        <v/>
      </c>
      <c r="J1446">
        <f>COUNTIF(Отзывы!$D:$D, 311708)</f>
        <v/>
      </c>
    </row>
    <row r="1447">
      <c r="A1447" t="n">
        <v>13168</v>
      </c>
      <c r="B1447" t="inlineStr">
        <is>
          <t>halal iraqi stuffed zucchini  dolmas</t>
        </is>
      </c>
      <c r="C1447" t="n">
        <v>422834</v>
      </c>
      <c r="D1447" s="4" t="n">
        <v>100</v>
      </c>
      <c r="E1447" s="1" t="n">
        <v>40301</v>
      </c>
      <c r="F1447" t="inlineStr">
        <is>
          <t>a delicious recipe our family enjoys served over rice along with a fresh salad such as recipe #184037. this is of combined origin consisting of the recipe, dolmas from the complete middle east cookbook by tess mallos, iraq section and mhasha a jewish iraqi version on repicesbyrachel.com.</t>
        </is>
      </c>
      <c r="G1447" t="n">
        <v>15</v>
      </c>
      <c r="H1447" t="n">
        <v>6000</v>
      </c>
      <c r="I1447">
        <f>D1447*60</f>
        <v/>
      </c>
      <c r="J1447">
        <f>COUNTIF(Отзывы!$D:$D, 422834)</f>
        <v/>
      </c>
    </row>
    <row r="1448">
      <c r="A1448" t="n">
        <v>6337</v>
      </c>
      <c r="B1448" t="inlineStr">
        <is>
          <t>chinese jambalaya</t>
        </is>
      </c>
      <c r="C1448" t="n">
        <v>64672</v>
      </c>
      <c r="D1448" s="4" t="n">
        <v>60</v>
      </c>
      <c r="E1448" s="1" t="n">
        <v>37789</v>
      </c>
      <c r="F1448" t="inlineStr">
        <is>
          <t>this is a different version of jambalaya. its very delicious and so easy to make.perfect those rare nights when you cannot decide between chinese or cajun food. why settle for one or the other when you can have a little of each.</t>
        </is>
      </c>
      <c r="G1448" t="n">
        <v>17</v>
      </c>
      <c r="H1448" t="n">
        <v>3600</v>
      </c>
      <c r="I1448">
        <f>D1448*60</f>
        <v/>
      </c>
      <c r="J1448">
        <f>COUNTIF(Отзывы!$D:$D, 64672)</f>
        <v/>
      </c>
    </row>
    <row r="1449">
      <c r="A1449" t="n">
        <v>13847</v>
      </c>
      <c r="B1449" t="inlineStr">
        <is>
          <t>homemade chewy granola bars</t>
        </is>
      </c>
      <c r="C1449" t="n">
        <v>50659</v>
      </c>
      <c r="D1449" s="4" t="n">
        <v>35</v>
      </c>
      <c r="E1449" s="1" t="n">
        <v>37631</v>
      </c>
      <c r="G1449" t="n">
        <v>12</v>
      </c>
      <c r="H1449" t="n">
        <v>2100</v>
      </c>
      <c r="I1449">
        <f>D1449*60</f>
        <v/>
      </c>
      <c r="J1449">
        <f>COUNTIF(Отзывы!$D:$D, 50659)</f>
        <v/>
      </c>
    </row>
    <row r="1450">
      <c r="A1450" t="n">
        <v>14757</v>
      </c>
      <c r="B1450" t="inlineStr">
        <is>
          <t>italian style meatloaf</t>
        </is>
      </c>
      <c r="C1450" t="n">
        <v>374180</v>
      </c>
      <c r="D1450" s="4" t="n">
        <v>90</v>
      </c>
      <c r="E1450" s="1" t="n">
        <v>39958</v>
      </c>
      <c r="F1450" t="inlineStr">
        <is>
          <t>this recipe can be adapted in many ways to suit your taste. it's a great way to sneak in all kinds of vegetables. i find the lean ground beef and the turkey breast are a perfect combination, and it won't dry out because of all the moisture from the veggies!</t>
        </is>
      </c>
      <c r="G1450" t="n">
        <v>18</v>
      </c>
      <c r="H1450" t="n">
        <v>5400</v>
      </c>
      <c r="I1450">
        <f>D1450*60</f>
        <v/>
      </c>
      <c r="J1450">
        <f>COUNTIF(Отзывы!$D:$D, 374180)</f>
        <v/>
      </c>
    </row>
    <row r="1451">
      <c r="A1451" t="n">
        <v>1475</v>
      </c>
      <c r="B1451" t="inlineStr">
        <is>
          <t>avocado and sprout sandwiches</t>
        </is>
      </c>
      <c r="C1451" t="n">
        <v>269186</v>
      </c>
      <c r="D1451" s="6" t="n">
        <v>10</v>
      </c>
      <c r="E1451" s="1" t="n">
        <v>39417</v>
      </c>
      <c r="F1451" t="inlineStr">
        <is>
          <t>yum!</t>
        </is>
      </c>
      <c r="H1451" t="n">
        <v>600</v>
      </c>
      <c r="I1451">
        <f>D1451*60</f>
        <v/>
      </c>
      <c r="J1451">
        <f>COUNTIF(Отзывы!$D:$D, 269186)</f>
        <v/>
      </c>
    </row>
    <row r="1452" ht="195" customHeight="1">
      <c r="A1452" t="n">
        <v>28977</v>
      </c>
      <c r="B1452" t="inlineStr">
        <is>
          <t>walnut pie</t>
        </is>
      </c>
      <c r="C1452" t="n">
        <v>173200</v>
      </c>
      <c r="D1452" s="4" t="n">
        <v>65</v>
      </c>
      <c r="E1452" s="1" t="n">
        <v>38885</v>
      </c>
      <c r="F1452" s="2" t="inlineStr">
        <is>
          <t>posted for the zaar world tour 2006-canada._x000D_
from the "best of international cooking" cookbook.</t>
        </is>
      </c>
      <c r="G1452" t="n">
        <v>8</v>
      </c>
      <c r="H1452" t="n">
        <v>3900</v>
      </c>
      <c r="I1452">
        <f>D1452*60</f>
        <v/>
      </c>
      <c r="J1452">
        <f>COUNTIF(Отзывы!$D:$D, 173200)</f>
        <v/>
      </c>
    </row>
    <row r="1453">
      <c r="A1453" t="n">
        <v>21743</v>
      </c>
      <c r="B1453" t="inlineStr">
        <is>
          <t>pumpkin quick bread  abm bread machine</t>
        </is>
      </c>
      <c r="C1453" t="n">
        <v>297095</v>
      </c>
      <c r="D1453" s="4" t="n">
        <v>135</v>
      </c>
      <c r="E1453" s="1" t="n">
        <v>39546</v>
      </c>
      <c r="F1453" t="inlineStr">
        <is>
          <t>called a quick bread because chemical leavening is used rather than yeast. this recipe should work for any standard-sized bread machine with a cake or quick bread cycle. cooking/passive time depends on your machine.</t>
        </is>
      </c>
      <c r="G1453" t="n">
        <v>13</v>
      </c>
      <c r="H1453" t="n">
        <v>8100</v>
      </c>
      <c r="I1453">
        <f>D1453*60</f>
        <v/>
      </c>
      <c r="J1453">
        <f>COUNTIF(Отзывы!$D:$D, 297095)</f>
        <v/>
      </c>
    </row>
    <row r="1454">
      <c r="A1454" t="n">
        <v>24846</v>
      </c>
      <c r="B1454" t="inlineStr">
        <is>
          <t>sour cream swiss steak</t>
        </is>
      </c>
      <c r="C1454" t="n">
        <v>93186</v>
      </c>
      <c r="D1454" s="4" t="n">
        <v>135</v>
      </c>
      <c r="E1454" s="1" t="n">
        <v>38149</v>
      </c>
      <c r="F1454" t="inlineStr">
        <is>
          <t>this is delicious.</t>
        </is>
      </c>
      <c r="H1454" t="n">
        <v>8100</v>
      </c>
      <c r="I1454">
        <f>D1454*60</f>
        <v/>
      </c>
      <c r="J1454">
        <f>COUNTIF(Отзывы!$D:$D, 93186)</f>
        <v/>
      </c>
    </row>
    <row r="1455">
      <c r="A1455" t="n">
        <v>19258</v>
      </c>
      <c r="B1455" t="inlineStr">
        <is>
          <t>open faced crab sandwiches</t>
        </is>
      </c>
      <c r="C1455" t="n">
        <v>161530</v>
      </c>
      <c r="D1455" s="4" t="n">
        <v>15</v>
      </c>
      <c r="E1455" s="1" t="n">
        <v>38803</v>
      </c>
      <c r="F1455" t="inlineStr">
        <is>
          <t>my ds likes these with extra shredded cheese sprinkled over the top before broiling.recipe source: simply seafood (winter 1991)</t>
        </is>
      </c>
      <c r="G1455" t="n">
        <v>7</v>
      </c>
      <c r="H1455" t="n">
        <v>900</v>
      </c>
      <c r="I1455">
        <f>D1455*60</f>
        <v/>
      </c>
      <c r="J1455">
        <f>COUNTIF(Отзывы!$D:$D, 161530)</f>
        <v/>
      </c>
    </row>
    <row r="1456">
      <c r="A1456" t="n">
        <v>18774</v>
      </c>
      <c r="B1456" t="inlineStr">
        <is>
          <t>no pasta lasagna</t>
        </is>
      </c>
      <c r="C1456" t="n">
        <v>155758</v>
      </c>
      <c r="D1456" s="4" t="n">
        <v>75</v>
      </c>
      <c r="E1456" s="1" t="n">
        <v>38759</v>
      </c>
      <c r="F1456" t="inlineStr">
        <is>
          <t>a south beach version of lasagna.</t>
        </is>
      </c>
      <c r="H1456" t="n">
        <v>4500</v>
      </c>
      <c r="I1456">
        <f>D1456*60</f>
        <v/>
      </c>
      <c r="J1456">
        <f>COUNTIF(Отзывы!$D:$D, 155758)</f>
        <v/>
      </c>
    </row>
    <row r="1457">
      <c r="A1457" t="n">
        <v>18108</v>
      </c>
      <c r="B1457" t="inlineStr">
        <is>
          <t>moroccan chicken and raisins for 2</t>
        </is>
      </c>
      <c r="C1457" t="n">
        <v>338342</v>
      </c>
      <c r="D1457" s="4" t="n">
        <v>65</v>
      </c>
      <c r="E1457" s="1" t="n">
        <v>39771</v>
      </c>
      <c r="F1457" t="inlineStr">
        <is>
          <t>i make this in a 3 quart saucepan but if you a have small tagine or slow cooker use it. you can use boneless thighs too.</t>
        </is>
      </c>
      <c r="G1457" t="n">
        <v>16</v>
      </c>
      <c r="H1457" t="n">
        <v>3900</v>
      </c>
      <c r="I1457">
        <f>D1457*60</f>
        <v/>
      </c>
      <c r="J1457">
        <f>COUNTIF(Отзывы!$D:$D, 338342)</f>
        <v/>
      </c>
    </row>
    <row r="1458">
      <c r="A1458" t="n">
        <v>17301</v>
      </c>
      <c r="B1458" t="inlineStr">
        <is>
          <t>meatloaf squared</t>
        </is>
      </c>
      <c r="C1458" t="n">
        <v>452871</v>
      </c>
      <c r="D1458" s="4" t="n">
        <v>75</v>
      </c>
      <c r="E1458" s="1" t="n">
        <v>40637</v>
      </c>
      <c r="F1458" t="inlineStr">
        <is>
          <t>i use an 8x8 squared glass baking dish, the ro-tel tomatoes with chilies brings this loaf to life. you can use beef if you prefer, i use ground turkey to make it a little healthier. this goes great with homemade mashed potatoes.</t>
        </is>
      </c>
      <c r="H1458" t="n">
        <v>4500</v>
      </c>
      <c r="I1458">
        <f>D1458*60</f>
        <v/>
      </c>
      <c r="J1458">
        <f>COUNTIF(Отзывы!$D:$D, 452871)</f>
        <v/>
      </c>
    </row>
    <row r="1459">
      <c r="A1459" t="n">
        <v>17224</v>
      </c>
      <c r="B1459" t="inlineStr">
        <is>
          <t>meal in one</t>
        </is>
      </c>
      <c r="C1459" t="n">
        <v>51592</v>
      </c>
      <c r="D1459" s="4" t="n">
        <v>30</v>
      </c>
      <c r="E1459" s="1" t="n">
        <v>37637</v>
      </c>
      <c r="F1459" t="inlineStr">
        <is>
          <t>this is so easy and quick. all you need to go with this is your favorite salad and bread. the best part is, you only have one pan to wash!!!</t>
        </is>
      </c>
      <c r="G1459" t="n">
        <v>6</v>
      </c>
      <c r="H1459" t="n">
        <v>1800</v>
      </c>
      <c r="I1459">
        <f>D1459*60</f>
        <v/>
      </c>
      <c r="J1459">
        <f>COUNTIF(Отзывы!$D:$D, 51592)</f>
        <v/>
      </c>
    </row>
    <row r="1460">
      <c r="A1460" t="n">
        <v>15470</v>
      </c>
      <c r="B1460" t="inlineStr">
        <is>
          <t>klah</t>
        </is>
      </c>
      <c r="C1460" t="n">
        <v>67812</v>
      </c>
      <c r="D1460" s="6" t="n">
        <v>5</v>
      </c>
      <c r="E1460" s="1" t="n">
        <v>37831</v>
      </c>
      <c r="G1460" t="n">
        <v>5</v>
      </c>
      <c r="H1460" t="n">
        <v>300</v>
      </c>
      <c r="I1460">
        <f>D1460*60</f>
        <v/>
      </c>
      <c r="J1460">
        <f>COUNTIF(Отзывы!$D:$D, 67812)</f>
        <v/>
      </c>
    </row>
    <row r="1461">
      <c r="A1461" t="n">
        <v>13469</v>
      </c>
      <c r="B1461" t="inlineStr">
        <is>
          <t>healthy key lime pie</t>
        </is>
      </c>
      <c r="C1461" t="n">
        <v>315173</v>
      </c>
      <c r="D1461" s="4" t="n">
        <v>20</v>
      </c>
      <c r="E1461" s="1" t="n">
        <v>39651</v>
      </c>
      <c r="F1461" t="inlineStr">
        <is>
          <t>i got this recipe from the august 2008 issue of good housekeeping magazine.  it's an easy, nice light version of key lime pie and i made it for my husband who loves this dessert.  he truly enjoyed this version.  i used a store bought reduced fat graham cracker crust just for convenience.  also, i used regular fat sweetened condensed milk because that is what i had on hand.</t>
        </is>
      </c>
      <c r="G1461" t="n">
        <v>9</v>
      </c>
      <c r="H1461" t="n">
        <v>1200</v>
      </c>
      <c r="I1461">
        <f>D1461*60</f>
        <v/>
      </c>
      <c r="J1461">
        <f>COUNTIF(Отзывы!$D:$D, 315173)</f>
        <v/>
      </c>
    </row>
    <row r="1462">
      <c r="A1462" t="n">
        <v>26127</v>
      </c>
      <c r="B1462" t="inlineStr">
        <is>
          <t>strawberry mango muffins</t>
        </is>
      </c>
      <c r="C1462" t="n">
        <v>122423</v>
      </c>
      <c r="D1462" s="4" t="n">
        <v>40</v>
      </c>
      <c r="E1462" s="1" t="n">
        <v>38488</v>
      </c>
      <c r="F1462" t="inlineStr">
        <is>
          <t>make these one summer morning when fresh strawberries are at their finest. absolutely delicious!</t>
        </is>
      </c>
      <c r="H1462" t="n">
        <v>2400</v>
      </c>
      <c r="I1462">
        <f>D1462*60</f>
        <v/>
      </c>
      <c r="J1462">
        <f>COUNTIF(Отзывы!$D:$D, 122423)</f>
        <v/>
      </c>
    </row>
    <row r="1463">
      <c r="A1463" t="n">
        <v>24242</v>
      </c>
      <c r="B1463" t="inlineStr">
        <is>
          <t>simple iranian salad</t>
        </is>
      </c>
      <c r="C1463" t="n">
        <v>29647</v>
      </c>
      <c r="D1463" s="6" t="n">
        <v>10</v>
      </c>
      <c r="E1463" s="1" t="n">
        <v>37405</v>
      </c>
      <c r="G1463" t="n">
        <v>7</v>
      </c>
      <c r="H1463" t="n">
        <v>600</v>
      </c>
      <c r="I1463">
        <f>D1463*60</f>
        <v/>
      </c>
      <c r="J1463">
        <f>COUNTIF(Отзывы!$D:$D, 29647)</f>
        <v/>
      </c>
    </row>
    <row r="1464">
      <c r="A1464" t="n">
        <v>17169</v>
      </c>
      <c r="B1464" t="inlineStr">
        <is>
          <t>mashed potato pancakes southern style</t>
        </is>
      </c>
      <c r="C1464" t="n">
        <v>136012</v>
      </c>
      <c r="D1464" s="4" t="n">
        <v>25</v>
      </c>
      <c r="E1464" s="1" t="n">
        <v>38597</v>
      </c>
      <c r="F1464" t="inlineStr">
        <is>
          <t>on a rare occasion we have leftover mashed potatoes.  using recipe #27361 (the best), i added a modern twist to my mom's old southern recipe. increase or decrease onion, garlic, hot sauce, and s&amp;p as to your preference. crispy on the outside, soft on the inside.  bet you can't eat just one!</t>
        </is>
      </c>
      <c r="G1464" t="n">
        <v>9</v>
      </c>
      <c r="H1464" t="n">
        <v>1500</v>
      </c>
      <c r="I1464">
        <f>D1464*60</f>
        <v/>
      </c>
      <c r="J1464">
        <f>COUNTIF(Отзывы!$D:$D, 136012)</f>
        <v/>
      </c>
    </row>
    <row r="1465">
      <c r="A1465" t="n">
        <v>6670</v>
      </c>
      <c r="B1465" t="inlineStr">
        <is>
          <t>chocolate mocha almond  cocktail</t>
        </is>
      </c>
      <c r="C1465" t="n">
        <v>376858</v>
      </c>
      <c r="D1465" s="5" t="n">
        <v>2</v>
      </c>
      <c r="E1465" s="1" t="n">
        <v>39975</v>
      </c>
      <c r="F1465" t="inlineStr">
        <is>
          <t>a wonderful, sweet concoction from godiva...</t>
        </is>
      </c>
      <c r="G1465" t="n">
        <v>4</v>
      </c>
      <c r="H1465" t="n">
        <v>120</v>
      </c>
      <c r="I1465">
        <f>D1465*60</f>
        <v/>
      </c>
      <c r="J1465">
        <f>COUNTIF(Отзывы!$D:$D, 376858)</f>
        <v/>
      </c>
    </row>
    <row r="1466">
      <c r="A1466" t="n">
        <v>11619</v>
      </c>
      <c r="B1466" t="inlineStr">
        <is>
          <t>fruit pudding salad</t>
        </is>
      </c>
      <c r="C1466" t="n">
        <v>193535</v>
      </c>
      <c r="D1466" s="6" t="n">
        <v>10</v>
      </c>
      <c r="E1466" s="1" t="n">
        <v>39023</v>
      </c>
      <c r="F1466" t="inlineStr">
        <is>
          <t>my aunt made this once for thanksgiving and it was such a hit!  everyone had to have the recipe.  now, not a holiday passes that there isn't a bowl of this at the table.  this can be made with sugar free pudding to make it a diabetic dessert and is just as delicious!</t>
        </is>
      </c>
      <c r="H1466" t="n">
        <v>600</v>
      </c>
      <c r="I1466">
        <f>D1466*60</f>
        <v/>
      </c>
      <c r="J1466">
        <f>COUNTIF(Отзывы!$D:$D, 193535)</f>
        <v/>
      </c>
    </row>
    <row r="1467">
      <c r="A1467" t="n">
        <v>377</v>
      </c>
      <c r="B1467" t="inlineStr">
        <is>
          <t>african style chicken peanut soup with potatoes</t>
        </is>
      </c>
      <c r="C1467" t="n">
        <v>177987</v>
      </c>
      <c r="D1467" s="4" t="n">
        <v>55</v>
      </c>
      <c r="E1467" s="1" t="n">
        <v>38915</v>
      </c>
      <c r="F1467" t="inlineStr">
        <is>
          <t>this soup is absolutely delicious, it's habit-forming! so i strongly suggest to triple the recipe and freeze some, this soup freezes excellent! you can adjust all ingredients to taste slightly.</t>
        </is>
      </c>
      <c r="G1467" t="n">
        <v>15</v>
      </c>
      <c r="H1467" t="n">
        <v>3300</v>
      </c>
      <c r="I1467">
        <f>D1467*60</f>
        <v/>
      </c>
      <c r="J1467">
        <f>COUNTIF(Отзывы!$D:$D, 177987)</f>
        <v/>
      </c>
    </row>
    <row r="1468">
      <c r="A1468" t="n">
        <v>15685</v>
      </c>
      <c r="B1468" t="inlineStr">
        <is>
          <t>layered mexican casserole</t>
        </is>
      </c>
      <c r="C1468" t="n">
        <v>162402</v>
      </c>
      <c r="D1468" s="4" t="n">
        <v>60</v>
      </c>
      <c r="E1468" s="1" t="n">
        <v>38807</v>
      </c>
      <c r="F1468" t="inlineStr">
        <is>
          <t>try this delicious layered mexican casserole recipe.</t>
        </is>
      </c>
      <c r="G1468" t="n">
        <v>9</v>
      </c>
      <c r="H1468" t="n">
        <v>3600</v>
      </c>
      <c r="I1468">
        <f>D1468*60</f>
        <v/>
      </c>
      <c r="J1468">
        <f>COUNTIF(Отзывы!$D:$D, 162402)</f>
        <v/>
      </c>
    </row>
    <row r="1469">
      <c r="A1469" t="n">
        <v>29333</v>
      </c>
      <c r="B1469" t="inlineStr">
        <is>
          <t>whole grain honey mustard potato salad  344cals per serve</t>
        </is>
      </c>
      <c r="C1469" t="n">
        <v>176656</v>
      </c>
      <c r="D1469" s="4" t="n">
        <v>30</v>
      </c>
      <c r="E1469" s="1" t="n">
        <v>38905</v>
      </c>
      <c r="F1469" t="inlineStr">
        <is>
          <t>just something i whipped up for dinner.</t>
        </is>
      </c>
      <c r="G1469" t="n">
        <v>7</v>
      </c>
      <c r="H1469" t="n">
        <v>1800</v>
      </c>
      <c r="I1469">
        <f>D1469*60</f>
        <v/>
      </c>
      <c r="J1469">
        <f>COUNTIF(Отзывы!$D:$D, 176656)</f>
        <v/>
      </c>
    </row>
    <row r="1470">
      <c r="A1470" t="n">
        <v>17389</v>
      </c>
      <c r="B1470" t="inlineStr">
        <is>
          <t>melt in your mouth carrots</t>
        </is>
      </c>
      <c r="C1470" t="n">
        <v>282487</v>
      </c>
      <c r="D1470" s="4" t="n">
        <v>40</v>
      </c>
      <c r="E1470" s="1" t="n">
        <v>39476</v>
      </c>
      <c r="F1470" t="inlineStr">
        <is>
          <t>this is a wonderful side dish that has graced our table for years.</t>
        </is>
      </c>
      <c r="H1470" t="n">
        <v>2400</v>
      </c>
      <c r="I1470">
        <f>D1470*60</f>
        <v/>
      </c>
      <c r="J1470">
        <f>COUNTIF(Отзывы!$D:$D, 282487)</f>
        <v/>
      </c>
    </row>
    <row r="1471">
      <c r="A1471" t="n">
        <v>26949</v>
      </c>
      <c r="B1471" t="inlineStr">
        <is>
          <t>take 5 bean dip</t>
        </is>
      </c>
      <c r="C1471" t="n">
        <v>33978</v>
      </c>
      <c r="D1471" s="6" t="n">
        <v>5</v>
      </c>
      <c r="E1471" s="1" t="n">
        <v>37452</v>
      </c>
      <c r="F1471" t="inlineStr">
        <is>
          <t>5 ingredients make this an great last minute dip if you keep these ingredients on hand. great heated up also, to be served on a nacho platter.</t>
        </is>
      </c>
      <c r="G1471" t="n">
        <v>5</v>
      </c>
      <c r="H1471" t="n">
        <v>300</v>
      </c>
      <c r="I1471">
        <f>D1471*60</f>
        <v/>
      </c>
      <c r="J1471">
        <f>COUNTIF(Отзывы!$D:$D, 33978)</f>
        <v/>
      </c>
    </row>
    <row r="1472">
      <c r="A1472" t="n">
        <v>20911</v>
      </c>
      <c r="B1472" t="inlineStr">
        <is>
          <t>pirate s pie</t>
        </is>
      </c>
      <c r="C1472" t="n">
        <v>104453</v>
      </c>
      <c r="D1472" s="4" t="n">
        <v>40</v>
      </c>
      <c r="E1472" s="1" t="n">
        <v>38311</v>
      </c>
      <c r="F1472" t="inlineStr">
        <is>
          <t>our high school team is the pirates so this was a staple for a long time on friday nights to eat before heading out to a football or basketball game. it is equally as good with leftover chicken or roast beef or ham.</t>
        </is>
      </c>
      <c r="G1472" t="n">
        <v>10</v>
      </c>
      <c r="H1472" t="n">
        <v>2400</v>
      </c>
      <c r="I1472">
        <f>D1472*60</f>
        <v/>
      </c>
      <c r="J1472">
        <f>COUNTIF(Отзывы!$D:$D, 104453)</f>
        <v/>
      </c>
    </row>
    <row r="1473">
      <c r="A1473" t="n">
        <v>19952</v>
      </c>
      <c r="B1473" t="inlineStr">
        <is>
          <t>pasta in southwestern sauce</t>
        </is>
      </c>
      <c r="C1473" t="n">
        <v>185205</v>
      </c>
      <c r="D1473" s="4" t="n">
        <v>35</v>
      </c>
      <c r="E1473" s="1" t="n">
        <v>38967</v>
      </c>
      <c r="F1473" t="inlineStr">
        <is>
          <t>from a very old vegetarian times magazine. i don't know how "southwestern" sun-dried tomatoes really are...regardless, this is a good, easy sauce for pasta.</t>
        </is>
      </c>
      <c r="G1473" t="n">
        <v>10</v>
      </c>
      <c r="H1473" t="n">
        <v>2100</v>
      </c>
      <c r="I1473">
        <f>D1473*60</f>
        <v/>
      </c>
      <c r="J1473">
        <f>COUNTIF(Отзывы!$D:$D, 185205)</f>
        <v/>
      </c>
    </row>
    <row r="1474">
      <c r="A1474" t="n">
        <v>13618</v>
      </c>
      <c r="B1474" t="inlineStr">
        <is>
          <t>herb popovers</t>
        </is>
      </c>
      <c r="C1474" t="n">
        <v>95950</v>
      </c>
      <c r="D1474" s="4" t="n">
        <v>60</v>
      </c>
      <c r="E1474" s="1" t="n">
        <v>38188</v>
      </c>
      <c r="F1474" t="inlineStr">
        <is>
          <t>i love popovers just out of the oven and slathered in butter. (update: error corrected since 3-star review). in the oven, they should blow up like little balloons that have a hollow area inside. watch their progress through the oven window as they cook, rather than opening the oven door. a muffin pan can be used in place of the custard cups.</t>
        </is>
      </c>
      <c r="G1474" t="n">
        <v>7</v>
      </c>
      <c r="H1474" t="n">
        <v>3600</v>
      </c>
      <c r="I1474">
        <f>D1474*60</f>
        <v/>
      </c>
      <c r="J1474">
        <f>COUNTIF(Отзывы!$D:$D, 95950)</f>
        <v/>
      </c>
    </row>
    <row r="1475">
      <c r="A1475" t="n">
        <v>4167</v>
      </c>
      <c r="B1475" t="inlineStr">
        <is>
          <t>butter toffee popcorn with peanuts</t>
        </is>
      </c>
      <c r="C1475" t="n">
        <v>71975</v>
      </c>
      <c r="D1475" s="6" t="n">
        <v>10</v>
      </c>
      <c r="E1475" s="1" t="n">
        <v>37894</v>
      </c>
      <c r="F1475" t="inlineStr">
        <is>
          <t xml:space="preserve">a great </t>
        </is>
      </c>
      <c r="G1475" t="n">
        <v>7</v>
      </c>
      <c r="H1475" t="n">
        <v>600</v>
      </c>
      <c r="I1475">
        <f>D1475*60</f>
        <v/>
      </c>
      <c r="J1475">
        <f>COUNTIF(Отзывы!$D:$D, 71975)</f>
        <v/>
      </c>
    </row>
    <row r="1476">
      <c r="A1476" t="n">
        <v>13774</v>
      </c>
      <c r="B1476" t="inlineStr">
        <is>
          <t>hoisin pork roast with green onions</t>
        </is>
      </c>
      <c r="C1476" t="n">
        <v>142835</v>
      </c>
      <c r="D1476" s="4" t="n">
        <v>205</v>
      </c>
      <c r="E1476" s="1" t="n">
        <v>38651</v>
      </c>
      <c r="F1476" t="inlineStr">
        <is>
          <t>this is a long-time favorite that is still requested, only whisky will do for this, and yes 3 bunches of green onions! --- this roast must be cooked in a low-temperature oven for about 3 hours :)</t>
        </is>
      </c>
      <c r="H1476" t="n">
        <v>12300</v>
      </c>
      <c r="I1476">
        <f>D1476*60</f>
        <v/>
      </c>
      <c r="J1476">
        <f>COUNTIF(Отзывы!$D:$D, 142835)</f>
        <v/>
      </c>
    </row>
    <row r="1477">
      <c r="A1477" t="n">
        <v>5554</v>
      </c>
      <c r="B1477" t="inlineStr">
        <is>
          <t>chicken and avocado panini sandwiches</t>
        </is>
      </c>
      <c r="C1477" t="n">
        <v>243335</v>
      </c>
      <c r="D1477" s="4" t="n">
        <v>20</v>
      </c>
      <c r="E1477" s="1" t="n">
        <v>39293</v>
      </c>
      <c r="F1477" t="inlineStr">
        <is>
          <t>the tastes of summer are terrific in this quick fix meal. you do not need a panini press for this sandwich.</t>
        </is>
      </c>
      <c r="G1477" t="n">
        <v>13</v>
      </c>
      <c r="H1477" t="n">
        <v>1200</v>
      </c>
      <c r="I1477">
        <f>D1477*60</f>
        <v/>
      </c>
      <c r="J1477">
        <f>COUNTIF(Отзывы!$D:$D, 243335)</f>
        <v/>
      </c>
    </row>
    <row r="1478">
      <c r="A1478" t="n">
        <v>12342</v>
      </c>
      <c r="B1478" t="inlineStr">
        <is>
          <t>gramma c s beef stew   interpreted</t>
        </is>
      </c>
      <c r="C1478" t="n">
        <v>362842</v>
      </c>
      <c r="D1478" s="4" t="n">
        <v>385</v>
      </c>
      <c r="E1478" s="1" t="n">
        <v>39897</v>
      </c>
      <c r="F1478" t="inlineStr">
        <is>
          <t>this is a copy of the stew my gramma sent to me whenever i was sick or visiting. she doesn't use recipes really...so i just made my own version.</t>
        </is>
      </c>
      <c r="H1478" t="n">
        <v>23100</v>
      </c>
      <c r="I1478">
        <f>D1478*60</f>
        <v/>
      </c>
      <c r="J1478">
        <f>COUNTIF(Отзывы!$D:$D, 362842)</f>
        <v/>
      </c>
    </row>
    <row r="1479" ht="409.5" customHeight="1">
      <c r="A1479" t="n">
        <v>15442</v>
      </c>
      <c r="B1479" t="inlineStr">
        <is>
          <t>kittencal s moist cheddar garlic oven fried chicken breast</t>
        </is>
      </c>
      <c r="C1479" t="n">
        <v>82102</v>
      </c>
      <c r="D1479" s="4" t="n">
        <v>60</v>
      </c>
      <c r="E1479" s="1" t="n">
        <v>38012</v>
      </c>
      <c r="F1479" s="2" t="inlineStr">
        <is>
          <t>this is for serious garlic lovers. the chicken bakes out so moist and tender! grated cheese may be sprinkled on top of the breast the last 5 minutes of cooking if desired but that is optional. double all ingredients for more than four breasts and adjust the amount of garlic to suit taste. for the coating amount you might be able to get away with 5 or maybe 6 very small chicken breasts, but i would suggest to increase the amount slightly --- to take this dish to yet another level, about 10 minutes before the cooking time is finished, drizzle the top of the chicken with a little pasta sauce, then sprinkle mozzarella cheese on top. return to oven for about 10 minutes until the chicken is completely cooked and sauce is hot and cheese has melted. for a lemon-garlic flavor add in 3 tablespoons lemon juice to the melted butter/garlic mixture ---  *note* for a healthier alternative smart balance butter blend may be used in place of the melted butter --- you will love this chicken!_x000D_
visit my food blog, www.kittencalskitchen.com, for more of my recipes.</t>
        </is>
      </c>
      <c r="H1479" t="n">
        <v>3600</v>
      </c>
      <c r="I1479">
        <f>D1479*60</f>
        <v/>
      </c>
      <c r="J1479">
        <f>COUNTIF(Отзывы!$D:$D, 82102)</f>
        <v/>
      </c>
    </row>
    <row r="1480">
      <c r="A1480" t="n">
        <v>17375</v>
      </c>
      <c r="B1480" t="inlineStr">
        <is>
          <t>melanie s rich and creamy green chili and corn tamales</t>
        </is>
      </c>
      <c r="C1480" t="n">
        <v>389956</v>
      </c>
      <c r="D1480" s="4" t="n">
        <v>240</v>
      </c>
      <c r="E1480" s="1" t="n">
        <v>40070</v>
      </c>
      <c r="F1480" t="inlineStr">
        <is>
          <t>i actually just finished making this dish for my next food network star audition video.  i think karma was on my side today because it came out better than any batch of tamales i ever made.</t>
        </is>
      </c>
      <c r="G1480" t="n">
        <v>13</v>
      </c>
      <c r="H1480" t="n">
        <v>14400</v>
      </c>
      <c r="I1480">
        <f>D1480*60</f>
        <v/>
      </c>
      <c r="J1480">
        <f>COUNTIF(Отзывы!$D:$D, 389956)</f>
        <v/>
      </c>
    </row>
    <row r="1481">
      <c r="A1481" t="n">
        <v>20680</v>
      </c>
      <c r="B1481" t="inlineStr">
        <is>
          <t>phylls roast</t>
        </is>
      </c>
      <c r="C1481" t="n">
        <v>66092</v>
      </c>
      <c r="D1481" s="4" t="n">
        <v>105</v>
      </c>
      <c r="E1481" s="1" t="n">
        <v>37806</v>
      </c>
      <c r="F1481" t="inlineStr">
        <is>
          <t>i found this recipe when browsing an old bookstore. it was in between the pages of a very old cookbook. i bought the book just for this recipe. it has been worth every penny. when done, the sauce makes a very good gravy for potatoes or rice.</t>
        </is>
      </c>
      <c r="H1481" t="n">
        <v>6300</v>
      </c>
      <c r="I1481">
        <f>D1481*60</f>
        <v/>
      </c>
      <c r="J1481">
        <f>COUNTIF(Отзывы!$D:$D, 66092)</f>
        <v/>
      </c>
    </row>
    <row r="1482">
      <c r="A1482" t="n">
        <v>21483</v>
      </c>
      <c r="B1482" t="inlineStr">
        <is>
          <t>potatoes with bay leaves</t>
        </is>
      </c>
      <c r="C1482" t="n">
        <v>276064</v>
      </c>
      <c r="D1482" s="4" t="n">
        <v>75</v>
      </c>
      <c r="E1482" s="1" t="n">
        <v>39450</v>
      </c>
      <c r="F1482" t="inlineStr">
        <is>
          <t>mark bittman, the best recipes in the world. aromatic and delicate.</t>
        </is>
      </c>
      <c r="H1482" t="n">
        <v>4500</v>
      </c>
      <c r="I1482">
        <f>D1482*60</f>
        <v/>
      </c>
      <c r="J1482">
        <f>COUNTIF(Отзывы!$D:$D, 276064)</f>
        <v/>
      </c>
    </row>
    <row r="1483">
      <c r="A1483" t="n">
        <v>4970</v>
      </c>
      <c r="B1483" t="inlineStr">
        <is>
          <t>celery   apricot soup</t>
        </is>
      </c>
      <c r="C1483" t="n">
        <v>40888</v>
      </c>
      <c r="D1483" s="4" t="n">
        <v>75</v>
      </c>
      <c r="E1483" s="1" t="n">
        <v>37520</v>
      </c>
      <c r="G1483" t="n">
        <v>7</v>
      </c>
      <c r="H1483" t="n">
        <v>4500</v>
      </c>
      <c r="I1483">
        <f>D1483*60</f>
        <v/>
      </c>
      <c r="J1483">
        <f>COUNTIF(Отзывы!$D:$D, 40888)</f>
        <v/>
      </c>
    </row>
    <row r="1484">
      <c r="A1484" t="n">
        <v>25685</v>
      </c>
      <c r="B1484" t="inlineStr">
        <is>
          <t>spinach tea sandwiches</t>
        </is>
      </c>
      <c r="C1484" t="n">
        <v>373622</v>
      </c>
      <c r="D1484" s="4" t="n">
        <v>20</v>
      </c>
      <c r="E1484" s="1" t="n">
        <v>39955</v>
      </c>
      <c r="F1484" t="inlineStr">
        <is>
          <t>a recipe by susan asher, owner of thyme-out tea parties.  always very popular!</t>
        </is>
      </c>
      <c r="H1484" t="n">
        <v>1200</v>
      </c>
      <c r="I1484">
        <f>D1484*60</f>
        <v/>
      </c>
      <c r="J1484">
        <f>COUNTIF(Отзывы!$D:$D, 373622)</f>
        <v/>
      </c>
    </row>
    <row r="1485">
      <c r="A1485" t="n">
        <v>4260</v>
      </c>
      <c r="B1485" t="inlineStr">
        <is>
          <t>butterscotch bread pudding</t>
        </is>
      </c>
      <c r="C1485" t="n">
        <v>248366</v>
      </c>
      <c r="D1485" s="4" t="n">
        <v>70</v>
      </c>
      <c r="E1485" s="1" t="n">
        <v>39317</v>
      </c>
      <c r="F1485" t="inlineStr">
        <is>
          <t>this recipe is very easy to make and tastes great too!</t>
        </is>
      </c>
      <c r="G1485" t="n">
        <v>7</v>
      </c>
      <c r="H1485" t="n">
        <v>4200</v>
      </c>
      <c r="I1485">
        <f>D1485*60</f>
        <v/>
      </c>
      <c r="J1485">
        <f>COUNTIF(Отзывы!$D:$D, 248366)</f>
        <v/>
      </c>
    </row>
    <row r="1486">
      <c r="A1486" t="n">
        <v>24258</v>
      </c>
      <c r="B1486" t="inlineStr">
        <is>
          <t>simple pizza sauce</t>
        </is>
      </c>
      <c r="C1486" t="n">
        <v>237249</v>
      </c>
      <c r="D1486" s="4" t="n">
        <v>25</v>
      </c>
      <c r="E1486" s="1" t="n">
        <v>39259</v>
      </c>
      <c r="F1486" t="inlineStr">
        <is>
          <t>use on neapolitan-style pizza. neapolitans do not use what we americans think of as “pizza sauce”. their tomato topping is either ripe, fresh crushed tomatoes or canned san marzano tomatoes.</t>
        </is>
      </c>
      <c r="G1486" t="n">
        <v>3</v>
      </c>
      <c r="H1486" t="n">
        <v>1500</v>
      </c>
      <c r="I1486">
        <f>D1486*60</f>
        <v/>
      </c>
      <c r="J1486">
        <f>COUNTIF(Отзывы!$D:$D, 237249)</f>
        <v/>
      </c>
    </row>
    <row r="1487">
      <c r="A1487" t="n">
        <v>4351</v>
      </c>
      <c r="B1487" t="inlineStr">
        <is>
          <t>caf mocha mint or caf mandarin mocha</t>
        </is>
      </c>
      <c r="C1487" t="n">
        <v>139517</v>
      </c>
      <c r="D1487" s="6" t="n">
        <v>5</v>
      </c>
      <c r="E1487" s="1" t="n">
        <v>38625</v>
      </c>
      <c r="F1487" t="inlineStr">
        <is>
          <t>café au lait with the flavors of mocha &amp; mint or mocha and orange added. the proportions of coffee and milk can be varied to suit your tastes (like 3/4 cup coffee and 1/4 cup milk for stronger coffee or 1/2 and 1/2 each for weaker coffee).</t>
        </is>
      </c>
      <c r="G1487" t="n">
        <v>5</v>
      </c>
      <c r="H1487" t="n">
        <v>300</v>
      </c>
      <c r="I1487">
        <f>D1487*60</f>
        <v/>
      </c>
      <c r="J1487">
        <f>COUNTIF(Отзывы!$D:$D, 139517)</f>
        <v/>
      </c>
    </row>
    <row r="1488">
      <c r="A1488" t="n">
        <v>19229</v>
      </c>
      <c r="B1488" t="inlineStr">
        <is>
          <t>onion tarka</t>
        </is>
      </c>
      <c r="C1488" t="n">
        <v>20359</v>
      </c>
      <c r="D1488" s="6" t="n">
        <v>5</v>
      </c>
      <c r="E1488" s="1" t="n">
        <v>37308</v>
      </c>
      <c r="F1488" t="inlineStr">
        <is>
          <t>onion tarka is a traditional crispy brown onion garnish sprinkled over many indian dishes. this is a quick version that will keep in an airtight container for several weeks.</t>
        </is>
      </c>
      <c r="G1488" t="n">
        <v>2</v>
      </c>
      <c r="H1488" t="n">
        <v>300</v>
      </c>
      <c r="I1488">
        <f>D1488*60</f>
        <v/>
      </c>
      <c r="J1488">
        <f>COUNTIF(Отзывы!$D:$D, 20359)</f>
        <v/>
      </c>
    </row>
    <row r="1489" ht="409.5" customHeight="1">
      <c r="A1489" t="n">
        <v>3566</v>
      </c>
      <c r="B1489" t="inlineStr">
        <is>
          <t>bow tie noodles and sauerkraut or hluski noodles</t>
        </is>
      </c>
      <c r="C1489" t="n">
        <v>118248</v>
      </c>
      <c r="D1489" s="4" t="n">
        <v>35</v>
      </c>
      <c r="E1489" s="1" t="n">
        <v>38462</v>
      </c>
      <c r="F1489" s="2" t="inlineStr">
        <is>
          <t>this is for those who love noodles and sauerkraut. it never lasts long so thought i would share it.. :)_x000D_
_x000D_
if you like more butter you can add 2 more tablespoons with the onion while you are cooking it._x000D_
enjoy!!</t>
        </is>
      </c>
      <c r="G1489" t="n">
        <v>4</v>
      </c>
      <c r="H1489" t="n">
        <v>2100</v>
      </c>
      <c r="I1489">
        <f>D1489*60</f>
        <v/>
      </c>
      <c r="J1489">
        <f>COUNTIF(Отзывы!$D:$D, 118248)</f>
        <v/>
      </c>
    </row>
    <row r="1490">
      <c r="A1490" t="n">
        <v>22962</v>
      </c>
      <c r="B1490" t="inlineStr">
        <is>
          <t>rosemary and garlic chicken and potatoes</t>
        </is>
      </c>
      <c r="C1490" t="n">
        <v>147850</v>
      </c>
      <c r="D1490" s="4" t="n">
        <v>75</v>
      </c>
      <c r="E1490" s="1" t="n">
        <v>38695</v>
      </c>
      <c r="F1490" t="inlineStr">
        <is>
          <t>i was inspired to make it by a dish i had in italy.  if you don't love rosemary, reduce the quantity. it has a strong rosemary flavor because we love it.</t>
        </is>
      </c>
      <c r="G1490" t="n">
        <v>8</v>
      </c>
      <c r="H1490" t="n">
        <v>4500</v>
      </c>
      <c r="I1490">
        <f>D1490*60</f>
        <v/>
      </c>
      <c r="J1490">
        <f>COUNTIF(Отзывы!$D:$D, 147850)</f>
        <v/>
      </c>
    </row>
    <row r="1491">
      <c r="A1491" t="n">
        <v>17045</v>
      </c>
      <c r="B1491" t="inlineStr">
        <is>
          <t>marinated carrots</t>
        </is>
      </c>
      <c r="C1491" t="n">
        <v>173616</v>
      </c>
      <c r="D1491" s="4" t="n">
        <v>25</v>
      </c>
      <c r="E1491" s="1" t="n">
        <v>38887</v>
      </c>
      <c r="F1491" t="inlineStr">
        <is>
          <t>this is posted for zwt 2006.  it is from a taste of nova scotia</t>
        </is>
      </c>
      <c r="H1491" t="n">
        <v>1500</v>
      </c>
      <c r="I1491">
        <f>D1491*60</f>
        <v/>
      </c>
      <c r="J1491">
        <f>COUNTIF(Отзывы!$D:$D, 173616)</f>
        <v/>
      </c>
    </row>
    <row r="1492">
      <c r="A1492" t="n">
        <v>29025</v>
      </c>
      <c r="B1492" t="inlineStr">
        <is>
          <t>warm mortadella on focaccia</t>
        </is>
      </c>
      <c r="C1492" t="n">
        <v>284376</v>
      </c>
      <c r="D1492" s="4" t="n">
        <v>16</v>
      </c>
      <c r="E1492" s="1" t="n">
        <v>39483</v>
      </c>
      <c r="F1492" t="inlineStr">
        <is>
          <t>recipe from the free sample lady at costco, where they make really good focaccia.  this recipe serves two people for a nice lunch.</t>
        </is>
      </c>
      <c r="G1492" t="n">
        <v>5</v>
      </c>
      <c r="H1492" t="n">
        <v>960</v>
      </c>
      <c r="I1492">
        <f>D1492*60</f>
        <v/>
      </c>
      <c r="J1492">
        <f>COUNTIF(Отзывы!$D:$D, 284376)</f>
        <v/>
      </c>
    </row>
    <row r="1493" ht="300" customHeight="1">
      <c r="A1493" t="n">
        <v>22569</v>
      </c>
      <c r="B1493" t="inlineStr">
        <is>
          <t>rich caramel cheesecake</t>
        </is>
      </c>
      <c r="C1493" t="n">
        <v>234114</v>
      </c>
      <c r="D1493" s="4" t="n">
        <v>120</v>
      </c>
      <c r="E1493" s="1" t="n">
        <v>39244</v>
      </c>
      <c r="F1493" s="2" t="inlineStr">
        <is>
          <t>who wouldn't enjoy a sweet, creamy, cheesecake with yummy caramel flavoring it._x000D_
 the garnish is optional._x000D_
i also added fresh whipped cream.</t>
        </is>
      </c>
      <c r="G1493" t="n">
        <v>12</v>
      </c>
      <c r="H1493" t="n">
        <v>7200</v>
      </c>
      <c r="I1493">
        <f>D1493*60</f>
        <v/>
      </c>
      <c r="J1493">
        <f>COUNTIF(Отзывы!$D:$D, 234114)</f>
        <v/>
      </c>
    </row>
    <row r="1494">
      <c r="A1494" t="n">
        <v>19192</v>
      </c>
      <c r="B1494" t="inlineStr">
        <is>
          <t>one bowl brownies</t>
        </is>
      </c>
      <c r="C1494" t="n">
        <v>252663</v>
      </c>
      <c r="D1494" s="4" t="n">
        <v>45</v>
      </c>
      <c r="E1494" s="1" t="n">
        <v>39337</v>
      </c>
      <c r="F1494" t="inlineStr">
        <is>
          <t>from the back of a baker's chocolate box- if the batter is any indication, these are the best brownies ever!</t>
        </is>
      </c>
      <c r="G1494" t="n">
        <v>7</v>
      </c>
      <c r="H1494" t="n">
        <v>2700</v>
      </c>
      <c r="I1494">
        <f>D1494*60</f>
        <v/>
      </c>
      <c r="J1494">
        <f>COUNTIF(Отзывы!$D:$D, 252663)</f>
        <v/>
      </c>
    </row>
    <row r="1495">
      <c r="A1495" t="n">
        <v>22975</v>
      </c>
      <c r="B1495" t="inlineStr">
        <is>
          <t>rosemary mashed potatoes and yams with garlic and parmesan</t>
        </is>
      </c>
      <c r="C1495" t="n">
        <v>14716</v>
      </c>
      <c r="D1495" s="4" t="n">
        <v>90</v>
      </c>
      <c r="E1495" s="1" t="n">
        <v>37220</v>
      </c>
      <c r="F1495" t="inlineStr">
        <is>
          <t>i got this recipe from all recipes, and it's a keeper!</t>
        </is>
      </c>
      <c r="H1495" t="n">
        <v>5400</v>
      </c>
      <c r="I1495">
        <f>D1495*60</f>
        <v/>
      </c>
      <c r="J1495">
        <f>COUNTIF(Отзывы!$D:$D, 14716)</f>
        <v/>
      </c>
    </row>
    <row r="1496">
      <c r="A1496" t="n">
        <v>19500</v>
      </c>
      <c r="B1496" t="inlineStr">
        <is>
          <t>orlando bloom s pasta au pistou</t>
        </is>
      </c>
      <c r="C1496" t="n">
        <v>276132</v>
      </c>
      <c r="D1496" s="4" t="n">
        <v>30</v>
      </c>
      <c r="E1496" s="1" t="n">
        <v>39450</v>
      </c>
      <c r="F1496" t="inlineStr">
        <is>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is>
      </c>
      <c r="G1496" t="n">
        <v>10</v>
      </c>
      <c r="H1496" t="n">
        <v>1800</v>
      </c>
      <c r="I1496">
        <f>D1496*60</f>
        <v/>
      </c>
      <c r="J1496">
        <f>COUNTIF(Отзывы!$D:$D, 276132)</f>
        <v/>
      </c>
    </row>
    <row r="1497">
      <c r="A1497" t="n">
        <v>4354</v>
      </c>
      <c r="B1497" t="inlineStr">
        <is>
          <t>cafe choc chip cookies</t>
        </is>
      </c>
      <c r="C1497" t="n">
        <v>189596</v>
      </c>
      <c r="D1497" s="4" t="n">
        <v>35</v>
      </c>
      <c r="E1497" s="1" t="n">
        <v>38998</v>
      </c>
      <c r="F1497" t="inlineStr">
        <is>
          <t>i got this recipe out of the australian country style magazine. i have often made them as a present for friends and they have always been well received.</t>
        </is>
      </c>
      <c r="H1497" t="n">
        <v>2100</v>
      </c>
      <c r="I1497">
        <f>D1497*60</f>
        <v/>
      </c>
      <c r="J1497">
        <f>COUNTIF(Отзывы!$D:$D, 189596)</f>
        <v/>
      </c>
    </row>
    <row r="1498">
      <c r="A1498" t="n">
        <v>23229</v>
      </c>
      <c r="B1498" t="inlineStr">
        <is>
          <t>salmon patties made simple ly delicious</t>
        </is>
      </c>
      <c r="C1498" t="n">
        <v>68698</v>
      </c>
      <c r="D1498" s="4" t="n">
        <v>25</v>
      </c>
      <c r="E1498" s="1" t="n">
        <v>37844</v>
      </c>
      <c r="F1498" t="inlineStr">
        <is>
          <t>mom used to make these when i lived at home.who knew they were good for you.. back then! condiments for dipping, mustard, ketchup,tarter sauce, or lemon. make your favorite side dishes to go with this,or make a salmon patty sandwich.</t>
        </is>
      </c>
      <c r="H1498" t="n">
        <v>1500</v>
      </c>
      <c r="I1498">
        <f>D1498*60</f>
        <v/>
      </c>
      <c r="J1498">
        <f>COUNTIF(Отзывы!$D:$D, 68698)</f>
        <v/>
      </c>
    </row>
    <row r="1499">
      <c r="A1499" t="n">
        <v>16431</v>
      </c>
      <c r="B1499" t="inlineStr">
        <is>
          <t>low carb mock danish</t>
        </is>
      </c>
      <c r="C1499" t="n">
        <v>119756</v>
      </c>
      <c r="D1499" s="6" t="n">
        <v>5</v>
      </c>
      <c r="E1499" s="1" t="n">
        <v>38471</v>
      </c>
      <c r="F1499" t="inlineStr">
        <is>
          <t>this is great for a quick breakfast or snack!</t>
        </is>
      </c>
      <c r="G1499" t="n">
        <v>5</v>
      </c>
      <c r="H1499" t="n">
        <v>300</v>
      </c>
      <c r="I1499">
        <f>D1499*60</f>
        <v/>
      </c>
      <c r="J1499">
        <f>COUNTIF(Отзывы!$D:$D, 119756)</f>
        <v/>
      </c>
    </row>
    <row r="1500">
      <c r="A1500" t="n">
        <v>28693</v>
      </c>
      <c r="B1500" t="inlineStr">
        <is>
          <t>vegetable tian</t>
        </is>
      </c>
      <c r="C1500" t="n">
        <v>384133</v>
      </c>
      <c r="D1500" s="4" t="n">
        <v>105</v>
      </c>
      <c r="E1500" s="1" t="n">
        <v>40029</v>
      </c>
      <c r="F1500" t="inlineStr">
        <is>
          <t>what can i say... such a wonderful and delicious way to eat vegetables.  the flavors blend together so well and create this rich and spectacular   dish. my whole house smelled like baked lasagna while baking this dish!  try using vidalia onions for their sweet taste.</t>
        </is>
      </c>
      <c r="G1500" t="n">
        <v>15</v>
      </c>
      <c r="H1500" t="n">
        <v>6300</v>
      </c>
      <c r="I1500">
        <f>D1500*60</f>
        <v/>
      </c>
      <c r="J1500">
        <f>COUNTIF(Отзывы!$D:$D, 384133)</f>
        <v/>
      </c>
    </row>
    <row r="1501" ht="300" customHeight="1">
      <c r="A1501" t="n">
        <v>6027</v>
      </c>
      <c r="B1501" t="inlineStr">
        <is>
          <t>chicken tikka kabobs</t>
        </is>
      </c>
      <c r="C1501" t="n">
        <v>276445</v>
      </c>
      <c r="D1501" s="4" t="n">
        <v>15</v>
      </c>
      <c r="E1501" s="1" t="n">
        <v>39451</v>
      </c>
      <c r="F1501" s="2" t="inlineStr">
        <is>
          <t>a quick and easy treat from the grill! low in calories too._x000D_
note: if using wooden skewers, soak the skewers in water for at least 30 minutes before using.</t>
        </is>
      </c>
      <c r="G1501" t="n">
        <v>8</v>
      </c>
      <c r="H1501" t="n">
        <v>900</v>
      </c>
      <c r="I1501">
        <f>D1501*60</f>
        <v/>
      </c>
      <c r="J1501">
        <f>COUNTIF(Отзывы!$D:$D, 276445)</f>
        <v/>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G6336"/>
  <sheetViews>
    <sheetView workbookViewId="0">
      <selection activeCell="A1" sqref="A1"/>
    </sheetView>
  </sheetViews>
  <sheetFormatPr baseColWidth="8" defaultRowHeight="15"/>
  <sheetData>
    <row r="1">
      <c r="B1" t="inlineStr">
        <is>
          <t>Индексы</t>
        </is>
      </c>
      <c r="C1" t="inlineStr">
        <is>
          <t>user_id</t>
        </is>
      </c>
      <c r="D1" t="inlineStr">
        <is>
          <t>recipe_id</t>
        </is>
      </c>
      <c r="E1" t="inlineStr">
        <is>
          <t>date</t>
        </is>
      </c>
      <c r="F1" t="inlineStr">
        <is>
          <t>rating</t>
        </is>
      </c>
      <c r="G1" t="inlineStr">
        <is>
          <t>review</t>
        </is>
      </c>
    </row>
    <row r="2">
      <c r="A2" s="7" t="n">
        <v>34566</v>
      </c>
      <c r="B2" s="7" t="n">
        <v>515585</v>
      </c>
      <c r="C2" s="7" t="n">
        <v>141347</v>
      </c>
      <c r="D2" s="7" t="n">
        <v>73274</v>
      </c>
      <c r="E2" s="8" t="n">
        <v>39022</v>
      </c>
      <c r="F2" s="7" t="n">
        <v>5</v>
      </c>
      <c r="G2" s="7" t="inlineStr">
        <is>
          <t>These apples were really good!  The carmel adheres well and gives the appples a nice coat.  Not to mention it tastes delicious!  And it was simple to make!  I will only make one change when I make them again.  I will butter or spray the wax paper.  My wax paper stuck to the caramel and I had to cut it off of the bottom of my apples.  Very, very excellent!  Thanks!</t>
        </is>
      </c>
    </row>
    <row r="3">
      <c r="A3" s="7" t="n">
        <v>122251</v>
      </c>
      <c r="B3" s="7" t="n">
        <v>525602</v>
      </c>
      <c r="C3" s="7" t="n">
        <v>2001910792</v>
      </c>
      <c r="D3" s="7" t="n">
        <v>107281</v>
      </c>
      <c r="E3" s="8" t="n">
        <v>43104</v>
      </c>
      <c r="F3" s="7" t="n">
        <v>0</v>
      </c>
      <c r="G3" s="7" t="inlineStr">
        <is>
          <t>Hi i was wondering does the chorizo uncooked get rolled into balls with the meatballs</t>
        </is>
      </c>
    </row>
    <row r="4">
      <c r="A4" s="7" t="n">
        <v>122319</v>
      </c>
      <c r="B4" s="7" t="n">
        <v>665758</v>
      </c>
      <c r="C4" s="7" t="n">
        <v>39334</v>
      </c>
      <c r="D4" s="7" t="n">
        <v>114076</v>
      </c>
      <c r="E4" s="8" t="n">
        <v>38439</v>
      </c>
      <c r="F4" s="7" t="n">
        <v>4</v>
      </c>
      <c r="G4" s="7" t="inlineStr">
        <is>
          <t>We really liked these! This was my first attempt to make ribs in the oven (it was to cold to bbq outside), and they turned out very good! This was easy to prepare, and the ribs turned out very tender with lots of flavor. DH said he missed the drippy sauce, but I liked them without that mess. Thanks for the great recipe andypandy...I'm sure we will use again!</t>
        </is>
      </c>
    </row>
    <row r="5">
      <c r="A5" s="7" t="n">
        <v>120887</v>
      </c>
      <c r="B5" s="7" t="n">
        <v>382159</v>
      </c>
      <c r="C5" s="7" t="n">
        <v>358796</v>
      </c>
      <c r="D5" s="7" t="n">
        <v>249251</v>
      </c>
      <c r="E5" s="8" t="n">
        <v>39348</v>
      </c>
      <c r="F5" s="7" t="n">
        <v>4</v>
      </c>
      <c r="G5" s="7" t="inlineStr">
        <is>
          <t>Nice, easy and healthy-tasting breakfast. Cut down to 6 eggs, but kept the rest the same. We'll add more hot sauce next time. A good throw-it-together recipe. Don't leave out the green onion, it is what makes it taste fresh.</t>
        </is>
      </c>
    </row>
    <row r="6">
      <c r="A6" s="7" t="n">
        <v>10244</v>
      </c>
      <c r="B6" s="7" t="n">
        <v>739590</v>
      </c>
      <c r="C6" s="7" t="n">
        <v>107583</v>
      </c>
      <c r="D6" s="7" t="n">
        <v>379148</v>
      </c>
      <c r="E6" s="8" t="n">
        <v>40048</v>
      </c>
      <c r="F6" s="7" t="n">
        <v>5</v>
      </c>
      <c r="G6" s="7" t="inlineStr">
        <is>
          <t>I had a zucchini and 2 very ripe bananas that had to be used or tossed, and am I glad, because otherwise I may not have found this recipe.  Very moist and rich.  I also left the zuke unpeeled.  Love the flax seed meal in this.  I used walnuts instead of pecans and left out raisins (don't like them!)  I will be making this again!</t>
        </is>
      </c>
    </row>
    <row r="7">
      <c r="A7" s="7" t="n">
        <v>60347</v>
      </c>
      <c r="B7" s="7" t="n">
        <v>319893</v>
      </c>
      <c r="C7" s="7" t="n">
        <v>1835131</v>
      </c>
      <c r="D7" s="7" t="n">
        <v>438888</v>
      </c>
      <c r="E7" s="8" t="n">
        <v>40595</v>
      </c>
      <c r="F7" s="7" t="n">
        <v>4</v>
      </c>
      <c r="G7" s="7" t="inlineStr">
        <is>
          <t>Wow, this was deliciously spicy hot!! We put it out as a  cracker spread with cream cheese at a party and had fun watching the reactions.</t>
        </is>
      </c>
    </row>
    <row r="8">
      <c r="A8" s="7" t="n">
        <v>118423</v>
      </c>
      <c r="B8" s="7" t="n">
        <v>1033196</v>
      </c>
      <c r="C8" s="7" t="n">
        <v>350108</v>
      </c>
      <c r="D8" s="7" t="n">
        <v>48401</v>
      </c>
      <c r="E8" s="8" t="n">
        <v>38978</v>
      </c>
      <c r="F8" s="7" t="n">
        <v>5</v>
      </c>
      <c r="G8" s="7" t="inlineStr">
        <is>
          <t>Very yummy!  I measured my pan, and it was 12 cups, but I still had a fair amount of run-off through the center hole of the bundt pan.  Regardless, I'll definatley be making this again.  Fairly easy with a beautiful, tasty result.</t>
        </is>
      </c>
    </row>
    <row r="9" ht="409.5" customHeight="1">
      <c r="A9" s="7" t="n">
        <v>54500</v>
      </c>
      <c r="B9" s="7" t="n">
        <v>853728</v>
      </c>
      <c r="C9" s="7" t="n">
        <v>204024</v>
      </c>
      <c r="D9" s="7" t="n">
        <v>184568</v>
      </c>
      <c r="E9" s="8" t="n">
        <v>39447</v>
      </c>
      <c r="F9" s="7" t="n">
        <v>5</v>
      </c>
      <c r="G9" s="9" t="inlineStr">
        <is>
          <t>This is good.  The first pan was gone within minutes, and another was guarded carefully until the camera could be ready._x000D_
I loved the emphasis on beating and kneading -- bakers often neglect this.  It's important to note that the first ingredient is two packets of 1/4 oz. each, not two and a quarter ounces of yeast, but most bakers will figure that out._x000D_
The dough was stiffer than I'm used to and was an effort to knead and roll out, and there's a lot of sugar in there. The end result was nummy, though, coming out of the oven tender and beautiful. Reviewed for Beverage Tag 2007.</t>
        </is>
      </c>
    </row>
    <row r="10" ht="270" customHeight="1">
      <c r="A10" s="7" t="n">
        <v>16098</v>
      </c>
      <c r="B10" s="7" t="n">
        <v>115890</v>
      </c>
      <c r="C10" s="7" t="n">
        <v>58104</v>
      </c>
      <c r="D10" s="7" t="n">
        <v>49071</v>
      </c>
      <c r="E10" s="8" t="n">
        <v>37701</v>
      </c>
      <c r="F10" s="7" t="n">
        <v>5</v>
      </c>
      <c r="G10" s="9" t="inlineStr">
        <is>
          <t>TOOOOOOOOOOOO EASYYYYYYYYYYYYYY!_x000D_
Great to keep in a jar and when you have the munchies they are there. SO Dilly good.</t>
        </is>
      </c>
    </row>
    <row r="11">
      <c r="A11" s="7" t="n">
        <v>65924</v>
      </c>
      <c r="B11" s="7" t="n">
        <v>235649</v>
      </c>
      <c r="C11" s="7" t="n">
        <v>358867</v>
      </c>
      <c r="D11" s="7" t="n">
        <v>45005</v>
      </c>
      <c r="E11" s="8" t="n">
        <v>39105</v>
      </c>
      <c r="F11" s="7" t="n">
        <v>5</v>
      </c>
      <c r="G11" s="7" t="inlineStr">
        <is>
          <t>I ommited the shrimp- as my DH is allergic, but I added pineapple and a little Sriracha to kick it up a notch (or 4). I also added about 1 tbsp Jiff Peanut Butter (yummy) HOWEVER... I didn't bother making my own sauce- I went to my organic grocery store and bought a pad thai sauce... 2 tbsp of that later and voila... i cut out a lot of extra steps- and it was still great.</t>
        </is>
      </c>
    </row>
    <row r="12">
      <c r="A12" s="7" t="n">
        <v>4853</v>
      </c>
      <c r="B12" s="7" t="n">
        <v>964856</v>
      </c>
      <c r="C12" s="7" t="n">
        <v>51931</v>
      </c>
      <c r="D12" s="7" t="n">
        <v>50969</v>
      </c>
      <c r="E12" s="8" t="n">
        <v>37695</v>
      </c>
      <c r="F12" s="7" t="n">
        <v>5</v>
      </c>
      <c r="G12" s="7" t="inlineStr">
        <is>
          <t>5 stars for the following: Appearance, Easiness of recipe, Flavor, Instructions, etc.  Everything about this recipe was a 5 star. This was the best Zuchini Bread I've had! I wouldn't change a thing.  I did take a photo to add to this recipe.  Will post it in a second.</t>
        </is>
      </c>
    </row>
    <row r="13">
      <c r="A13" s="7" t="n">
        <v>99403</v>
      </c>
      <c r="B13" s="7" t="n">
        <v>717627</v>
      </c>
      <c r="C13" s="7" t="n">
        <v>134145</v>
      </c>
      <c r="D13" s="7" t="n">
        <v>291142</v>
      </c>
      <c r="E13" s="8" t="n">
        <v>40252</v>
      </c>
      <c r="F13" s="7" t="n">
        <v>4</v>
      </c>
      <c r="G13" s="7" t="inlineStr">
        <is>
          <t>Made these over the weekend and found then quite tasty. I changed a couple things. I doubled the amount of blue cheese and used only one pear. I used cream cheese instead of mascarpone because the latter is so expensive. Also, I changed the order of directions a bit because I wanted the cheese to be melted and I didn't want the bread to be too crunchy. I spread the baguette slice with the cream cheese and topped it with the pear/blue mixture before putting it in the oven, and then simply warmed it up until the cheese melted. Finally, I think next time I would use basil instead of parsley. I think basil would be better suited to the other flavors in this dish.</t>
        </is>
      </c>
    </row>
    <row r="14">
      <c r="A14" s="7" t="n">
        <v>49036</v>
      </c>
      <c r="B14" s="7" t="n">
        <v>212753</v>
      </c>
      <c r="C14" s="7" t="n">
        <v>2001058803</v>
      </c>
      <c r="D14" s="7" t="n">
        <v>199579</v>
      </c>
      <c r="E14" s="8" t="n">
        <v>42543</v>
      </c>
      <c r="F14" s="7" t="n">
        <v>0</v>
      </c>
      <c r="G14" s="7" t="inlineStr">
        <is>
          <t>Was one of the best I've made even tho had to use elbow macaroni thought I had egg noodles and didn't. Plus I steamed some broccoli and cauliflower chopped it up and added it and crushed potato chips on the top and last 10 min topped it off with more shredded cheese</t>
        </is>
      </c>
    </row>
    <row r="15">
      <c r="A15" s="7" t="n">
        <v>97905</v>
      </c>
      <c r="B15" s="7" t="n">
        <v>257450</v>
      </c>
      <c r="C15" s="7" t="n">
        <v>2604344</v>
      </c>
      <c r="D15" s="7" t="n">
        <v>389252</v>
      </c>
      <c r="E15" s="8" t="n">
        <v>41274</v>
      </c>
      <c r="F15" s="7" t="n">
        <v>4</v>
      </c>
      <c r="G15" s="7" t="inlineStr">
        <is>
          <t>Loved the sweetness of the shallots. I don't know if I would have liked it as much if I didn't have the Sherry Wine Vinegar. I don't think other substitues would have measured up. I used the spinach arugula bagged salad from the store, so the 50/50 mix would have really made it fun. Will make it again... the hubby had 2nds which is almost unheard of for a salad.</t>
        </is>
      </c>
    </row>
    <row r="16">
      <c r="A16" s="7" t="n">
        <v>40430</v>
      </c>
      <c r="B16" s="7" t="n">
        <v>999853</v>
      </c>
      <c r="C16" s="7" t="n">
        <v>593513</v>
      </c>
      <c r="D16" s="7" t="n">
        <v>376411</v>
      </c>
      <c r="E16" s="8" t="n">
        <v>40298</v>
      </c>
      <c r="F16" s="7" t="n">
        <v>5</v>
      </c>
      <c r="G16" s="7" t="inlineStr">
        <is>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is>
      </c>
    </row>
    <row r="17">
      <c r="A17" s="7" t="n">
        <v>46801</v>
      </c>
      <c r="B17" s="7" t="n">
        <v>1120210</v>
      </c>
      <c r="C17" s="7" t="n">
        <v>2198132</v>
      </c>
      <c r="D17" s="7" t="n">
        <v>518217</v>
      </c>
      <c r="E17" s="8" t="n">
        <v>41877</v>
      </c>
      <c r="F17" s="7" t="n">
        <v>5</v>
      </c>
      <c r="G17" s="7" t="inlineStr">
        <is>
          <t>Yum!  Will definitely be serving this one!</t>
        </is>
      </c>
    </row>
    <row r="18">
      <c r="A18" s="7" t="n">
        <v>55839</v>
      </c>
      <c r="B18" s="7" t="n">
        <v>386246</v>
      </c>
      <c r="C18" s="7" t="n">
        <v>428885</v>
      </c>
      <c r="D18" s="7" t="n">
        <v>45216</v>
      </c>
      <c r="E18" s="8" t="n">
        <v>39560</v>
      </c>
      <c r="F18" s="7" t="n">
        <v>5</v>
      </c>
      <c r="G18" s="7" t="inlineStr">
        <is>
          <t>Absolutely (hands down) the best Sunday Roast Chicken we have had anytime of the week. I followed this exactly and was so easy to put together, and so tasty. The chicken fell of the bone and was beyond delicious. I had one beautiful apple that I used, and just so tasty and great. It didn't take that long to prepare and on this evening a wonderful treat for my family. Thank you so much for posting this Sharon I will be using this often!</t>
        </is>
      </c>
    </row>
    <row r="19">
      <c r="A19" s="7" t="n">
        <v>29291</v>
      </c>
      <c r="B19" s="7" t="n">
        <v>826006</v>
      </c>
      <c r="C19" s="7" t="n">
        <v>42661</v>
      </c>
      <c r="D19" s="7" t="n">
        <v>36784</v>
      </c>
      <c r="E19" s="8" t="n">
        <v>37594</v>
      </c>
      <c r="F19" s="7" t="n">
        <v>5</v>
      </c>
      <c r="G19" s="7" t="inlineStr">
        <is>
          <t>I've made this twice now. Once cooking the hamburger in worcestershire sauce, and once making it without it. I liked it best with the worcestershire sauce. I didn't have the dry mustard and I used cream of chicken soup instead of mushroom. We ate it over rice and loved it! It's a simple and easy recipe that tastes great!</t>
        </is>
      </c>
    </row>
    <row r="20" ht="300" customHeight="1">
      <c r="A20" s="7" t="n">
        <v>118020</v>
      </c>
      <c r="B20" s="7" t="n">
        <v>450275</v>
      </c>
      <c r="C20" s="7" t="n">
        <v>284897</v>
      </c>
      <c r="D20" s="7" t="n">
        <v>347869</v>
      </c>
      <c r="E20" s="8" t="n">
        <v>40225</v>
      </c>
      <c r="F20" s="7" t="n">
        <v>5</v>
      </c>
      <c r="G20" s="9" t="inlineStr">
        <is>
          <t>Great simple and easy recipe. Not too sweet and so creamy._x000D_
Served with a dollop of cream this_x000D_
is a lovely pudding for hot days._x000D_
Thanks Karen.</t>
        </is>
      </c>
    </row>
    <row r="21">
      <c r="A21" s="7" t="n">
        <v>628</v>
      </c>
      <c r="B21" s="7" t="n">
        <v>419743</v>
      </c>
      <c r="C21" s="7" t="n">
        <v>140806</v>
      </c>
      <c r="D21" s="7" t="n">
        <v>146022</v>
      </c>
      <c r="E21" s="8" t="n">
        <v>38994</v>
      </c>
      <c r="F21" s="7" t="n">
        <v>5</v>
      </c>
      <c r="G21" s="7" t="inlineStr">
        <is>
          <t xml:space="preserve">Dh loved eating this over rice. </t>
        </is>
      </c>
    </row>
    <row r="22">
      <c r="A22" s="7" t="n">
        <v>42110</v>
      </c>
      <c r="B22" s="7" t="n">
        <v>793225</v>
      </c>
      <c r="C22" s="7" t="n">
        <v>493088</v>
      </c>
      <c r="D22" s="7" t="n">
        <v>149217</v>
      </c>
      <c r="E22" s="8" t="n">
        <v>39813</v>
      </c>
      <c r="F22" s="7" t="n">
        <v>5</v>
      </c>
      <c r="G22" s="7" t="inlineStr">
        <is>
          <t>OMG this was sooooooooo good! Exactly what we were expecting from a candy cane cocktail.  Thanks for the recipe.</t>
        </is>
      </c>
    </row>
    <row r="23">
      <c r="A23" t="n">
        <v>98909</v>
      </c>
      <c r="B23" t="n">
        <v>839012</v>
      </c>
      <c r="C23" t="n">
        <v>192264</v>
      </c>
      <c r="D23" t="n">
        <v>50126</v>
      </c>
      <c r="E23" s="1" t="n">
        <v>38557</v>
      </c>
      <c r="F23" t="n">
        <v>5</v>
      </c>
      <c r="G23" t="inlineStr">
        <is>
          <t>This bread was so easy, and made great French Toast. It was so good and soft. My family really loved it. Thanks for this recipe.</t>
        </is>
      </c>
    </row>
    <row r="24">
      <c r="A24" s="7" t="n">
        <v>82278</v>
      </c>
      <c r="B24" s="7" t="n">
        <v>241898</v>
      </c>
      <c r="C24" s="7" t="n">
        <v>705251</v>
      </c>
      <c r="D24" s="7" t="n">
        <v>377978</v>
      </c>
      <c r="E24" s="8" t="n">
        <v>39996</v>
      </c>
      <c r="F24" s="7" t="n">
        <v>5</v>
      </c>
      <c r="G24" s="7" t="inlineStr">
        <is>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is>
      </c>
    </row>
    <row r="25">
      <c r="A25" s="7" t="n">
        <v>110065</v>
      </c>
      <c r="B25" s="7" t="n">
        <v>194939</v>
      </c>
      <c r="C25" s="7" t="n">
        <v>349509</v>
      </c>
      <c r="D25" s="7" t="n">
        <v>8432</v>
      </c>
      <c r="E25" s="8" t="n">
        <v>39461</v>
      </c>
      <c r="F25" s="7" t="n">
        <v>5</v>
      </c>
      <c r="G25" s="7" t="inlineStr">
        <is>
          <t>This was SUCH a good recipe! I added pinches of garlic powder, seasoned salt and pepper to the sauce, along with a splash of red wine. My entire family was delighted. It's a keeper!</t>
        </is>
      </c>
    </row>
    <row r="26">
      <c r="A26" s="7" t="n">
        <v>49586</v>
      </c>
      <c r="B26" s="7" t="n">
        <v>744355</v>
      </c>
      <c r="C26" s="7" t="n">
        <v>2001413337</v>
      </c>
      <c r="D26" s="7" t="n">
        <v>48635</v>
      </c>
      <c r="E26" s="8" t="n">
        <v>42796</v>
      </c>
      <c r="F26" s="7" t="n">
        <v>5</v>
      </c>
      <c r="G26" s="7" t="inlineStr">
        <is>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is>
      </c>
    </row>
    <row r="27">
      <c r="A27" s="7" t="n">
        <v>11945</v>
      </c>
      <c r="B27" s="7" t="n">
        <v>308055</v>
      </c>
      <c r="C27" s="7" t="n">
        <v>1803725395</v>
      </c>
      <c r="D27" s="7" t="n">
        <v>316719</v>
      </c>
      <c r="E27" s="8" t="n">
        <v>42034</v>
      </c>
      <c r="F27" s="7" t="n">
        <v>0</v>
      </c>
      <c r="G27" s="7" t="inlineStr">
        <is>
          <t>Thanks Debra. This is so very delicious! This vegan cheese cake is simply the best I have eaten!</t>
        </is>
      </c>
    </row>
    <row r="28">
      <c r="A28" s="7" t="n">
        <v>19115</v>
      </c>
      <c r="B28" s="7" t="n">
        <v>159297</v>
      </c>
      <c r="C28" s="7" t="n">
        <v>65056</v>
      </c>
      <c r="D28" s="7" t="n">
        <v>92942</v>
      </c>
      <c r="E28" s="8" t="n">
        <v>38323</v>
      </c>
      <c r="F28" s="7" t="n">
        <v>5</v>
      </c>
      <c r="G28" s="7" t="inlineStr">
        <is>
          <t>I have had this recipe in my cookbook foreeeeever, because it just sounds like such an unusual and tasty dessert... well, my intuition was right and its exactly that!  I made a half recipe, but this still made a fairly large quanity- I just used a 9" glass deep dish pie plate to set this in, and the jelly is about 1/2"-3/4" thick.  I cut out small rounds with a metal cookie cutter, and they cut very well- this is fairly solid stuff.  Now, don't expect Jello if you make this!  It does have a nice dense texture and a sort of starchy mouth-feel from the sweet potaoes but still creamy due to the coconut.  It's not overly sweet, just mild and refreshing- I think the flavors in these would be divine with a Thai ice tea!  This is my first time using agar and i'm very happy with the results.  I didn't have screwpine leaves or extract, so I just used 1/2 tsp vanilla (foodsubs.com says the flavors are sort of similar).  I wasn't really sure about step 4- my agar dissolved just fine without boiling.  I wasn't sure if I needed to cook it really or not, so I got it hot, added the sweet potato mixture and just brought it to a simmer and poured into my pie pan.  You didn't say whether or not to peel the sweet potato, so I decided not to and pureed the heck out of it.  I didn't find that I needed to strain this, as step 3 directs, my food processor did just fine pureeing the sweet potatos, skins and all.  This is a lovely pale Creamsicle orange.  I drizzled the top of mine with some coconut milk, and it looks very pretty.  I ran a fork through the drizzles as you would to get a swirly effect with adding a glaze to cake icing (If you know what I mean?) so they're really lovely- looks great in the cut-outs too.  All in all, really excellent.  Great dessert for a heavy meal, I'm sure and a great snack too.  Neat, fun recipe with very tasty results!  Thanks, Watermelon, for another winner!!</t>
        </is>
      </c>
    </row>
    <row r="29">
      <c r="A29" s="7" t="n">
        <v>102894</v>
      </c>
      <c r="B29" s="7" t="n">
        <v>444947</v>
      </c>
      <c r="C29" s="7" t="n">
        <v>183565</v>
      </c>
      <c r="D29" s="7" t="n">
        <v>66459</v>
      </c>
      <c r="E29" s="8" t="n">
        <v>38542</v>
      </c>
      <c r="F29" s="7" t="n">
        <v>5</v>
      </c>
      <c r="G29" s="7" t="inlineStr">
        <is>
          <t xml:space="preserve">This is an awesome blueberry pound cake.  So moist!  I used the neufchatel cream cheese and french vanilla yogurt with 2 tsp. fresh lemon juice.  My grocery store did not carry lemon yogurt.  The substitutions were fine.  I will definitely be making this again!!!  </t>
        </is>
      </c>
    </row>
    <row r="30" ht="409.5" customHeight="1">
      <c r="A30" s="7" t="n">
        <v>45151</v>
      </c>
      <c r="B30" s="7" t="n">
        <v>307796</v>
      </c>
      <c r="C30" s="7" t="n">
        <v>403193</v>
      </c>
      <c r="D30" s="7" t="n">
        <v>198251</v>
      </c>
      <c r="E30" s="8" t="n">
        <v>39085</v>
      </c>
      <c r="F30" s="7" t="n">
        <v>5</v>
      </c>
      <c r="G30" s="9" t="inlineStr">
        <is>
          <t>This is so incredibly chocolaty and No you cannot tell that it is sauerkraut!  If you love chocolate, you will love this it is supperdy dupperdy chocolaty candy and I would say it is most like fudge._x000D_
In making this, first reaction is Wow that is a lot of chocolate and not too much milk and it was thick in the pot like chocolaty lava.  The temperature bounced around 210, then hit, and stayed at 216 and then quicker then lightning it was at 234 I am so glad that I have a digital thermometer so watch if you do not have an alarm thermometer, before I could get it off the stove it was 238.  Then be prepared because as soon as I put the chocolate chips in it became stiff and you really have to stir hard I recommend a mixer. Then as soon as I put the marshmallows in it got soft again.  In went the sauerkraut and in the refrigerator for about 3-4 hours to cool, I put it in a small pan so it is about a 1 Ã‚Â½ Ã¢â‚¬Å“thick.  Next time and yep, I might make this again for special occasions, I will put it in a bigger pan, and I will line it with wax paper because they are hard to get of the pan because they are so soft.  Overall, I liked it my son said 5Â½ stars caramel person so I just gave it 4_x000D_
_x000D_
I had to write an up date!  I sent some of this to my Dad, Who hates sauerkraut I did not tell him of course.  I wrapped it in a little box made a label with a â€œ?â€? on it and on the bottom it said â€œsecret ingredientâ€? just to mention, this was among 11 other kinds of fudge.  When he called, he said, â€œWow can you send me 5lbs of just the question mark fudge next year?â€?  When I finally did tell him the secret ingredient he laughed and did not believe me but still wanted 5lbs.  5 stars you have earned.</t>
        </is>
      </c>
    </row>
    <row r="31">
      <c r="A31" s="7" t="n">
        <v>92963</v>
      </c>
      <c r="B31" s="7" t="n">
        <v>999916</v>
      </c>
      <c r="C31" s="7" t="n">
        <v>281257</v>
      </c>
      <c r="D31" s="7" t="n">
        <v>51501</v>
      </c>
      <c r="E31" s="8" t="n">
        <v>40443</v>
      </c>
      <c r="F31" s="7" t="n">
        <v>5</v>
      </c>
      <c r="G31" s="7" t="inlineStr">
        <is>
          <t>Thank you so much for an excellent recipe! The reviews were very helpful and I read them AFTER I put it in the oven! I was salivating as I seared the meat and spread the horseradish mustard sauce over what was soon to be the bottom of the roast! My husband enjoyed the gravy more than most gravy I have cooked! The only tweak I did was to rub it with Spade L seasoning instead of salt and pepper. This made excellent enchiladas the next day. I had a rather large roast and was concerned about it drying out, but I used a roasting pan in the oven and actually had to discard some of the broth. It was not dry like the other reviews I read. I WILL be using this again!</t>
        </is>
      </c>
    </row>
    <row r="32" ht="409.5" customHeight="1">
      <c r="A32" s="7" t="n">
        <v>14945</v>
      </c>
      <c r="B32" s="7" t="n">
        <v>480752</v>
      </c>
      <c r="C32" s="7" t="n">
        <v>9869</v>
      </c>
      <c r="D32" s="7" t="n">
        <v>117300</v>
      </c>
      <c r="E32" s="8" t="n">
        <v>38535</v>
      </c>
      <c r="F32" s="7" t="n">
        <v>5</v>
      </c>
      <c r="G32" s="9" t="inlineStr">
        <is>
          <t>I was searching for a recipe that jazzed up peas and came across this..it was perfect as I had some cream that I needed to use up...I used frozen baby peas and they worked fine and tasted great..but I'm sure fresh ones would only make it better._x000D_
Thanks Di.</t>
        </is>
      </c>
    </row>
    <row r="33">
      <c r="A33" s="7" t="n">
        <v>82066</v>
      </c>
      <c r="B33" s="7" t="n">
        <v>980931</v>
      </c>
      <c r="C33" s="7" t="n">
        <v>185113</v>
      </c>
      <c r="D33" s="7" t="n">
        <v>47666</v>
      </c>
      <c r="E33" s="8" t="n">
        <v>40932</v>
      </c>
      <c r="F33" s="7" t="n">
        <v>5</v>
      </c>
      <c r="G33" s="7" t="inlineStr">
        <is>
          <t>I love this recipe.  The pancakes are hearty but not too heavy.  I even use old fashioned oats instead of quick cooking.  I switch out about 1/3 of the flour for wheat flour.  Thanks for sharing!</t>
        </is>
      </c>
    </row>
    <row r="34">
      <c r="A34" s="7" t="n">
        <v>93105</v>
      </c>
      <c r="B34" s="7" t="n">
        <v>962075</v>
      </c>
      <c r="C34" s="7" t="n">
        <v>330505</v>
      </c>
      <c r="D34" s="7" t="n">
        <v>182725</v>
      </c>
      <c r="E34" s="8" t="n">
        <v>39345</v>
      </c>
      <c r="F34" s="7" t="n">
        <v>4</v>
      </c>
      <c r="G34" s="7" t="inlineStr">
        <is>
          <t>Yummy.  Different than other carrot cakes I've had, as it is denser and of course, nuttier. :)  Definitely worth making!  The amount of cream cheese posted is correct and it makes just enough frosting for the top of a cake.</t>
        </is>
      </c>
    </row>
    <row r="35">
      <c r="A35" s="7" t="n">
        <v>35071</v>
      </c>
      <c r="B35" s="7" t="n">
        <v>91600</v>
      </c>
      <c r="C35" s="7" t="n">
        <v>679953</v>
      </c>
      <c r="D35" s="7" t="n">
        <v>302337</v>
      </c>
      <c r="E35" s="8" t="n">
        <v>39874</v>
      </c>
      <c r="F35" s="7" t="n">
        <v>5</v>
      </c>
      <c r="G35" s="7" t="inlineStr">
        <is>
          <t>Great dessert with a wonderful taste.  I added a tad bit more carrots.  DS and I really enjoyed this delicious desert. Made for Potluck tag.</t>
        </is>
      </c>
    </row>
    <row r="36" ht="405" customHeight="1">
      <c r="A36" s="7" t="n">
        <v>72589</v>
      </c>
      <c r="B36" s="7" t="n">
        <v>858792</v>
      </c>
      <c r="C36" s="7" t="n">
        <v>20480</v>
      </c>
      <c r="D36" s="7" t="n">
        <v>305140</v>
      </c>
      <c r="E36" s="8" t="n">
        <v>39624</v>
      </c>
      <c r="F36" s="7" t="n">
        <v>5</v>
      </c>
      <c r="G36" s="9" t="inlineStr">
        <is>
          <t>This was so good;I used a sweet onion and with a ripe tomato everything came out great!_x000D_
I did add more garlic a bit of safflower oil to my lemon juice; great combination.I made this for WT4.</t>
        </is>
      </c>
    </row>
    <row r="37">
      <c r="A37" s="7" t="n">
        <v>117204</v>
      </c>
      <c r="B37" s="7" t="n">
        <v>764995</v>
      </c>
      <c r="C37" s="7" t="n">
        <v>107135</v>
      </c>
      <c r="D37" s="7" t="n">
        <v>37999</v>
      </c>
      <c r="E37" s="8" t="n">
        <v>38709</v>
      </c>
      <c r="F37" s="7" t="n">
        <v>5</v>
      </c>
      <c r="G37" s="7" t="inlineStr">
        <is>
          <t xml:space="preserve"> my dh is czech  and his mom makes  these  she uses solo brand filling for the fruit it comes in different flavoring  like poppyseed   and apricot  and cherry  thank you for posting this dee </t>
        </is>
      </c>
    </row>
    <row r="38">
      <c r="A38" t="n">
        <v>109862</v>
      </c>
      <c r="B38" t="n">
        <v>344905</v>
      </c>
      <c r="C38" t="n">
        <v>2002014122</v>
      </c>
      <c r="D38" t="n">
        <v>75061</v>
      </c>
      <c r="E38" s="1" t="n">
        <v>43156</v>
      </c>
      <c r="F38" t="n">
        <v>5</v>
      </c>
      <c r="G38" t="inlineStr">
        <is>
          <t>I read a lot of the reviews but none asked the question: Is the calorie and fat content really correct? 989 calories per serving? If so, I am definitely NOT making this recipe. It says &amp;quot;per serving,&amp;quot; but I'm hoping that's incorrect. I'd love to make this. Also, how difficult to make without a bread machine?</t>
        </is>
      </c>
    </row>
    <row r="39">
      <c r="A39" s="7" t="n">
        <v>126240</v>
      </c>
      <c r="B39" s="7" t="n">
        <v>22832</v>
      </c>
      <c r="C39" s="7" t="n">
        <v>1170429</v>
      </c>
      <c r="D39" s="7" t="n">
        <v>481551</v>
      </c>
      <c r="E39" s="8" t="n">
        <v>42968</v>
      </c>
      <c r="F39" s="7" t="n">
        <v>5</v>
      </c>
      <c r="G39" s="7" t="inlineStr">
        <is>
          <t>Tasty and easy! I steamed the broccoli for a bit before tossing it in the sauce because I didn't think it would cook in the time suggested. I also cut the butter in half and used milk, and I didn't need reserved pasta water. Other than those minor changes, my fam loved it! Thanks for posting!</t>
        </is>
      </c>
    </row>
    <row r="40">
      <c r="A40" s="7" t="n">
        <v>112587</v>
      </c>
      <c r="B40" s="7" t="n">
        <v>723872</v>
      </c>
      <c r="C40" s="7" t="n">
        <v>445176</v>
      </c>
      <c r="D40" s="7" t="n">
        <v>114716</v>
      </c>
      <c r="E40" s="8" t="n">
        <v>39788</v>
      </c>
      <c r="F40" s="7" t="n">
        <v>5</v>
      </c>
      <c r="G40" s="7" t="inlineStr">
        <is>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is>
      </c>
    </row>
    <row r="41">
      <c r="A41" s="7" t="n">
        <v>90167</v>
      </c>
      <c r="B41" s="7" t="n">
        <v>743709</v>
      </c>
      <c r="C41" s="7" t="n">
        <v>53959</v>
      </c>
      <c r="D41" s="7" t="n">
        <v>341097</v>
      </c>
      <c r="E41" s="8" t="n">
        <v>40279</v>
      </c>
      <c r="F41" s="7" t="n">
        <v>5</v>
      </c>
      <c r="G41" s="7" t="inlineStr">
        <is>
          <t>This is one of my favorite pies. I love the ease in prep. This time I did cherry. I thought about the pineapple but since I am the only one in the household that loves pineapple I thought I would go with the familys favorite. One of these days I WILL use pineapple.</t>
        </is>
      </c>
    </row>
    <row r="42">
      <c r="A42" s="7" t="n">
        <v>9748</v>
      </c>
      <c r="B42" s="7" t="n">
        <v>1054712</v>
      </c>
      <c r="C42" s="7" t="n">
        <v>114522</v>
      </c>
      <c r="D42" s="7" t="n">
        <v>90948</v>
      </c>
      <c r="E42" s="8" t="n">
        <v>38155</v>
      </c>
      <c r="F42" s="7" t="n">
        <v>5</v>
      </c>
      <c r="G42" s="7" t="inlineStr">
        <is>
          <t>I made your recipe for supper and it was a big hit.  One of my daughters ate 3 portions. Thank you for a recipe that is easy to make, I will do it again.</t>
        </is>
      </c>
    </row>
    <row r="43">
      <c r="A43" s="7" t="n">
        <v>83026</v>
      </c>
      <c r="B43" s="7" t="n">
        <v>690450</v>
      </c>
      <c r="C43" s="7" t="n">
        <v>85183</v>
      </c>
      <c r="D43" s="7" t="n">
        <v>185909</v>
      </c>
      <c r="E43" s="8" t="n">
        <v>40461</v>
      </c>
      <c r="F43" s="7" t="n">
        <v>1</v>
      </c>
      <c r="G43" s="7" t="inlineStr">
        <is>
          <t>I thought this was the most disgusting thing ever. My husband and all 4 of my children hated them! I had to throw the whole pan away. What a disappointment.</t>
        </is>
      </c>
    </row>
    <row r="44" ht="409.5" customHeight="1">
      <c r="A44" s="7" t="n">
        <v>123817</v>
      </c>
      <c r="B44" s="7" t="n">
        <v>939758</v>
      </c>
      <c r="C44" s="7" t="n">
        <v>168069</v>
      </c>
      <c r="D44" s="7" t="n">
        <v>47195</v>
      </c>
      <c r="E44" s="8" t="n">
        <v>38319</v>
      </c>
      <c r="F44" s="7" t="n">
        <v>4</v>
      </c>
      <c r="G44" s="9" t="inlineStr">
        <is>
          <t>Thanks for a great recipe.  This is a sinch (sp?) to make and it a definite hit with kids...both for making and eating._x000D_
_x000D_
Everyone has potatoes on hand at all times, so for a quick snack when you have nothing much around the house, this is a winner.</t>
        </is>
      </c>
    </row>
    <row r="45">
      <c r="A45" s="7" t="n">
        <v>108613</v>
      </c>
      <c r="B45" s="7" t="n">
        <v>1109603</v>
      </c>
      <c r="C45" s="7" t="n">
        <v>2001752853</v>
      </c>
      <c r="D45" s="7" t="n">
        <v>155430</v>
      </c>
      <c r="E45" s="8" t="n">
        <v>43106</v>
      </c>
      <c r="F45" s="7" t="n">
        <v>5</v>
      </c>
      <c r="G45" s="7" t="inlineStr">
        <is>
          <t>Great recipe - easy to make as a vegan student. What I love is that I don't need a loaf tin to make this. Once baked, I slice it then freeze it all, that way it keeps for longer and I can make my sandwiches for lunch. Oh and I also use wholewheat flour and it works great!</t>
        </is>
      </c>
    </row>
    <row r="46">
      <c r="A46" s="7" t="n">
        <v>111960</v>
      </c>
      <c r="B46" s="7" t="n">
        <v>624301</v>
      </c>
      <c r="C46" s="7" t="n">
        <v>358796</v>
      </c>
      <c r="D46" s="7" t="n">
        <v>142201</v>
      </c>
      <c r="E46" s="8" t="n">
        <v>39358</v>
      </c>
      <c r="F46" s="7" t="n">
        <v>5</v>
      </c>
      <c r="G46" s="7" t="inlineStr">
        <is>
          <t>Excellent! I lightly sprinkled blackening seasoning all over the chicken instead of all that cajun. The sauce looks like a beautiful brown gravy from all the pan drippings, but tastes like a slightly sweet, tart dream. Served with mashed taters. Awesome flavor combo- thanks Annie!</t>
        </is>
      </c>
    </row>
    <row r="47">
      <c r="A47" s="7" t="n">
        <v>45698</v>
      </c>
      <c r="B47" s="7" t="n">
        <v>773029</v>
      </c>
      <c r="C47" s="7" t="n">
        <v>114681</v>
      </c>
      <c r="D47" s="7" t="n">
        <v>184790</v>
      </c>
      <c r="E47" s="8" t="n">
        <v>39304</v>
      </c>
      <c r="F47" s="7" t="n">
        <v>5</v>
      </c>
      <c r="G47" s="7" t="inlineStr">
        <is>
          <t>These recipes kind of make you go into a panic in that there is so much preparation and you are using your hard earned garden stuff.  You are just crossing fingers and toes that they turn out.  Guess what?  This one does!  The only thing I did different was to use a purple onion and a yellow one.  I doubled the recipe and got 14 pints.  I chopped my veggies a little on the bigger side as we like them a little bigger.  The sauce is not too sweet not too tart right smack in the middle and will allow you to go in any direction with it.  Cookin jo thanks a ton!</t>
        </is>
      </c>
    </row>
    <row r="48" ht="225" customHeight="1">
      <c r="A48" s="7" t="n">
        <v>109334</v>
      </c>
      <c r="B48" s="7" t="n">
        <v>599954</v>
      </c>
      <c r="C48" s="7" t="n">
        <v>29782</v>
      </c>
      <c r="D48" s="7" t="n">
        <v>89932</v>
      </c>
      <c r="E48" s="8" t="n">
        <v>39050</v>
      </c>
      <c r="F48" s="7" t="n">
        <v>5</v>
      </c>
      <c r="G48" s="9" t="inlineStr">
        <is>
          <t>Outstanding! We really enjoyed these buns with Recipe #58425 _x000D_
Thank  you very much for sharing the recipe.</t>
        </is>
      </c>
    </row>
    <row r="49">
      <c r="A49" s="7" t="n">
        <v>49761</v>
      </c>
      <c r="B49" s="7" t="n">
        <v>336301</v>
      </c>
      <c r="C49" s="7" t="n">
        <v>676723</v>
      </c>
      <c r="D49" s="7" t="n">
        <v>143616</v>
      </c>
      <c r="E49" s="8" t="n">
        <v>40167</v>
      </c>
      <c r="F49" s="7" t="n">
        <v>5</v>
      </c>
      <c r="G49" s="7" t="inlineStr">
        <is>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is>
      </c>
    </row>
    <row r="50">
      <c r="A50" s="7" t="n">
        <v>62527</v>
      </c>
      <c r="B50" s="7" t="n">
        <v>386044</v>
      </c>
      <c r="C50" s="7" t="n">
        <v>325909</v>
      </c>
      <c r="D50" s="7" t="n">
        <v>201257</v>
      </c>
      <c r="E50" s="8" t="n">
        <v>39430</v>
      </c>
      <c r="F50" s="7" t="n">
        <v>5</v>
      </c>
      <c r="G50" s="7" t="inlineStr">
        <is>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is>
      </c>
    </row>
    <row r="51" ht="270" customHeight="1">
      <c r="A51" t="n">
        <v>71334</v>
      </c>
      <c r="B51" t="n">
        <v>938096</v>
      </c>
      <c r="C51" t="n">
        <v>711375</v>
      </c>
      <c r="D51" t="n">
        <v>82102</v>
      </c>
      <c r="E51" s="1" t="n">
        <v>39558</v>
      </c>
      <c r="F51" t="n">
        <v>0</v>
      </c>
      <c r="G51" s="2" t="inlineStr">
        <is>
          <t>Really enjoyed.  If chicken is going to sit, I would recommend shortening cooking time._x000D_
_x000D_
Great change to chicken.</t>
        </is>
      </c>
    </row>
    <row r="52">
      <c r="A52" s="7" t="n">
        <v>119973</v>
      </c>
      <c r="B52" s="7" t="n">
        <v>28708</v>
      </c>
      <c r="C52" s="7" t="n">
        <v>198477</v>
      </c>
      <c r="D52" s="7" t="n">
        <v>51459</v>
      </c>
      <c r="E52" s="8" t="n">
        <v>38423</v>
      </c>
      <c r="F52" s="7" t="n">
        <v>4</v>
      </c>
      <c r="G52" s="7" t="inlineStr">
        <is>
          <t xml:space="preserve">this was good.  we couldn't wait until it got done!  </t>
        </is>
      </c>
    </row>
    <row r="53">
      <c r="A53" s="7" t="n">
        <v>54652</v>
      </c>
      <c r="B53" s="7" t="n">
        <v>1123776</v>
      </c>
      <c r="C53" s="7" t="n">
        <v>315055</v>
      </c>
      <c r="D53" s="7" t="n">
        <v>57679</v>
      </c>
      <c r="E53" s="8" t="n">
        <v>40448</v>
      </c>
      <c r="F53" s="7" t="n">
        <v>5</v>
      </c>
      <c r="G53" s="7" t="inlineStr">
        <is>
          <t>I love this recipe and can't believe I haven't rated this yet!  I could eat this for breakfast, lunch, and dinner...it is SOOO good!</t>
        </is>
      </c>
    </row>
    <row r="54">
      <c r="A54" s="7" t="n">
        <v>69420</v>
      </c>
      <c r="B54" s="7" t="n">
        <v>103694</v>
      </c>
      <c r="C54" s="7" t="n">
        <v>421874</v>
      </c>
      <c r="D54" s="7" t="n">
        <v>13459</v>
      </c>
      <c r="E54" s="8" t="n">
        <v>39420</v>
      </c>
      <c r="F54" s="7" t="n">
        <v>5</v>
      </c>
      <c r="G54" s="7" t="inlineStr">
        <is>
          <t>Was a great way to use up the leftover turkey from thanksgiving! Very tasty, I used peach salsa, Franks hot sauce, a little Johnny's seasoning salt, threw in some diced jalapenos to give it a extra kick, and doubled the garlic because my family are garlic fiends and it came out perfect!</t>
        </is>
      </c>
    </row>
    <row r="55">
      <c r="A55" s="7" t="n">
        <v>77441</v>
      </c>
      <c r="B55" s="7" t="n">
        <v>193514</v>
      </c>
      <c r="C55" s="7" t="n">
        <v>14410</v>
      </c>
      <c r="D55" s="7" t="n">
        <v>416689</v>
      </c>
      <c r="E55" s="8" t="n">
        <v>40289</v>
      </c>
      <c r="F55" s="7" t="n">
        <v>3</v>
      </c>
      <c r="G55" s="7" t="inlineStr">
        <is>
          <t>This was not bad. It was easy to put together, and made just enough sauce for our supper. However, I think I need to add more seasoning next time. It wasn't very highly flavored.</t>
        </is>
      </c>
    </row>
    <row r="56">
      <c r="A56" s="7" t="n">
        <v>79824</v>
      </c>
      <c r="B56" s="7" t="n">
        <v>336772</v>
      </c>
      <c r="C56" s="7" t="n">
        <v>1793281</v>
      </c>
      <c r="D56" s="7" t="n">
        <v>453845</v>
      </c>
      <c r="E56" s="8" t="n">
        <v>40910</v>
      </c>
      <c r="F56" s="7" t="n">
        <v>5</v>
      </c>
      <c r="G56" s="7" t="inlineStr">
        <is>
          <t>We recently found out that my daughter can't have gluten, so my usual scalloped potato recipe using flour is out of the picture now. I tried this one, since it doesn't have flour and it was fantastic!&lt;br/&gt;I used half &amp; half instead of cream, but other than that I made the recipe as written. Very good, better than my old standby recipe by far. This is my new scalloped potato recipe!</t>
        </is>
      </c>
    </row>
    <row r="57">
      <c r="A57" s="7" t="n">
        <v>11375</v>
      </c>
      <c r="B57" s="7" t="n">
        <v>135906</v>
      </c>
      <c r="C57" s="7" t="n">
        <v>613512</v>
      </c>
      <c r="D57" s="7" t="n">
        <v>407612</v>
      </c>
      <c r="E57" s="8" t="n">
        <v>40188</v>
      </c>
      <c r="F57" s="7" t="n">
        <v>5</v>
      </c>
      <c r="G57" s="7" t="inlineStr">
        <is>
          <t>I have made the orange honey butter before and it is great on tortilla's I look forward in trying the others- thanks for the post</t>
        </is>
      </c>
    </row>
    <row r="58">
      <c r="A58" s="7" t="n">
        <v>114357</v>
      </c>
      <c r="B58" s="7" t="n">
        <v>779073</v>
      </c>
      <c r="C58" s="7" t="n">
        <v>169969</v>
      </c>
      <c r="D58" s="7" t="n">
        <v>297972</v>
      </c>
      <c r="E58" s="8" t="n">
        <v>39596</v>
      </c>
      <c r="F58" s="7" t="n">
        <v>5</v>
      </c>
      <c r="G58" s="7" t="inlineStr">
        <is>
          <t>I love quick and easy.... and this was no exception! I did not have cooked potatoes so I just added them cut and raw to the pan with some diced onion. They were golden and pretty in about 12 minutes. We love kielbasa and have never had it with eggs.... DH said next time he wants me to add bacon (something I purposefully did not add LOL ) High Five! Zaar World Tour 4! Whine and Cheese Gang!</t>
        </is>
      </c>
    </row>
    <row r="59">
      <c r="A59" s="7" t="n">
        <v>80958</v>
      </c>
      <c r="B59" s="7" t="n">
        <v>295069</v>
      </c>
      <c r="C59" s="7" t="n">
        <v>6258</v>
      </c>
      <c r="D59" s="7" t="n">
        <v>20843</v>
      </c>
      <c r="E59" s="8" t="n">
        <v>37404</v>
      </c>
      <c r="F59" s="7" t="n">
        <v>5</v>
      </c>
      <c r="G59" s="7" t="inlineStr">
        <is>
          <t>Fouzia, thanks for a great, easy to prepare, tasty recipe.  I had my grandson here, and he is a very picky eater.  He like this dish a lot, and I was ever so pleased to make something that he would eat.  Good recipe!</t>
        </is>
      </c>
    </row>
    <row r="60" ht="409.5" customHeight="1">
      <c r="A60" s="7" t="n">
        <v>85239</v>
      </c>
      <c r="B60" s="7" t="n">
        <v>42042</v>
      </c>
      <c r="C60" s="7" t="n">
        <v>341338</v>
      </c>
      <c r="D60" s="7" t="n">
        <v>45134</v>
      </c>
      <c r="E60" s="8" t="n">
        <v>38953</v>
      </c>
      <c r="F60" s="7" t="n">
        <v>4</v>
      </c>
      <c r="G60" s="9" t="inlineStr">
        <is>
          <t xml:space="preserve">Hi Rhonda O -- I have never had steak done this way before although I have heard of it several times. I gave it a shot for supper tonight and we both thought it was really good. It is also relatively easy to make. I tend to go for foods a little spicier, so I did add some  horseradish (not much, about a tsp.) to the gravy, and it gave it a bit of a zing. Thank you so much. It is a keeper! We had Brussel Sprouts with butter sauce and mashed potatoes with it. _x000D_
_x000D_
I have just joined this group and have not yet posted any recipes, but am looking forward to doing so and to trying other new ones._x000D_
_x000D_
</t>
        </is>
      </c>
    </row>
    <row r="61" ht="405" customHeight="1">
      <c r="A61" s="7" t="n">
        <v>89040</v>
      </c>
      <c r="B61" s="7" t="n">
        <v>939972</v>
      </c>
      <c r="C61" s="7" t="n">
        <v>380637</v>
      </c>
      <c r="D61" s="7" t="n">
        <v>47195</v>
      </c>
      <c r="E61" s="8" t="n">
        <v>39118</v>
      </c>
      <c r="F61" s="7" t="n">
        <v>5</v>
      </c>
      <c r="G61" s="9" t="inlineStr">
        <is>
          <t>Awesome! Used the parchment paper method &amp; just a sprinkling of sea salt. Took just 6  minutes in my 1100 watt microwave._x000D_
_x000D_
This will become a regular favourite here. Thanks for sharing!</t>
        </is>
      </c>
    </row>
    <row r="62">
      <c r="A62" s="7" t="n">
        <v>64347</v>
      </c>
      <c r="B62" s="7" t="n">
        <v>269917</v>
      </c>
      <c r="C62" s="7" t="n">
        <v>359220</v>
      </c>
      <c r="D62" s="7" t="n">
        <v>32880</v>
      </c>
      <c r="E62" s="8" t="n">
        <v>39264</v>
      </c>
      <c r="F62" s="7" t="n">
        <v>4</v>
      </c>
      <c r="G62" s="7" t="inlineStr">
        <is>
          <t>So comforting!  DH and I whipped this bread up today with an extra large zucchini we got from the farmers mkt.  Very quick, baked up right at 60 minutes.  The crust was a bit hard, so I worried about the inside, but slathered with butter, it was very tasty and I really liked the addition of cinnamon and the baking spice that I subbed for the other spices.  Will make again!</t>
        </is>
      </c>
    </row>
    <row r="63">
      <c r="A63" s="7" t="n">
        <v>19602</v>
      </c>
      <c r="B63" s="7" t="n">
        <v>352677</v>
      </c>
      <c r="C63" s="7" t="n">
        <v>107135</v>
      </c>
      <c r="D63" s="7" t="n">
        <v>129723</v>
      </c>
      <c r="E63" s="8" t="n">
        <v>38548</v>
      </c>
      <c r="F63" s="7" t="n">
        <v>5</v>
      </c>
      <c r="G63" s="7" t="inlineStr">
        <is>
          <t>your right great dish i used jack cheese instead  just my preferance thanks for posting  this is a real get your man dish isnt it lol dee</t>
        </is>
      </c>
    </row>
    <row r="64">
      <c r="A64" t="n">
        <v>13712</v>
      </c>
      <c r="B64" t="n">
        <v>1072399</v>
      </c>
      <c r="C64" t="n">
        <v>452355</v>
      </c>
      <c r="D64" t="n">
        <v>223400</v>
      </c>
      <c r="E64" s="1" t="n">
        <v>39369</v>
      </c>
      <c r="F64" t="n">
        <v>5</v>
      </c>
      <c r="G64" t="inlineStr">
        <is>
          <t>My DH and I made this for lunch today.  It was outstanding!  Very easy to prepare, with really nice flavors and a perfect amount of heat.  The only things that we did differently, were to substitute champagne vinegar for the white wine vinegar (as I was out of the latter and figured the champagne vinegar would be close enough) and I used Trader Joe's spinach and chives fettucine noodles.  Also, as the recipe did not specify, after separating the garlic into cloves, we then chopped it up.  We garnished with plenty of fresh parmesan-reggiano cheese.  This is definitely a keeper and we will be making this again.  Thank you for posting!</t>
        </is>
      </c>
    </row>
    <row r="65">
      <c r="A65" s="7" t="n">
        <v>36298</v>
      </c>
      <c r="B65" s="7" t="n">
        <v>919399</v>
      </c>
      <c r="C65" s="7" t="n">
        <v>378148</v>
      </c>
      <c r="D65" s="7" t="n">
        <v>140839</v>
      </c>
      <c r="E65" s="8" t="n">
        <v>39847</v>
      </c>
      <c r="F65" s="7" t="n">
        <v>5</v>
      </c>
      <c r="G65" s="7" t="inlineStr">
        <is>
          <t>This was great! Better than most restaurant spaghetti and meatballs I've had.  Thanks!</t>
        </is>
      </c>
    </row>
    <row r="66">
      <c r="A66" s="7" t="n">
        <v>20827</v>
      </c>
      <c r="B66" s="7" t="n">
        <v>680644</v>
      </c>
      <c r="C66" s="7" t="n">
        <v>280271</v>
      </c>
      <c r="D66" s="7" t="n">
        <v>475667</v>
      </c>
      <c r="E66" s="8" t="n">
        <v>41290</v>
      </c>
      <c r="F66" s="7" t="n">
        <v>5</v>
      </c>
      <c r="G66" s="7" t="inlineStr">
        <is>
          <t>First words out of hubby's mouth was...Wow, this is really good!...That's a five star in my book...I did have thin chops w/o bone so cooked them 4 minutes on each side...I found the cinnamon on the dominate side...so if it's not a favorite of yours I would suggest cutting it back a bit...this was quick and easy...no marinating time needed...thanks for posting this...it's a keeper...=)</t>
        </is>
      </c>
    </row>
    <row r="67">
      <c r="A67" s="7" t="n">
        <v>61786</v>
      </c>
      <c r="B67" s="7" t="n">
        <v>169052</v>
      </c>
      <c r="C67" s="7" t="n">
        <v>92385</v>
      </c>
      <c r="D67" s="7" t="n">
        <v>52815</v>
      </c>
      <c r="E67" s="8" t="n">
        <v>38502</v>
      </c>
      <c r="F67" s="7" t="n">
        <v>5</v>
      </c>
      <c r="G67" s="7" t="inlineStr">
        <is>
          <t>Great flavor! I cut the recipe in half but still used 150 g mushrooms. Simmered it very slowly so that it took about 35 minutes. Thanks for posting this keeper.</t>
        </is>
      </c>
    </row>
    <row r="68">
      <c r="A68" s="7" t="n">
        <v>112551</v>
      </c>
      <c r="B68" s="7" t="n">
        <v>175159</v>
      </c>
      <c r="C68" s="7" t="n">
        <v>95743</v>
      </c>
      <c r="D68" s="7" t="n">
        <v>118686</v>
      </c>
      <c r="E68" s="8" t="n">
        <v>38584</v>
      </c>
      <c r="F68" s="7" t="n">
        <v>5</v>
      </c>
      <c r="G68" s="7" t="inlineStr">
        <is>
          <t>Marvelous salad.  The more herbs the better.  I made extra for lunch tomorrow but I'm afraid it's all gone, already.</t>
        </is>
      </c>
    </row>
    <row r="69">
      <c r="A69" s="7" t="n">
        <v>42586</v>
      </c>
      <c r="B69" s="7" t="n">
        <v>1001071</v>
      </c>
      <c r="C69" s="7" t="n">
        <v>158560</v>
      </c>
      <c r="D69" s="7" t="n">
        <v>19410</v>
      </c>
      <c r="E69" s="8" t="n">
        <v>38282</v>
      </c>
      <c r="F69" s="7" t="n">
        <v>4</v>
      </c>
      <c r="G69" s="7" t="inlineStr">
        <is>
          <t>Easy and very tasty. I used chicken thighs, as we like it dark. Also quadrupled the curry in the topping, which I thought helped -- until then you couldn't really taste it, was overpowered by yoghurt/orange/ginger flavors. Looking forward to having the leftovers for lunch today!</t>
        </is>
      </c>
    </row>
    <row r="70">
      <c r="A70" s="7" t="n">
        <v>43765</v>
      </c>
      <c r="B70" s="7" t="n">
        <v>1117118</v>
      </c>
      <c r="C70" s="7" t="n">
        <v>383346</v>
      </c>
      <c r="D70" s="7" t="n">
        <v>503886</v>
      </c>
      <c r="E70" s="8" t="n">
        <v>41480</v>
      </c>
      <c r="F70" s="7" t="n">
        <v>5</v>
      </c>
      <c r="G70" s="7" t="inlineStr">
        <is>
          <t>DH liked this tuna salad a lot in a sandwich.  Me it was 4 stars.  But DH liked this one so much so that&amp;#039;s 5 stars :)  He will want it again soon for lunch.  Like others, I&amp;#039;m not too sure about the eggs with the tuna.  Thanks Dr. Jenny :)  Made for ZWT 9</t>
        </is>
      </c>
    </row>
    <row r="71">
      <c r="A71" s="7" t="n">
        <v>45571</v>
      </c>
      <c r="B71" s="7" t="n">
        <v>1008322</v>
      </c>
      <c r="C71" s="7" t="n">
        <v>1033986</v>
      </c>
      <c r="D71" s="7" t="n">
        <v>56366</v>
      </c>
      <c r="E71" s="8" t="n">
        <v>40247</v>
      </c>
      <c r="F71" s="7" t="n">
        <v>5</v>
      </c>
      <c r="G71" s="7" t="inlineStr">
        <is>
          <t>This was a huge hit! I was worried that a soup wouldn't fulfill a total meal by the family, but this recipe was nearly gone at the end of the night, NO LEFTOVERS! I did make a few adjustments though. I added rotel to the soup for a little heat. It was not overly spicy because my 16 month old was able to eat perfectly fine. I also omitted the celery &amp; leaves. But all in all, I enjoyed this soup fresh as well as reheated.</t>
        </is>
      </c>
    </row>
    <row r="72">
      <c r="A72" s="7" t="n">
        <v>71920</v>
      </c>
      <c r="B72" s="7" t="n">
        <v>256730</v>
      </c>
      <c r="C72" s="7" t="n">
        <v>399647</v>
      </c>
      <c r="D72" s="7" t="n">
        <v>26205</v>
      </c>
      <c r="E72" s="8" t="n">
        <v>39425</v>
      </c>
      <c r="F72" s="7" t="n">
        <v>5</v>
      </c>
      <c r="G72" s="7" t="inlineStr">
        <is>
          <t>I made a top and bottom pie crust and it turned out great. Nice and flaky and it tasted good. There was a bit left over so I rolled it out and toped with cinnysugar and baked along with the pie. This was very easy to make.</t>
        </is>
      </c>
    </row>
    <row r="73">
      <c r="A73" s="7" t="n">
        <v>15682</v>
      </c>
      <c r="B73" s="7" t="n">
        <v>140489</v>
      </c>
      <c r="C73" s="7" t="n">
        <v>221351</v>
      </c>
      <c r="D73" s="7" t="n">
        <v>61816</v>
      </c>
      <c r="E73" s="8" t="n">
        <v>39158</v>
      </c>
      <c r="F73" s="7" t="n">
        <v>5</v>
      </c>
      <c r="G73" s="7" t="inlineStr">
        <is>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is>
      </c>
    </row>
    <row r="74">
      <c r="A74" s="7" t="n">
        <v>44813</v>
      </c>
      <c r="B74" s="7" t="n">
        <v>1059791</v>
      </c>
      <c r="C74" s="7" t="n">
        <v>49304</v>
      </c>
      <c r="D74" s="7" t="n">
        <v>91236</v>
      </c>
      <c r="E74" s="8" t="n">
        <v>38166</v>
      </c>
      <c r="F74" s="7" t="n">
        <v>5</v>
      </c>
      <c r="G74" s="7" t="inlineStr">
        <is>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is>
      </c>
    </row>
    <row r="75">
      <c r="A75" s="7" t="n">
        <v>11583</v>
      </c>
      <c r="B75" s="7" t="n">
        <v>1019661</v>
      </c>
      <c r="C75" s="7" t="n">
        <v>128473</v>
      </c>
      <c r="D75" s="7" t="n">
        <v>304100</v>
      </c>
      <c r="E75" s="8" t="n">
        <v>39916</v>
      </c>
      <c r="F75" s="7" t="n">
        <v>4</v>
      </c>
      <c r="G75" s="7" t="inlineStr">
        <is>
          <t>This recipe makes a lovely pie crust Laura. Thanks to you and your dad for sharing. I'd never made crust with oil before and was a little aprehensive but it worked well.  It made a nice thick, light and flaky crust, that was enjoyed by all. A perfect bed for your best ever apple pie.</t>
        </is>
      </c>
    </row>
    <row r="76">
      <c r="A76" s="7" t="n">
        <v>108155</v>
      </c>
      <c r="B76" s="7" t="n">
        <v>168830</v>
      </c>
      <c r="C76" s="7" t="n">
        <v>355621</v>
      </c>
      <c r="D76" s="7" t="n">
        <v>101027</v>
      </c>
      <c r="E76" s="8" t="n">
        <v>39004</v>
      </c>
      <c r="F76" s="7" t="n">
        <v>4</v>
      </c>
      <c r="G76" s="7" t="inlineStr">
        <is>
          <t>These were great! Took me awhile to finish because they made so many (at least 90) but it was easy and well worth it! Very popular at the party I served them at. Only thing I didn't like was how dry the insides were. Id rather have it more moist and soft. So next time I'll probably not dry them out as much. I had no trouble dipping them at all and they ended up perfectly round. I rolled the sugar mixture with a rolling pin and cut circles with a small cookie cutter. I also think that less shortening should be used so the chocolate doesn't get so greasy and is more hard. =) YUM!</t>
        </is>
      </c>
    </row>
    <row r="77" ht="409.5" customHeight="1">
      <c r="A77" s="7" t="n">
        <v>1337</v>
      </c>
      <c r="B77" s="7" t="n">
        <v>254465</v>
      </c>
      <c r="C77" s="7" t="n">
        <v>56463</v>
      </c>
      <c r="D77" s="7" t="n">
        <v>145781</v>
      </c>
      <c r="E77" s="8" t="n">
        <v>39431</v>
      </c>
      <c r="F77" s="7" t="n">
        <v>5</v>
      </c>
      <c r="G77" s="9" t="inlineStr">
        <is>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is>
      </c>
    </row>
    <row r="78">
      <c r="A78" s="7" t="n">
        <v>8430</v>
      </c>
      <c r="B78" s="7" t="n">
        <v>1055301</v>
      </c>
      <c r="C78" s="7" t="n">
        <v>237330</v>
      </c>
      <c r="D78" s="7" t="n">
        <v>198073</v>
      </c>
      <c r="E78" s="8" t="n">
        <v>39115</v>
      </c>
      <c r="F78" s="7" t="n">
        <v>5</v>
      </c>
      <c r="G78" s="7" t="inlineStr">
        <is>
          <t>It doesn't get any easier than this, and tasty too! I left out the garlic powder since my homemade sauce is very garlicky already. Hot italian sausage was perfect. Thanks, Lainey. I'll be making these again.</t>
        </is>
      </c>
    </row>
    <row r="79" ht="409.5" customHeight="1">
      <c r="A79" s="7" t="n">
        <v>52417</v>
      </c>
      <c r="B79" s="7" t="n">
        <v>984277</v>
      </c>
      <c r="C79" s="7" t="n">
        <v>234656</v>
      </c>
      <c r="D79" s="7" t="n">
        <v>9272</v>
      </c>
      <c r="E79" s="8" t="n">
        <v>38631</v>
      </c>
      <c r="F79" s="7" t="n">
        <v>5</v>
      </c>
      <c r="G79" s="9" t="inlineStr">
        <is>
          <t>It seems kind of pointless to add another 5 star review, but this is a fantastic recipe!  I got 5 pints out of it, with enough left over for a little snack.  Before being processed into jars, I found it to be a little sweet for my taste, but I just opened my first jar, and the taste is perfect!  I've never canned anything before, and this recipe is easy to make and a definate confidence booster.  I'll be making this alot.  _x000D_
_x000D_
BTW, I found that an easy way to peel that many tomatoes (shamelessly stolen from Marcella Hazen) is to cut an X in the bottom and drop them into boiling water for 1 minutes.  Then drop them into ice water to stop the cooking.  The skin slides right off.</t>
        </is>
      </c>
    </row>
    <row r="80">
      <c r="A80" s="7" t="n">
        <v>104157</v>
      </c>
      <c r="B80" s="7" t="n">
        <v>102243</v>
      </c>
      <c r="C80" s="7" t="n">
        <v>498271</v>
      </c>
      <c r="D80" s="7" t="n">
        <v>456610</v>
      </c>
      <c r="E80" s="8" t="n">
        <v>41310</v>
      </c>
      <c r="F80" s="7" t="n">
        <v>4</v>
      </c>
      <c r="G80" s="7" t="inlineStr">
        <is>
          <t>Terrific!  I used a mild jalapeno for the bell pepper, otherwise made as directed.  The peppers, onions, and tomatoes really elevate the eggs into a tasty and hearty breakfast - thanks for sharing the recipe!</t>
        </is>
      </c>
    </row>
    <row r="81">
      <c r="A81" s="7" t="n">
        <v>23947</v>
      </c>
      <c r="B81" s="7" t="n">
        <v>1074828</v>
      </c>
      <c r="C81" s="7" t="n">
        <v>1800245673</v>
      </c>
      <c r="D81" s="7" t="n">
        <v>135350</v>
      </c>
      <c r="E81" s="8" t="n">
        <v>41591</v>
      </c>
      <c r="F81" s="7" t="n">
        <v>0</v>
      </c>
      <c r="G81" s="7" t="inlineStr">
        <is>
          <t>Well, I&amp;#039;m only a kitchen cook. But, I know the basic principals of making a roux. So, I&amp;#039;m glad to say my roux came out creamy delicious, and after adding the cheese, the sauce came out yummy, cheesy, creamy delicious. Now, I&amp;#039;ve baked this for a church dinner tonight, so I haven&amp;#039;t tasted it. But, I feel comfortable based on the roux/cheese sauce that it will be ok.</t>
        </is>
      </c>
    </row>
    <row r="82">
      <c r="A82" s="7" t="n">
        <v>108440</v>
      </c>
      <c r="B82" s="7" t="n">
        <v>108769</v>
      </c>
      <c r="C82" s="7" t="n">
        <v>158039</v>
      </c>
      <c r="D82" s="7" t="n">
        <v>79312</v>
      </c>
      <c r="E82" s="8" t="n">
        <v>39447</v>
      </c>
      <c r="F82" s="7" t="n">
        <v>5</v>
      </c>
      <c r="G82" s="7" t="inlineStr">
        <is>
          <t>Good - used skim milk instead of half and half.</t>
        </is>
      </c>
    </row>
    <row r="83">
      <c r="A83" s="7" t="n">
        <v>112053</v>
      </c>
      <c r="B83" s="7" t="n">
        <v>210670</v>
      </c>
      <c r="C83" s="7" t="n">
        <v>46660</v>
      </c>
      <c r="D83" s="7" t="n">
        <v>48364</v>
      </c>
      <c r="E83" s="8" t="n">
        <v>37722</v>
      </c>
      <c r="F83" s="7" t="n">
        <v>5</v>
      </c>
      <c r="G83" s="7" t="inlineStr">
        <is>
          <t>These were so cute!  Yummy too! My stepson had fun helping me make them, and he loved eating them! Despite your advice, he started trying to spin them on the table, which made for a chocolatey clean-up :) A fun recipe that I will use again!  Thanks!</t>
        </is>
      </c>
    </row>
    <row r="84">
      <c r="A84" s="7" t="n">
        <v>51656</v>
      </c>
      <c r="B84" s="7" t="n">
        <v>542721</v>
      </c>
      <c r="C84" s="7" t="n">
        <v>1517485</v>
      </c>
      <c r="D84" s="7" t="n">
        <v>292231</v>
      </c>
      <c r="E84" s="8" t="n">
        <v>40188</v>
      </c>
      <c r="F84" s="7" t="n">
        <v>5</v>
      </c>
      <c r="G84" s="7" t="inlineStr">
        <is>
          <t>Awesome recipe! Very filling</t>
        </is>
      </c>
    </row>
    <row r="85">
      <c r="A85" s="7" t="n">
        <v>77111</v>
      </c>
      <c r="B85" s="7" t="n">
        <v>539253</v>
      </c>
      <c r="C85" s="7" t="n">
        <v>11297</v>
      </c>
      <c r="D85" s="7" t="n">
        <v>88419</v>
      </c>
      <c r="E85" s="8" t="n">
        <v>38558</v>
      </c>
      <c r="F85" s="7" t="n">
        <v>4</v>
      </c>
      <c r="G85" s="7" t="inlineStr">
        <is>
          <t>Very easy to make. A bonus is being low fat if you use light sour cream. :)</t>
        </is>
      </c>
    </row>
    <row r="86">
      <c r="A86" s="7" t="n">
        <v>67873</v>
      </c>
      <c r="B86" s="7" t="n">
        <v>356778</v>
      </c>
      <c r="C86" s="7" t="n">
        <v>297761</v>
      </c>
      <c r="D86" s="7" t="n">
        <v>42603</v>
      </c>
      <c r="E86" s="8" t="n">
        <v>39278</v>
      </c>
      <c r="F86" s="7" t="n">
        <v>5</v>
      </c>
      <c r="G86" s="7" t="inlineStr">
        <is>
          <t>Wow! I am so impressed that such a simple and quick recipe can taste so good! I followed your directions exactly. I used Panko breadcrumbs as that is all I had, (and I used a Recipezaar recipe of Italian herb mix I got on the website, but can't remember what number). I don't even eat Ranch on my salads, and as someone of Italian heritage, it was against my nature to couple the Italian seasoning with it, but I have to confess, it was delicious. I plan on making this for my next large group gathering -- that's how tasty, easy and inexpensive this recipe is! Thanks!</t>
        </is>
      </c>
    </row>
    <row r="87">
      <c r="A87" s="7" t="n">
        <v>83529</v>
      </c>
      <c r="B87" s="7" t="n">
        <v>264987</v>
      </c>
      <c r="C87" s="7" t="n">
        <v>463435</v>
      </c>
      <c r="D87" s="7" t="n">
        <v>304533</v>
      </c>
      <c r="E87" s="8" t="n">
        <v>40589</v>
      </c>
      <c r="F87" s="7" t="n">
        <v>5</v>
      </c>
      <c r="G87" s="7" t="inlineStr">
        <is>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is>
      </c>
    </row>
    <row r="88" ht="409.5" customHeight="1">
      <c r="A88" s="7" t="n">
        <v>106003</v>
      </c>
      <c r="B88" s="7" t="n">
        <v>975046</v>
      </c>
      <c r="C88" s="7" t="n">
        <v>29196</v>
      </c>
      <c r="D88" s="7" t="n">
        <v>17669</v>
      </c>
      <c r="E88" s="8" t="n">
        <v>37475</v>
      </c>
      <c r="F88" s="7" t="n">
        <v>4</v>
      </c>
      <c r="G88" s="9" t="inlineStr">
        <is>
          <t>I made this with what I thought were "small' potatoes, and found they took more like 15 minutes to cook. I also placed the frozen peas in a colander and ran hot water over them to defrost them before adding them along with the milk etc. for the last 5 minutes (step8). _x000D_
This recipe was easy, and really tasty, and I will definately make it again.</t>
        </is>
      </c>
    </row>
    <row r="89">
      <c r="A89" s="7" t="n">
        <v>123860</v>
      </c>
      <c r="B89" s="7" t="n">
        <v>475844</v>
      </c>
      <c r="C89" s="7" t="n">
        <v>1800510544</v>
      </c>
      <c r="D89" s="7" t="n">
        <v>505862</v>
      </c>
      <c r="E89" s="8" t="n">
        <v>41615</v>
      </c>
      <c r="F89" s="7" t="n">
        <v>5</v>
      </c>
      <c r="G89" s="7" t="inlineStr">
        <is>
          <t>Tried it for dinner tonight, and found myself eating the potatoes before I added the chicken. Great recipe and definitely a meal I will continue to make. It&amp;#039;s also great with salad.</t>
        </is>
      </c>
    </row>
    <row r="90">
      <c r="A90" s="7" t="n">
        <v>35601</v>
      </c>
      <c r="B90" s="7" t="n">
        <v>1017265</v>
      </c>
      <c r="C90" s="7" t="n">
        <v>1242782</v>
      </c>
      <c r="D90" s="7" t="n">
        <v>119604</v>
      </c>
      <c r="E90" s="8" t="n">
        <v>39922</v>
      </c>
      <c r="F90" s="7" t="n">
        <v>5</v>
      </c>
      <c r="G90" s="7" t="inlineStr">
        <is>
          <t>This recipe is AWESOME!! I tried it once and within the next week I had requests to make 4 more! The recipe is easy, fast and the keylime and mango flavors are perfectly balanced. Thanks for posting this recipe- its been added to my favorites!</t>
        </is>
      </c>
    </row>
    <row r="91">
      <c r="A91" s="7" t="n">
        <v>77554</v>
      </c>
      <c r="B91" s="7" t="n">
        <v>657223</v>
      </c>
      <c r="C91" s="7" t="n">
        <v>337426</v>
      </c>
      <c r="D91" s="7" t="n">
        <v>27208</v>
      </c>
      <c r="E91" s="8" t="n">
        <v>40721</v>
      </c>
      <c r="F91" s="7" t="n">
        <v>5</v>
      </c>
      <c r="G91" s="7" t="inlineStr">
        <is>
          <t>Great recipe to make first of the week. But you would think the leftovers would last till the weekend... not the case!  I threw in a large 5.7 lb chuck roast in along with the season packs. At first I was a bit worried about that size of a roast being dry. No way, it was falling apart just from me trying to handle it. I put 1 cup of water along with some baby carrots and quartered potatoes. Completely juicy and flavorful!! Thank you for sharing. Oh and I did sear the sides of the roast prior to cooking in the pot. This may or may not have helped but it turned out so great I wouldn't think of doing it any other way.&lt;br/&gt;&lt;br/&gt;Thanks Again!!</t>
        </is>
      </c>
    </row>
    <row r="92">
      <c r="A92" s="7" t="n">
        <v>57611</v>
      </c>
      <c r="B92" s="7" t="n">
        <v>633513</v>
      </c>
      <c r="C92" s="7" t="n">
        <v>172640</v>
      </c>
      <c r="D92" s="7" t="n">
        <v>88735</v>
      </c>
      <c r="E92" s="8" t="n">
        <v>38601</v>
      </c>
      <c r="F92" s="7" t="n">
        <v>5</v>
      </c>
      <c r="G92" s="7" t="inlineStr">
        <is>
          <t>I made this for the first time tonight since it had great reviews and I had the indgredients on hand.  Very good!  Chicken was very juicy!  The pets got a little taste and they were all looking for more.</t>
        </is>
      </c>
    </row>
    <row r="93">
      <c r="A93" s="7" t="n">
        <v>79490</v>
      </c>
      <c r="B93" s="7" t="n">
        <v>258071</v>
      </c>
      <c r="C93" s="7" t="n">
        <v>593927</v>
      </c>
      <c r="D93" s="7" t="n">
        <v>322492</v>
      </c>
      <c r="E93" s="8" t="n">
        <v>40737</v>
      </c>
      <c r="F93" s="7" t="n">
        <v>4</v>
      </c>
      <c r="G93" s="7" t="inlineStr">
        <is>
          <t>4 1/2 stars. DD (toddler) loves it. It is fresh tasting, with the fresh herbs including mint. As the introduction says it is a bit different than typical omelets and I had to take a bit of stars off because it wasn't my favorite. I used, sweet butter (unsalted), sea salt and freshly ground black pepper. Each omelette fit perfectly into my small frying pan and looked perfect.</t>
        </is>
      </c>
    </row>
    <row r="94">
      <c r="A94" s="7" t="n">
        <v>120078</v>
      </c>
      <c r="B94" s="7" t="n">
        <v>126767</v>
      </c>
      <c r="C94" s="7" t="n">
        <v>1072593</v>
      </c>
      <c r="D94" s="7" t="n">
        <v>285449</v>
      </c>
      <c r="E94" s="8" t="n">
        <v>41376</v>
      </c>
      <c r="F94" s="7" t="n">
        <v>5</v>
      </c>
      <c r="G94" s="7" t="inlineStr">
        <is>
          <t>Love the rigor of bread baking.  Maybe I&amp;#039;m a &amp;#039;gluten&amp;#039; for punishment.</t>
        </is>
      </c>
    </row>
    <row r="95">
      <c r="A95" s="7" t="n">
        <v>66272</v>
      </c>
      <c r="B95" s="7" t="n">
        <v>110855</v>
      </c>
      <c r="C95" s="7" t="n">
        <v>2705799</v>
      </c>
      <c r="D95" s="7" t="n">
        <v>37560</v>
      </c>
      <c r="E95" s="8" t="n">
        <v>42073</v>
      </c>
      <c r="F95" s="7" t="n">
        <v>5</v>
      </c>
      <c r="G95" s="7" t="inlineStr">
        <is>
          <t>These were good. I forgot to add the egg and they still didn&amp;#039;t fall apart.</t>
        </is>
      </c>
    </row>
    <row r="96">
      <c r="A96" s="7" t="n">
        <v>126431</v>
      </c>
      <c r="B96" s="7" t="n">
        <v>545266</v>
      </c>
      <c r="C96" s="7" t="n">
        <v>316094</v>
      </c>
      <c r="D96" s="7" t="n">
        <v>391793</v>
      </c>
      <c r="E96" s="8" t="n">
        <v>40769</v>
      </c>
      <c r="F96" s="7" t="n">
        <v>5</v>
      </c>
      <c r="G96" s="7" t="inlineStr">
        <is>
          <t>These muffins are great!  I had 3 overripe bananas to use up (probably closer to 1 1/2 cups than 1 cup) but I just dumped them all in and the muffins turned out fine.  They are very fluffy with a light texture and just mildly sweet.  Thanks for posting!</t>
        </is>
      </c>
    </row>
    <row r="97">
      <c r="A97" s="7" t="n">
        <v>74551</v>
      </c>
      <c r="B97" s="7" t="n">
        <v>449859</v>
      </c>
      <c r="C97" s="7" t="n">
        <v>60694</v>
      </c>
      <c r="D97" s="7" t="n">
        <v>73224</v>
      </c>
      <c r="E97" s="8" t="n">
        <v>38340</v>
      </c>
      <c r="F97" s="7" t="n">
        <v>5</v>
      </c>
      <c r="G97" s="7" t="inlineStr">
        <is>
          <t>These were awesome cookies!  They were nice and soft, with just enough peanut butter flavour.  They two types of chips were great in these cookies. My hubby and I devoured these cookies!</t>
        </is>
      </c>
    </row>
    <row r="98">
      <c r="A98" s="7" t="n">
        <v>86922</v>
      </c>
      <c r="B98" s="7" t="n">
        <v>313436</v>
      </c>
      <c r="C98" s="7" t="n">
        <v>2567620</v>
      </c>
      <c r="D98" s="7" t="n">
        <v>410185</v>
      </c>
      <c r="E98" s="8" t="n">
        <v>41260</v>
      </c>
      <c r="F98" s="7" t="n">
        <v>5</v>
      </c>
      <c r="G98" s="7" t="inlineStr">
        <is>
          <t>Absolutely love this recipe...it tastes just like what they serve at Chili's. I add both shrimp and chicken also i chop up the green onions and put them on top!...delicious! Must be a pasta lover to like this recipe....</t>
        </is>
      </c>
    </row>
    <row r="99">
      <c r="A99" s="7" t="n">
        <v>11518</v>
      </c>
      <c r="B99" s="7" t="n">
        <v>28710</v>
      </c>
      <c r="C99" s="7" t="n">
        <v>33270</v>
      </c>
      <c r="D99" s="7" t="n">
        <v>51459</v>
      </c>
      <c r="E99" s="8" t="n">
        <v>38620</v>
      </c>
      <c r="F99" s="7" t="n">
        <v>5</v>
      </c>
      <c r="G99" s="7" t="inlineStr">
        <is>
          <t>One of my favorits... its percefet in the cold rainy weather here in cali ( amazingly it dose get cold in the desert in the winter)</t>
        </is>
      </c>
    </row>
    <row r="100">
      <c r="A100" s="7" t="n">
        <v>99168</v>
      </c>
      <c r="B100" s="7" t="n">
        <v>589559</v>
      </c>
      <c r="C100" s="7" t="n">
        <v>369715</v>
      </c>
      <c r="D100" s="7" t="n">
        <v>81549</v>
      </c>
      <c r="E100" s="8" t="n">
        <v>39506</v>
      </c>
      <c r="F100" s="7" t="n">
        <v>5</v>
      </c>
      <c r="G100" s="7" t="inlineStr">
        <is>
          <t>Wow this is really good. I was searching Zaar for a dessert and came across this. I am really glad I made this. I doubled the recipe because I only had a 29 ounce can of pumpkin. I followed the recipe as written other then I didn't add the cinnamon as I'm not a huge fan. I also used Sugar Free Cool Whip. Hubby ate half of this before I even got to put it in the fridge. We will be making this more often. Thanks for the quick, easy and tasty dessert.</t>
        </is>
      </c>
    </row>
    <row r="101">
      <c r="A101" s="7" t="n">
        <v>29699</v>
      </c>
      <c r="B101" s="7" t="n">
        <v>303995</v>
      </c>
      <c r="C101" s="7" t="n">
        <v>1609858</v>
      </c>
      <c r="D101" s="7" t="n">
        <v>205067</v>
      </c>
      <c r="E101" s="8" t="n">
        <v>40971</v>
      </c>
      <c r="F101" s="7" t="n">
        <v>4</v>
      </c>
      <c r="G101" s="7" t="inlineStr">
        <is>
          <t>Pretty easy to put together and a nice taste and texture.  A yummy frozen dessert option for those who may be avoiding dairy.  Also a good idea to use up that cranberry sauce that may have been sitting around in your cupboard for a while.  Thanks for the recipe.</t>
        </is>
      </c>
    </row>
    <row r="102">
      <c r="A102" s="7" t="n">
        <v>112499</v>
      </c>
      <c r="B102" s="7" t="n">
        <v>779537</v>
      </c>
      <c r="C102" s="7" t="n">
        <v>500476</v>
      </c>
      <c r="D102" s="7" t="n">
        <v>69868</v>
      </c>
      <c r="E102" s="8" t="n">
        <v>40096</v>
      </c>
      <c r="F102" s="7" t="n">
        <v>5</v>
      </c>
      <c r="G102" s="7" t="inlineStr">
        <is>
          <t>These couldn't be any better.  I will definitely be making them regularly.  Thanks for the great recipe.</t>
        </is>
      </c>
    </row>
    <row r="103">
      <c r="A103" s="7" t="n">
        <v>48908</v>
      </c>
      <c r="B103" s="7" t="n">
        <v>555859</v>
      </c>
      <c r="C103" s="7" t="n">
        <v>2324285</v>
      </c>
      <c r="D103" s="7" t="n">
        <v>455607</v>
      </c>
      <c r="E103" s="8" t="n">
        <v>41288</v>
      </c>
      <c r="F103" s="7" t="n">
        <v>5</v>
      </c>
      <c r="G103" s="7" t="inlineStr">
        <is>
          <t>Great recipe!  Making bread is kind of my achille's heal, but this turned out perfectly and was very easy to make.  It is, however, not quite the same as the bread I've had at Ethiopian restaurants.  Theirs has a nice sourdough flavor, and is very thick.  This one was still great though, and I especially loved the addition of brown sugar.  It ended up tasting like slightly sweet crepes- it paired perfectly with the African meal I made.  Thanks for sharing.</t>
        </is>
      </c>
    </row>
    <row r="104">
      <c r="A104" s="7" t="n">
        <v>43392</v>
      </c>
      <c r="B104" s="7" t="n">
        <v>662127</v>
      </c>
      <c r="C104" s="7" t="n">
        <v>486725</v>
      </c>
      <c r="D104" s="7" t="n">
        <v>114908</v>
      </c>
      <c r="E104" s="8" t="n">
        <v>40580</v>
      </c>
      <c r="F104" s="7" t="n">
        <v>4</v>
      </c>
      <c r="G104" s="7" t="inlineStr">
        <is>
          <t>Really good soup! I doubled the pork and added some chipotle powder and other spices to it as well. I liked the parmesan in it, dry jack would probably work too. I think this would be great with 1 or 2 more poblanos in it, and maybe even a whole pound of pork.</t>
        </is>
      </c>
    </row>
    <row r="105">
      <c r="A105" s="7" t="n">
        <v>17758</v>
      </c>
      <c r="B105" s="7" t="n">
        <v>431838</v>
      </c>
      <c r="C105" s="7" t="n">
        <v>226863</v>
      </c>
      <c r="D105" s="7" t="n">
        <v>424632</v>
      </c>
      <c r="E105" s="8" t="n">
        <v>42973</v>
      </c>
      <c r="F105" s="7" t="n">
        <v>5</v>
      </c>
      <c r="G105" s="7" t="inlineStr">
        <is>
          <t>I expected to taste the beets more, and may have if I had cooked them under the broiler. I did taste the capers. I cooked my burgers on a charcoal grill, and loved the flavors. I think the smoke flavor may have overwhelmed my beets though! Made for the Smok'in Chefs in CQ 2017.</t>
        </is>
      </c>
    </row>
    <row r="106">
      <c r="A106" s="7" t="n">
        <v>120423</v>
      </c>
      <c r="B106" s="7" t="n">
        <v>1091120</v>
      </c>
      <c r="C106" s="7" t="n">
        <v>327281</v>
      </c>
      <c r="D106" s="7" t="n">
        <v>117389</v>
      </c>
      <c r="E106" s="8" t="n">
        <v>38974</v>
      </c>
      <c r="F106" s="7" t="n">
        <v>3</v>
      </c>
      <c r="G106" s="7" t="inlineStr">
        <is>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is>
      </c>
    </row>
    <row r="107">
      <c r="A107" s="7" t="n">
        <v>3832</v>
      </c>
      <c r="B107" s="7" t="n">
        <v>641601</v>
      </c>
      <c r="C107" s="7" t="n">
        <v>115634</v>
      </c>
      <c r="D107" s="7" t="n">
        <v>110925</v>
      </c>
      <c r="E107" s="8" t="n">
        <v>38643</v>
      </c>
      <c r="F107" s="7" t="n">
        <v>5</v>
      </c>
      <c r="G107" s="7" t="inlineStr">
        <is>
          <t>This recipe is SO good, and EASY!  I'm not one to keep fresh herbs or parmesan on hand, so I skipped the fresh herbs, and used plain ol' Kraft grated parmesan, and it was delicious!  We also grilled it instead - I plan to have it again this week!</t>
        </is>
      </c>
    </row>
    <row r="108">
      <c r="A108" s="7" t="n">
        <v>4613</v>
      </c>
      <c r="B108" s="7" t="n">
        <v>1020212</v>
      </c>
      <c r="C108" s="7" t="n">
        <v>1803570486</v>
      </c>
      <c r="D108" s="7" t="n">
        <v>49591</v>
      </c>
      <c r="E108" s="8" t="n">
        <v>42000</v>
      </c>
      <c r="F108" s="7" t="n">
        <v>5</v>
      </c>
      <c r="G108" s="7" t="inlineStr">
        <is>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is>
      </c>
    </row>
    <row r="109">
      <c r="A109" s="7" t="n">
        <v>102264</v>
      </c>
      <c r="B109" s="7" t="n">
        <v>286361</v>
      </c>
      <c r="C109" s="7" t="n">
        <v>1052871</v>
      </c>
      <c r="D109" s="7" t="n">
        <v>22179</v>
      </c>
      <c r="E109" s="8" t="n">
        <v>40096</v>
      </c>
      <c r="F109" s="7" t="n">
        <v>5</v>
      </c>
      <c r="G109" s="7" t="inlineStr">
        <is>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is>
      </c>
    </row>
    <row r="110" ht="409.5" customHeight="1">
      <c r="A110" s="7" t="n">
        <v>34418</v>
      </c>
      <c r="B110" s="7" t="n">
        <v>153094</v>
      </c>
      <c r="C110" s="7" t="n">
        <v>573325</v>
      </c>
      <c r="D110" s="7" t="n">
        <v>254690</v>
      </c>
      <c r="E110" s="8" t="n">
        <v>39849</v>
      </c>
      <c r="F110" s="7" t="n">
        <v>4</v>
      </c>
      <c r="G110" s="9" t="inlineStr">
        <is>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diameter._x000D_
Thank you so much for sharing these, Susi! Ill definitely make them soon again!</t>
        </is>
      </c>
    </row>
    <row r="111">
      <c r="A111" s="7" t="n">
        <v>100831</v>
      </c>
      <c r="B111" s="7" t="n">
        <v>683136</v>
      </c>
      <c r="C111" s="7" t="n">
        <v>1803224661</v>
      </c>
      <c r="D111" s="7" t="n">
        <v>491126</v>
      </c>
      <c r="E111" s="8" t="n">
        <v>41925</v>
      </c>
      <c r="F111" s="7" t="n">
        <v>5</v>
      </c>
      <c r="G111" s="7" t="inlineStr">
        <is>
          <t>I&amp;#039;ve made this many times before and it is excellent. My favorite roast ever I just add a few extra peppers. So tender and juicy. Tonight I&amp;#039;m trying it with liquid au jus only because the store was out of powder, but I&amp;#039;m cooking it overnight so maybe it will keep it from drying out. let&amp;#039;s see how it turns out.</t>
        </is>
      </c>
    </row>
    <row r="112">
      <c r="A112" s="7" t="n">
        <v>22656</v>
      </c>
      <c r="B112" s="7" t="n">
        <v>239623</v>
      </c>
      <c r="C112" s="7" t="n">
        <v>166294</v>
      </c>
      <c r="D112" s="7" t="n">
        <v>194297</v>
      </c>
      <c r="E112" s="8" t="n">
        <v>39925</v>
      </c>
      <c r="F112" s="7" t="n">
        <v>4</v>
      </c>
      <c r="G112" s="7" t="inlineStr">
        <is>
          <t>This was a nice change to making pork chops without any coating.  Thanks!</t>
        </is>
      </c>
    </row>
    <row r="113">
      <c r="A113" s="7" t="n">
        <v>70370</v>
      </c>
      <c r="B113" s="7" t="n">
        <v>642607</v>
      </c>
      <c r="C113" s="7" t="n">
        <v>624774</v>
      </c>
      <c r="D113" s="7" t="n">
        <v>35988</v>
      </c>
      <c r="E113" s="8" t="n">
        <v>39398</v>
      </c>
      <c r="F113" s="7" t="n">
        <v>5</v>
      </c>
      <c r="G113" s="7" t="inlineStr">
        <is>
          <t>Cheap, Easy, Delicious. As a starving student, I LOVE this meal - and my girlfriend thinks I'm good at cooking as well :)</t>
        </is>
      </c>
    </row>
    <row r="114">
      <c r="A114" s="7" t="n">
        <v>74832</v>
      </c>
      <c r="B114" s="7" t="n">
        <v>469914</v>
      </c>
      <c r="C114" s="7" t="n">
        <v>163112</v>
      </c>
      <c r="D114" s="7" t="n">
        <v>253210</v>
      </c>
      <c r="E114" s="8" t="n">
        <v>39369</v>
      </c>
      <c r="F114" s="7" t="n">
        <v>5</v>
      </c>
      <c r="G114" s="7" t="inlineStr">
        <is>
          <t>While not the best for your hips, this is certainly a treat for your tastebuds!!  Even THE PICKY ONE who 'doesn't like lemon' loved this &amp; had 2nds!!  DEEEELICIOUS!!</t>
        </is>
      </c>
    </row>
    <row r="115">
      <c r="A115" s="7" t="n">
        <v>80030</v>
      </c>
      <c r="B115" s="7" t="n">
        <v>47467</v>
      </c>
      <c r="C115" s="7" t="n">
        <v>644677</v>
      </c>
      <c r="D115" s="7" t="n">
        <v>138971</v>
      </c>
      <c r="E115" s="8" t="n">
        <v>39875</v>
      </c>
      <c r="F115" s="7" t="n">
        <v>5</v>
      </c>
      <c r="G115" s="7" t="inlineStr">
        <is>
          <t>This was very interesting.  I give it 5 stars because I like the health adaptability of the recipe.  The taste if very good too.  My husband and son gobbled a bunch down when it came out of the oven.  That is a very good sign.  I changed some things.  I used 1 cup ground oatmeal instead of the 1 1/4 cup rolled.  I used 1/3 c brown sugar and 1/3c white sugar.  I also used 1/2c white and 1/2c wheat flour.  I also used 1/2 c carrot and 1/2c chopped zucchini. Walnuts were my choice of nuts.  The peanut butter was an interesting, yet healthy add.  Great breakfast and snack bread.  Thanks for posting.  I will be adding this into my "sneaky chef" recipes.</t>
        </is>
      </c>
    </row>
    <row r="116" ht="285" customHeight="1">
      <c r="A116" t="n">
        <v>96856</v>
      </c>
      <c r="B116" t="n">
        <v>344802</v>
      </c>
      <c r="C116" t="n">
        <v>67243</v>
      </c>
      <c r="D116" t="n">
        <v>75061</v>
      </c>
      <c r="E116" s="1" t="n">
        <v>38622</v>
      </c>
      <c r="F116" t="n">
        <v>5</v>
      </c>
      <c r="G116" s="2" t="inlineStr">
        <is>
          <t xml:space="preserve">Made this again, used margarine for the shortening, milk for the water and honey for the sugar. Excellent! — Sep 24, 2005_x000D_
_x000D_
</t>
        </is>
      </c>
    </row>
    <row r="117">
      <c r="A117" s="7" t="n">
        <v>37765</v>
      </c>
      <c r="B117" s="7" t="n">
        <v>757508</v>
      </c>
      <c r="C117" s="7" t="n">
        <v>438097</v>
      </c>
      <c r="D117" s="7" t="n">
        <v>140047</v>
      </c>
      <c r="E117" s="8" t="n">
        <v>39462</v>
      </c>
      <c r="F117" s="7" t="n">
        <v>4</v>
      </c>
      <c r="G117" s="7" t="inlineStr">
        <is>
          <t>This was a really nice recipe. I really liked the ginger flavour! One thing I did change was that I added some hot sauce to the recipe.</t>
        </is>
      </c>
    </row>
    <row r="118">
      <c r="A118" s="7" t="n">
        <v>117714</v>
      </c>
      <c r="B118" s="7" t="n">
        <v>493480</v>
      </c>
      <c r="C118" s="7" t="n">
        <v>82616</v>
      </c>
      <c r="D118" s="7" t="n">
        <v>71373</v>
      </c>
      <c r="E118" s="8" t="n">
        <v>39550</v>
      </c>
      <c r="F118" s="7" t="n">
        <v>5</v>
      </c>
      <c r="G118" s="7" t="inlineStr">
        <is>
          <t>Well this is the 2nd time I made these buns and am I ever glad I didn't go on my 1st attempt and write a 1 star review, instead went on instinct.  The 1st time I made them they were horrible and did't turn out. They went over the fence for the squirrels ! So I thought maybe some of the ingredients were old so I chanced it again, and was so glad I did. Wonderful buns !!! total winner in my view.</t>
        </is>
      </c>
    </row>
    <row r="119">
      <c r="A119" s="7" t="n">
        <v>66645</v>
      </c>
      <c r="B119" s="7" t="n">
        <v>1095685</v>
      </c>
      <c r="C119" s="7" t="n">
        <v>583349</v>
      </c>
      <c r="D119" s="7" t="n">
        <v>367911</v>
      </c>
      <c r="E119" s="8" t="n">
        <v>40381</v>
      </c>
      <c r="F119" s="7" t="n">
        <v>5</v>
      </c>
      <c r="G119" s="7" t="inlineStr">
        <is>
          <t>Delicious and very chewy indeed!  I live at high altitude and have had mixed success with baking chewy cookies.  Usually they are harder than I would prefer, so this recipe caught my eye.  I made these into bars instead of cookies because I was feeling lazy, and they were a hit with my family.  Thanks Greeny for a keeper!  Made for Newest Zaar tag.</t>
        </is>
      </c>
    </row>
    <row r="120">
      <c r="A120" s="7" t="n">
        <v>107949</v>
      </c>
      <c r="B120" s="7" t="n">
        <v>770606</v>
      </c>
      <c r="C120" s="7" t="n">
        <v>369715</v>
      </c>
      <c r="D120" s="7" t="n">
        <v>315546</v>
      </c>
      <c r="E120" s="8" t="n">
        <v>40243</v>
      </c>
      <c r="F120" s="7" t="n">
        <v>5</v>
      </c>
      <c r="G120" s="7" t="inlineStr">
        <is>
          <t>Very good and easy to make. I followed the recipe as written other then I didn't use the cornflakes on top.</t>
        </is>
      </c>
    </row>
    <row r="121">
      <c r="A121" s="7" t="n">
        <v>28991</v>
      </c>
      <c r="B121" s="7" t="n">
        <v>429107</v>
      </c>
      <c r="C121" s="7" t="n">
        <v>552629</v>
      </c>
      <c r="D121" s="7" t="n">
        <v>438046</v>
      </c>
      <c r="E121" s="8" t="n">
        <v>40942</v>
      </c>
      <c r="F121" s="7" t="n">
        <v>5</v>
      </c>
      <c r="G121" s="7" t="inlineStr">
        <is>
          <t>Thank you for very nice strawberry shake recipe! I follow recipe exactly only had to add 2Tbsp. sugar as my strawberries were not sweet enough and yoghurt makes it bit tangy. I love vanilla and honey in it.  Made for AUS/NZ Make My Recipe Tag, February 2012.</t>
        </is>
      </c>
    </row>
    <row r="122">
      <c r="A122" s="7" t="n">
        <v>97134</v>
      </c>
      <c r="B122" s="7" t="n">
        <v>558756</v>
      </c>
      <c r="C122" s="7" t="n">
        <v>444132</v>
      </c>
      <c r="D122" s="7" t="n">
        <v>367592</v>
      </c>
      <c r="E122" s="8" t="n">
        <v>39940</v>
      </c>
      <c r="F122" s="7" t="n">
        <v>5</v>
      </c>
      <c r="G122" s="7" t="inlineStr">
        <is>
          <t>Clean, simple, perfection.  I have a tendancy to like a lot of spice in my food, but this simple soup really emphasizes the squash and carrot flavours.  Made for PRMR Tag.</t>
        </is>
      </c>
    </row>
    <row r="123">
      <c r="A123" s="7" t="n">
        <v>992</v>
      </c>
      <c r="B123" s="7" t="n">
        <v>825299</v>
      </c>
      <c r="C123" s="7" t="n">
        <v>237951</v>
      </c>
      <c r="D123" s="7" t="n">
        <v>292320</v>
      </c>
      <c r="E123" s="8" t="n">
        <v>40219</v>
      </c>
      <c r="F123" s="7" t="n">
        <v>5</v>
      </c>
      <c r="G123" s="7" t="inlineStr">
        <is>
          <t>Quick, easy, and very tasty---my favorite combo.  Also loved the spiciness.  Most of all loved the ease of the crust and the potential for variations.  Thanks for posting.</t>
        </is>
      </c>
    </row>
    <row r="124">
      <c r="A124" s="7" t="n">
        <v>12247</v>
      </c>
      <c r="B124" s="7" t="n">
        <v>599945</v>
      </c>
      <c r="C124" s="7" t="n">
        <v>81611</v>
      </c>
      <c r="D124" s="7" t="n">
        <v>89932</v>
      </c>
      <c r="E124" s="8" t="n">
        <v>38807</v>
      </c>
      <c r="F124" s="7" t="n">
        <v>4</v>
      </c>
      <c r="G124" s="7" t="inlineStr">
        <is>
          <t xml:space="preserve">This only made 11, not 18, and they were barely big enough. DH thought they tasted like bagels, and since he loves bagels, that was a nice surprise. I thought maybe if I heat my water ahead of time, it will help the yeast make things fluffier. The wash is great and worth taking the extra time for that nice glaze. </t>
        </is>
      </c>
    </row>
    <row r="125">
      <c r="A125" s="7" t="n">
        <v>95920</v>
      </c>
      <c r="B125" s="7" t="n">
        <v>457725</v>
      </c>
      <c r="C125" s="7" t="n">
        <v>28421</v>
      </c>
      <c r="D125" s="7" t="n">
        <v>92212</v>
      </c>
      <c r="E125" s="8" t="n">
        <v>38225</v>
      </c>
      <c r="F125" s="7" t="n">
        <v>5</v>
      </c>
      <c r="G125" s="7" t="inlineStr">
        <is>
          <t>Added cooked, diced chicken to this and made it a main dish...excellent.  Had to cook it a little longer than specified, 30 minutes.  BF requested the leftovers for dinner tonight!!</t>
        </is>
      </c>
    </row>
    <row r="126">
      <c r="A126" s="7" t="n">
        <v>48841</v>
      </c>
      <c r="B126" s="7" t="n">
        <v>16665</v>
      </c>
      <c r="C126" s="7" t="n">
        <v>2001915525</v>
      </c>
      <c r="D126" s="7" t="n">
        <v>301754</v>
      </c>
      <c r="E126" s="8" t="n">
        <v>43106</v>
      </c>
      <c r="F126" s="7" t="n">
        <v>5</v>
      </c>
      <c r="G126" s="7" t="inlineStr">
        <is>
          <t>This soup is great! This is my third time making it! I use reduced sodium broth and add the recommended salt and I don’t think it tastes too salty at all! Note: do not use diced potatoes in a can! The soup turned out horrible, must peel and dice regular potatoes! I use Yukon gold and this tastes better than a restaurant! If you don’t want it thick and gravy-like don’t mash so much at the end!</t>
        </is>
      </c>
    </row>
    <row r="127">
      <c r="A127" s="7" t="n">
        <v>104754</v>
      </c>
      <c r="B127" s="7" t="n">
        <v>409983</v>
      </c>
      <c r="C127" s="7" t="n">
        <v>708494</v>
      </c>
      <c r="D127" s="7" t="n">
        <v>203863</v>
      </c>
      <c r="E127" s="8" t="n">
        <v>39919</v>
      </c>
      <c r="F127" s="7" t="n">
        <v>5</v>
      </c>
      <c r="G127" s="7" t="inlineStr">
        <is>
          <t>love Salsa and love it fresh &amp; hot, it was great, thanks for sharing. Made for Spring Pac 2009</t>
        </is>
      </c>
    </row>
    <row r="128">
      <c r="A128" s="7" t="n">
        <v>33475</v>
      </c>
      <c r="B128" s="7" t="n">
        <v>749625</v>
      </c>
      <c r="C128" s="7" t="n">
        <v>409184</v>
      </c>
      <c r="D128" s="7" t="n">
        <v>361021</v>
      </c>
      <c r="E128" s="8" t="n">
        <v>40393</v>
      </c>
      <c r="F128" s="7" t="n">
        <v>4</v>
      </c>
      <c r="G128" s="7" t="inlineStr">
        <is>
          <t>I was excited to find a recipe that used my over abundnce of both hot peppers AND zucchini! Unfortunately, my jelly failed to set. I still intend on pouring it over cream cheese and for other recipes, but I was certainly disappointed. Not sure what went wrong because I followed the recipe step by step. I may try another batch and post an update. Thanks for sharing!</t>
        </is>
      </c>
    </row>
    <row r="129">
      <c r="A129" s="7" t="n">
        <v>66767</v>
      </c>
      <c r="B129" s="7" t="n">
        <v>901769</v>
      </c>
      <c r="C129" s="7" t="n">
        <v>12657</v>
      </c>
      <c r="D129" s="7" t="n">
        <v>14031</v>
      </c>
      <c r="E129" s="8" t="n">
        <v>37339</v>
      </c>
      <c r="F129" s="7" t="n">
        <v>5</v>
      </c>
      <c r="G129" s="7" t="inlineStr">
        <is>
          <t>Having to cook beans from scratch (with pre-soaking!), since we don't get them in cans here, has always made me think twice before making a beans dish because it takes so much longer. But this recipe was absolutely worth it! I used red kidney beans, which the tomatoes complimented perfectly and gave them a lovely tang. Also, I used black pepper since I didn't have cayenne, so it was less spicy, but it still made a great side for rotis at dinner tonight. Thanks Dorothy, this one's for keeps!</t>
        </is>
      </c>
    </row>
    <row r="130">
      <c r="A130" s="7" t="n">
        <v>93899</v>
      </c>
      <c r="B130" s="7" t="n">
        <v>530210</v>
      </c>
      <c r="C130" s="7" t="n">
        <v>1925885</v>
      </c>
      <c r="D130" s="7" t="n">
        <v>56452</v>
      </c>
      <c r="E130" s="8" t="n">
        <v>41222</v>
      </c>
      <c r="F130" s="7" t="n">
        <v>5</v>
      </c>
      <c r="G130" s="7" t="inlineStr">
        <is>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is>
      </c>
    </row>
    <row r="131">
      <c r="A131" s="7" t="n">
        <v>11237</v>
      </c>
      <c r="B131" s="7" t="n">
        <v>184693</v>
      </c>
      <c r="C131" s="7" t="n">
        <v>275429</v>
      </c>
      <c r="D131" s="7" t="n">
        <v>204938</v>
      </c>
      <c r="E131" s="8" t="n">
        <v>39096</v>
      </c>
      <c r="F131" s="7" t="n">
        <v>5</v>
      </c>
      <c r="G131" s="7" t="inlineStr">
        <is>
          <t>I have been a professional Chef for 16 years and this is one of the best creamy chicken recipes I have ever tasted!  Job well done on posting this one.  It's a winner!</t>
        </is>
      </c>
    </row>
    <row r="132" ht="409.5" customHeight="1">
      <c r="A132" s="7" t="n">
        <v>83231</v>
      </c>
      <c r="B132" s="7" t="n">
        <v>262595</v>
      </c>
      <c r="C132" s="7" t="n">
        <v>590656</v>
      </c>
      <c r="D132" s="7" t="n">
        <v>359581</v>
      </c>
      <c r="E132" s="8" t="n">
        <v>40018</v>
      </c>
      <c r="F132" s="7" t="n">
        <v>4</v>
      </c>
      <c r="G132" s="9" t="inlineStr">
        <is>
          <t>A nice cake, but I found it a little bland. I suppose it would have more flavor with the carmel icing, but I didnt have enough brown sugar to amke it.  We ate it plain.   I like to use spices in my banana cakes.  Today I made it per your directions.  When I make it again I will add the following:_x000D_
1 tsp. cinnamon_x000D_
1/2 tsp. ground nutmeg_x000D_
1/4 tsp. ground cloves_x000D_
1 more banana</t>
        </is>
      </c>
    </row>
    <row r="133">
      <c r="A133" s="7" t="n">
        <v>28252</v>
      </c>
      <c r="B133" s="7" t="n">
        <v>469916</v>
      </c>
      <c r="C133" s="7" t="n">
        <v>38218</v>
      </c>
      <c r="D133" s="7" t="n">
        <v>253210</v>
      </c>
      <c r="E133" s="8" t="n">
        <v>39724</v>
      </c>
      <c r="F133" s="7" t="n">
        <v>5</v>
      </c>
      <c r="G133" s="7" t="inlineStr">
        <is>
          <t>This is perfect.  I wouldn't change a thing!  We had it with real whipped cream and a few late season strawberries and some wonderful Darjeeling tea.  A real delight for the chilly, gray afternoon.  This one's a real keeper.</t>
        </is>
      </c>
    </row>
    <row r="134">
      <c r="A134" t="n">
        <v>14358</v>
      </c>
      <c r="B134" t="n">
        <v>153776</v>
      </c>
      <c r="C134" t="n">
        <v>208941</v>
      </c>
      <c r="D134" t="n">
        <v>93223</v>
      </c>
      <c r="E134" s="1" t="n">
        <v>40172</v>
      </c>
      <c r="F134" t="n">
        <v>5</v>
      </c>
      <c r="G134" t="inlineStr">
        <is>
          <t>By far the best croutons.  They have ruined me for all other croutons.</t>
        </is>
      </c>
    </row>
    <row r="135">
      <c r="A135" s="7" t="n">
        <v>31890</v>
      </c>
      <c r="B135" s="7" t="n">
        <v>397117</v>
      </c>
      <c r="C135" s="7" t="n">
        <v>47723</v>
      </c>
      <c r="D135" s="7" t="n">
        <v>306248</v>
      </c>
      <c r="E135" s="8" t="n">
        <v>40968</v>
      </c>
      <c r="F135" s="7" t="n">
        <v>5</v>
      </c>
      <c r="G135" s="7" t="inlineStr">
        <is>
          <t>We eat a lot of fish and this is now one of our favorite fish recipes. Since the recipe only appeared to display in metric I used about 1 lb of fish. I didn't have ginger root so I used 1/4 tsp. of ground ginger powder. I didn't have the onions so I just omitted them. I baked at 400 degrees Fahrenheit for about 25 minutes. My fillets were kind of thick so thinner fillets might  cook a little faster. I highly recommend this if you like fish and would love to try it for an Asian dinner.</t>
        </is>
      </c>
    </row>
    <row r="136">
      <c r="A136" s="7" t="n">
        <v>47150</v>
      </c>
      <c r="B136" s="7" t="n">
        <v>20755</v>
      </c>
      <c r="C136" s="7" t="n">
        <v>102833</v>
      </c>
      <c r="D136" s="7" t="n">
        <v>88804</v>
      </c>
      <c r="E136" s="8" t="n">
        <v>39942</v>
      </c>
      <c r="F136" s="7" t="n">
        <v>5</v>
      </c>
      <c r="G136" s="7" t="inlineStr">
        <is>
          <t>I'm glad your moussaka is made with beef instead of lamb, and that you omit the cinnamon which is not a spice I especially like on meat.  Our cooking tastes are definitely in sync!  Thanks.</t>
        </is>
      </c>
    </row>
    <row r="137">
      <c r="A137" s="7" t="n">
        <v>114281</v>
      </c>
      <c r="B137" s="7" t="n">
        <v>1016878</v>
      </c>
      <c r="C137" s="7" t="n">
        <v>2001652537</v>
      </c>
      <c r="D137" s="7" t="n">
        <v>349246</v>
      </c>
      <c r="E137" s="8" t="n">
        <v>43198</v>
      </c>
      <c r="F137" s="7" t="n">
        <v>4</v>
      </c>
      <c r="G137" s="7" t="inlineStr">
        <is>
          <t>If you don’t mind wasting an egg, (which I didn’t because they were about to go bad anyway) crack one and let about a 1/2 tbsp of egg white drizzle into the mix. It really helped with the texture issue. I also only used 3 tbsp of flour.</t>
        </is>
      </c>
    </row>
    <row r="138">
      <c r="A138" s="7" t="n">
        <v>112492</v>
      </c>
      <c r="B138" s="7" t="n">
        <v>1098847</v>
      </c>
      <c r="C138" s="7" t="n">
        <v>679759</v>
      </c>
      <c r="D138" s="7" t="n">
        <v>74275</v>
      </c>
      <c r="E138" s="8" t="n">
        <v>40934</v>
      </c>
      <c r="F138" s="7" t="n">
        <v>5</v>
      </c>
      <c r="G138" s="7" t="inlineStr">
        <is>
          <t>This is the way my mom always made potato soup and I love how wonderful it tastes with so few ingredients.  The only thing I add is bacon bits.  I think it's best with whole milk or half and half.  Love love love this recipe....makes me feel like I'm back home eating my mom's soup!</t>
        </is>
      </c>
    </row>
    <row r="139" ht="409.5" customHeight="1">
      <c r="A139" s="7" t="n">
        <v>104149</v>
      </c>
      <c r="B139" s="7" t="n">
        <v>351805</v>
      </c>
      <c r="C139" s="7" t="n">
        <v>211184</v>
      </c>
      <c r="D139" s="7" t="n">
        <v>209596</v>
      </c>
      <c r="E139" s="8" t="n">
        <v>39151</v>
      </c>
      <c r="F139" s="7" t="n">
        <v>5</v>
      </c>
      <c r="G139" s="9" t="inlineStr">
        <is>
          <t>Thanks for the cute tip Annacia :)_x000D_
I used garlic breadsticks, and folded them in half before tying in a knot. Your description of "Quick, easy and fun to do" is right on. Thanks for sharing, Nick's Mom</t>
        </is>
      </c>
    </row>
    <row r="140">
      <c r="A140" s="7" t="n">
        <v>24852</v>
      </c>
      <c r="B140" s="7" t="n">
        <v>266332</v>
      </c>
      <c r="C140" s="7" t="n">
        <v>2001808848</v>
      </c>
      <c r="D140" s="7" t="n">
        <v>107786</v>
      </c>
      <c r="E140" s="8" t="n">
        <v>43059</v>
      </c>
      <c r="F140" s="7" t="n">
        <v>5</v>
      </c>
      <c r="G140" s="7" t="inlineStr">
        <is>
          <t>If you use this recipe, you will not use any other. The taste is fantastic. The meat came off the bone clean as a whistle. If you don't try this recipe, you will be missing out. Admittedly, I ate a half rack. I used sweet &amp;amp; spicy barbecue sauce. I cooked for 3 hours. Ovens vary.</t>
        </is>
      </c>
    </row>
    <row r="141">
      <c r="A141" s="7" t="n">
        <v>115843</v>
      </c>
      <c r="B141" s="7" t="n">
        <v>162851</v>
      </c>
      <c r="C141" s="7" t="n">
        <v>168921</v>
      </c>
      <c r="D141" s="7" t="n">
        <v>135225</v>
      </c>
      <c r="E141" s="8" t="n">
        <v>38642</v>
      </c>
      <c r="F141" s="7" t="n">
        <v>4</v>
      </c>
      <c r="G141" s="7" t="inlineStr">
        <is>
          <t>I haven’t had a pineapple kugel before, it was good.</t>
        </is>
      </c>
    </row>
    <row r="142">
      <c r="A142" s="7" t="n">
        <v>23434</v>
      </c>
      <c r="B142" s="7" t="n">
        <v>294125</v>
      </c>
      <c r="C142" s="7" t="n">
        <v>28177</v>
      </c>
      <c r="D142" s="7" t="n">
        <v>317912</v>
      </c>
      <c r="E142" s="8" t="n">
        <v>39795</v>
      </c>
      <c r="F142" s="7" t="n">
        <v>3</v>
      </c>
      <c r="G142" s="7" t="inlineStr">
        <is>
          <t>We weren't crazy about this recipe.  There really wasn't much flavor to it.  The coffee &amp; the spices were overpowered by the whipped cream &amp; the mascarpone.  Even the cherry flavor was barely recognizeable.  As a whole I think that with some adjustments this would be a really great treat.  My biggest problem was that the ingredient list states both phyllo &amp; puff pastry dough.  Since the contest ingredient was phyllo, and because DH always wants to get the right thing when he's shopping for me, I had both sheets &amp; pre-made mini phyllo cups.  The instructions state that a mini muffin tin is needed so I used the pre-made mini cups.  While the instructions continue to say phyllo, they are clearly instructions for working with puff pastry dough.  Basically, the recipe does not work with phyllo dough. Placing one cherry in the phyllo cup left no room for filling.  I ended up chopping the cherries &amp; stirring them into the filling.  I had an enormous amount of filling leftover but the box of phyllo cups only had 15 in it so I can't really complain about that.  The chef's photos are definitely puff pastry &amp; if I try this again I will use just that.  Thanks for sharing your creation, Chef*Lee!  Made for Hidden Gems Event - Winter 2008.</t>
        </is>
      </c>
    </row>
    <row r="143">
      <c r="A143" s="7" t="n">
        <v>65336</v>
      </c>
      <c r="B143" s="7" t="n">
        <v>655625</v>
      </c>
      <c r="C143" s="7" t="n">
        <v>234062</v>
      </c>
      <c r="D143" s="7" t="n">
        <v>131531</v>
      </c>
      <c r="E143" s="8" t="n">
        <v>39441</v>
      </c>
      <c r="F143" s="7" t="n">
        <v>5</v>
      </c>
      <c r="G143" s="7" t="inlineStr">
        <is>
          <t>Delicious. They're great, easy and tasty.  Added a bit of balsamic vinegar, and totally enjoyed them!</t>
        </is>
      </c>
    </row>
    <row r="144">
      <c r="A144" s="7" t="n">
        <v>92030</v>
      </c>
      <c r="B144" s="7" t="n">
        <v>924318</v>
      </c>
      <c r="C144" s="7" t="n">
        <v>187103</v>
      </c>
      <c r="D144" s="7" t="n">
        <v>75919</v>
      </c>
      <c r="E144" s="8" t="n">
        <v>38369</v>
      </c>
      <c r="F144" s="7" t="n">
        <v>3</v>
      </c>
      <c r="G144" s="7" t="inlineStr">
        <is>
          <t xml:space="preserve">This was a good, quick stew.  I served it with homemade biscuits. I was tempted to add some other veggies, but was glad I stuck to the recipe. I think I might try adding barley, next time, though.  </t>
        </is>
      </c>
    </row>
    <row r="145">
      <c r="A145" s="7" t="n">
        <v>92911</v>
      </c>
      <c r="B145" s="7" t="n">
        <v>269884</v>
      </c>
      <c r="C145" s="7" t="n">
        <v>4063091</v>
      </c>
      <c r="D145" s="7" t="n">
        <v>202183</v>
      </c>
      <c r="E145" s="8" t="n">
        <v>41577</v>
      </c>
      <c r="F145" s="7" t="n">
        <v>4</v>
      </c>
      <c r="G145" s="7" t="inlineStr">
        <is>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is>
      </c>
    </row>
    <row r="146">
      <c r="A146" s="7" t="n">
        <v>5251</v>
      </c>
      <c r="B146" s="7" t="n">
        <v>284695</v>
      </c>
      <c r="C146" s="7" t="n">
        <v>226867</v>
      </c>
      <c r="D146" s="7" t="n">
        <v>183538</v>
      </c>
      <c r="E146" s="8" t="n">
        <v>40960</v>
      </c>
      <c r="F146" s="7" t="n">
        <v>4</v>
      </c>
      <c r="G146" s="7" t="inlineStr">
        <is>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is>
      </c>
    </row>
    <row r="147" ht="409.5" customHeight="1">
      <c r="A147" s="7" t="n">
        <v>42865</v>
      </c>
      <c r="B147" s="7" t="n">
        <v>1109755</v>
      </c>
      <c r="C147" s="7" t="n">
        <v>47892</v>
      </c>
      <c r="D147" s="7" t="n">
        <v>133287</v>
      </c>
      <c r="E147" s="8" t="n">
        <v>38587</v>
      </c>
      <c r="F147" s="7" t="n">
        <v>5</v>
      </c>
      <c r="G147" s="9" t="inlineStr">
        <is>
          <t>Heaven! I ended up using queso blanco for these enchis and a tiny bit of yogurt cheese as that was the only mild, melty cheese I had on hand._x000D_
I was out of cilantro so I sliced up some green onions instead. Wonderful "full-bodied" sauce. Mellowed nicely during cooking. _x000D_
The enchis cooked up in about 15-20 minutes-uncovered. Perfection. _x000D_
*I would hesitate though to serve these at a potluck unless you warn folks about the spiciness factor. Thanks, Chipfo.</t>
        </is>
      </c>
    </row>
    <row r="148">
      <c r="A148" s="7" t="n">
        <v>59565</v>
      </c>
      <c r="B148" s="7" t="n">
        <v>392173</v>
      </c>
      <c r="C148" s="7" t="n">
        <v>227652</v>
      </c>
      <c r="D148" s="7" t="n">
        <v>154666</v>
      </c>
      <c r="E148" s="8" t="n">
        <v>40120</v>
      </c>
      <c r="F148" s="7" t="n">
        <v>4</v>
      </c>
      <c r="G148" s="7" t="inlineStr">
        <is>
          <t>I loved the texture, the ease of the recipe (didn't chill the dough either &amp; found it easy to work with!). The only thing is that it wasn't as sweet as my hubby would like, so I may increase that next time (used Splenda). Wonderful low calorie option!!</t>
        </is>
      </c>
    </row>
    <row r="149">
      <c r="A149" s="7" t="n">
        <v>2738</v>
      </c>
      <c r="B149" s="7" t="n">
        <v>382139</v>
      </c>
      <c r="C149" s="7" t="n">
        <v>1620171</v>
      </c>
      <c r="D149" s="7" t="n">
        <v>400050</v>
      </c>
      <c r="E149" s="8" t="n">
        <v>41126</v>
      </c>
      <c r="F149" s="7" t="n">
        <v>5</v>
      </c>
      <c r="G149" s="7" t="inlineStr">
        <is>
          <t>Made for Zaar World Tour 8. Absolutely delicious! Wow. So easy to make as well. Also, the bean mix was a bit much for the sized dish I managed to find, but it turned out to be amazing just as a dip, so definately worth while keeping this recipe as a two for one! My housemates totally loved this and I made a lot of embarrasing noises while eating. Thanks for sharing!</t>
        </is>
      </c>
    </row>
    <row r="150">
      <c r="A150" s="7" t="n">
        <v>69154</v>
      </c>
      <c r="B150" s="7" t="n">
        <v>638425</v>
      </c>
      <c r="C150" s="7" t="n">
        <v>169969</v>
      </c>
      <c r="D150" s="7" t="n">
        <v>68202</v>
      </c>
      <c r="E150" s="8" t="n">
        <v>38466</v>
      </c>
      <c r="F150" s="7" t="n">
        <v>5</v>
      </c>
      <c r="G150" s="7" t="inlineStr">
        <is>
          <t>My DH loved this! I made them the night before and put them in the fridge. He took them the next day to work for lunch. He said the horseradish made the sandwich awesome! And, it was not soggy at all. It is safely in my "The Lunch Box" cookbook! Thanks Ev!</t>
        </is>
      </c>
    </row>
    <row r="151">
      <c r="A151" s="7" t="n">
        <v>30612</v>
      </c>
      <c r="B151" s="7" t="n">
        <v>95607</v>
      </c>
      <c r="C151" s="7" t="n">
        <v>468351</v>
      </c>
      <c r="D151" s="7" t="n">
        <v>16385</v>
      </c>
      <c r="E151" s="8" t="n">
        <v>39234</v>
      </c>
      <c r="F151" s="7" t="n">
        <v>5</v>
      </c>
      <c r="G151" s="7" t="inlineStr">
        <is>
          <t>I have used this same pasta dough recipe for years. I think I got it out of a amish cookbook. It is a very good one.</t>
        </is>
      </c>
    </row>
    <row r="152" ht="409.5" customHeight="1">
      <c r="A152" s="7" t="n">
        <v>40460</v>
      </c>
      <c r="B152" s="7" t="n">
        <v>449861</v>
      </c>
      <c r="C152" s="7" t="n">
        <v>27416</v>
      </c>
      <c r="D152" s="7" t="n">
        <v>73224</v>
      </c>
      <c r="E152" s="8" t="n">
        <v>38383</v>
      </c>
      <c r="F152" s="7" t="n">
        <v>5</v>
      </c>
      <c r="G152" s="9" t="inlineStr">
        <is>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is>
      </c>
    </row>
    <row r="153">
      <c r="A153" s="7" t="n">
        <v>13877</v>
      </c>
      <c r="B153" s="7" t="n">
        <v>558300</v>
      </c>
      <c r="C153" s="7" t="n">
        <v>228458</v>
      </c>
      <c r="D153" s="7" t="n">
        <v>350781</v>
      </c>
      <c r="E153" s="8" t="n">
        <v>40780</v>
      </c>
      <c r="F153" s="7" t="n">
        <v>5</v>
      </c>
      <c r="G153" s="7" t="inlineStr">
        <is>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is>
      </c>
    </row>
    <row r="154">
      <c r="A154" s="7" t="n">
        <v>35999</v>
      </c>
      <c r="B154" s="7" t="n">
        <v>973030</v>
      </c>
      <c r="C154" s="7" t="n">
        <v>700419</v>
      </c>
      <c r="D154" s="7" t="n">
        <v>250167</v>
      </c>
      <c r="E154" s="8" t="n">
        <v>39867</v>
      </c>
      <c r="F154" s="7" t="n">
        <v>5</v>
      </c>
      <c r="G154" s="7" t="inlineStr">
        <is>
          <t>Funny because I think this practically identical to Martha Stewart's chocolate pistachio biscotti recipe. Nonetheless, these are great! I like it better with the walnuts, anyway :)</t>
        </is>
      </c>
    </row>
    <row r="155">
      <c r="A155" s="7" t="n">
        <v>6240</v>
      </c>
      <c r="B155" s="7" t="n">
        <v>544861</v>
      </c>
      <c r="C155" s="7" t="n">
        <v>8377</v>
      </c>
      <c r="D155" s="7" t="n">
        <v>190905</v>
      </c>
      <c r="E155" s="8" t="n">
        <v>39155</v>
      </c>
      <c r="F155" s="7" t="n">
        <v>0</v>
      </c>
      <c r="G155" s="7" t="inlineStr">
        <is>
          <t>(Though I made it is written, I'm leaving no stars because I must have done something wrong). This is an interesting quick bread recipe! I used a combination of candied pineapple, papaya and mango. It's almost a fruitcake. I loved the cherries and raisins. Nice cherry-coconut taste and. I'd give it 5-stars for taste. My dough was very hard to combine and I had to bake it far longer then suggested. I'll make it again to determine what went wrong this time.</t>
        </is>
      </c>
    </row>
    <row r="156">
      <c r="A156" s="7" t="n">
        <v>107174</v>
      </c>
      <c r="B156" s="7" t="n">
        <v>860813</v>
      </c>
      <c r="C156" s="7" t="n">
        <v>37449</v>
      </c>
      <c r="D156" s="7" t="n">
        <v>27971</v>
      </c>
      <c r="E156" s="8" t="n">
        <v>39393</v>
      </c>
      <c r="F156" s="7" t="n">
        <v>5</v>
      </c>
      <c r="G156" s="7" t="inlineStr">
        <is>
          <t>Very good eggs, that my DH and I enjoyed. I scaled the recipe back for the two of us. Thanks Bev!</t>
        </is>
      </c>
    </row>
    <row r="157">
      <c r="A157" s="7" t="n">
        <v>9115</v>
      </c>
      <c r="B157" s="7" t="n">
        <v>457369</v>
      </c>
      <c r="C157" s="7" t="n">
        <v>862099</v>
      </c>
      <c r="D157" s="7" t="n">
        <v>314197</v>
      </c>
      <c r="E157" s="8" t="n">
        <v>39757</v>
      </c>
      <c r="F157" s="7" t="n">
        <v>5</v>
      </c>
      <c r="G157" s="7" t="inlineStr">
        <is>
          <t>This was yummy bread.  I served it with an italian dish but I think it would go better with soup.  I am going to try it with sandwiches with some yummy spread and sun dried tomatoes tomorrow.  Thanks for a great and easy recipe!</t>
        </is>
      </c>
    </row>
    <row r="158">
      <c r="A158" s="7" t="n">
        <v>89754</v>
      </c>
      <c r="B158" s="7" t="n">
        <v>973520</v>
      </c>
      <c r="C158" s="7" t="n">
        <v>829380</v>
      </c>
      <c r="D158" s="7" t="n">
        <v>287112</v>
      </c>
      <c r="E158" s="8" t="n">
        <v>40221</v>
      </c>
      <c r="F158" s="7" t="n">
        <v>5</v>
      </c>
      <c r="G158" s="7" t="inlineStr">
        <is>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is>
      </c>
    </row>
    <row r="159">
      <c r="A159" s="7" t="n">
        <v>103832</v>
      </c>
      <c r="B159" s="7" t="n">
        <v>515918</v>
      </c>
      <c r="C159" s="7" t="n">
        <v>199848</v>
      </c>
      <c r="D159" s="7" t="n">
        <v>209422</v>
      </c>
      <c r="E159" s="8" t="n">
        <v>39823</v>
      </c>
      <c r="F159" s="7" t="n">
        <v>5</v>
      </c>
      <c r="G159" s="7" t="inlineStr">
        <is>
          <t>The saor cream makes for a cooler, less heavy taste than all mayo.  I loved the tang from the vinegar and sugar (I used the amounts listed for those).  I used light sour cream without a problem..... I just had to stir before serving each time.  Very enjoyable potato salad.  Thanx for posting!</t>
        </is>
      </c>
    </row>
    <row r="160" ht="409.5" customHeight="1">
      <c r="A160" s="7" t="n">
        <v>113996</v>
      </c>
      <c r="B160" s="7" t="n">
        <v>63721</v>
      </c>
      <c r="C160" s="7" t="n">
        <v>295741</v>
      </c>
      <c r="D160" s="7" t="n">
        <v>64913</v>
      </c>
      <c r="E160" s="8" t="n">
        <v>39072</v>
      </c>
      <c r="F160" s="7" t="n">
        <v>5</v>
      </c>
      <c r="G160" s="9" t="inlineStr">
        <is>
          <t>I did not have fresh, so I used dried thyme, sage no rosemary, and fresh parsley and of course the fresh garlic cloves. I did not use any chicken stock, this made its own juices very nicely! I also altered by using bone in skinless chicken breasts (6) in place of 1 whole chicken (this reduced the amount of fat as well) I didtn have celery so I used a bit of celery salt.
 I LOVED THIS! It was SO good. It was tender, and very moist. The garlic cloves were so easy since they didnt need to be peeled! Spread on bread was WONDERFUL.
 I also made some mashed potatoes on the side with this, I took about 1/2 cup of the wonderful juices and 6 cloves of garlic (unpeeled) and then mashed with a bit of butter. The potatoes were TO DIE FOR!
 I will make this recipe again and again, and I will save the stock for mashed potatoes! Thank you for a great keeper!
 Also this was FAR more than 4 servings. I served 6 and still have left overs in the fridge! Dont be scared off by the high calore fat count, you will more than likely althought its very good, not eat a full POUND of chicken as your serving.</t>
        </is>
      </c>
    </row>
    <row r="161">
      <c r="A161" s="7" t="n">
        <v>36604</v>
      </c>
      <c r="B161" s="7" t="n">
        <v>701756</v>
      </c>
      <c r="C161" s="7" t="n">
        <v>514331</v>
      </c>
      <c r="D161" s="7" t="n">
        <v>265340</v>
      </c>
      <c r="E161" s="8" t="n">
        <v>39455</v>
      </c>
      <c r="F161" s="7" t="n">
        <v>4</v>
      </c>
      <c r="G161" s="7" t="inlineStr">
        <is>
          <t>Super-easy and delicious! I might try it without the cream. Thanks for posting!</t>
        </is>
      </c>
    </row>
    <row r="162">
      <c r="A162" s="7" t="n">
        <v>99449</v>
      </c>
      <c r="B162" s="7" t="n">
        <v>437642</v>
      </c>
      <c r="C162" s="7" t="n">
        <v>169430</v>
      </c>
      <c r="D162" s="7" t="n">
        <v>285405</v>
      </c>
      <c r="E162" s="8" t="n">
        <v>39498</v>
      </c>
      <c r="F162" s="7" t="n">
        <v>5</v>
      </c>
      <c r="G162" s="7" t="inlineStr">
        <is>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is>
      </c>
    </row>
    <row r="163">
      <c r="A163" s="7" t="n">
        <v>120991</v>
      </c>
      <c r="B163" s="7" t="n">
        <v>199386</v>
      </c>
      <c r="C163" s="7" t="n">
        <v>494867</v>
      </c>
      <c r="D163" s="7" t="n">
        <v>355293</v>
      </c>
      <c r="E163" s="8" t="n">
        <v>40089</v>
      </c>
      <c r="F163" s="7" t="n">
        <v>5</v>
      </c>
      <c r="G163" s="7" t="inlineStr">
        <is>
          <t>This is great!  I really loved the combination of the ingredients. I never made my own pizza crust before and this one was quite tasty. I used corn meal (that's the same as polenta, right?) and for half the flour I used whole wheat. It was easier than I thought, but if my lazy streak kicks in, I'll bet the toppings would be excellent on flatbread or pita rounds...</t>
        </is>
      </c>
    </row>
    <row r="164">
      <c r="A164" s="7" t="n">
        <v>79710</v>
      </c>
      <c r="B164" s="7" t="n">
        <v>782034</v>
      </c>
      <c r="C164" s="7" t="n">
        <v>219733</v>
      </c>
      <c r="D164" s="7" t="n">
        <v>25456</v>
      </c>
      <c r="E164" s="8" t="n">
        <v>39510</v>
      </c>
      <c r="F164" s="7" t="n">
        <v>5</v>
      </c>
      <c r="G164" s="7" t="inlineStr">
        <is>
          <t>THE most delicious bread I have ever made. Also my first successful loaf after attempting to make bread for over 20 times. Thanks a bunch. I halved the recipe and ended up with a small loaf that gave me 12 slices. Made this last night and there isn't even one slice left right now. I brushed the top with milk before baking and also after, to obtain a softer crust. It doesnt even need any fillings or spreads, it's delicious on its own...Yum!</t>
        </is>
      </c>
    </row>
    <row r="165">
      <c r="A165" s="7" t="n">
        <v>3978</v>
      </c>
      <c r="B165" s="7" t="n">
        <v>844430</v>
      </c>
      <c r="C165" s="7" t="n">
        <v>83178</v>
      </c>
      <c r="D165" s="7" t="n">
        <v>29932</v>
      </c>
      <c r="E165" s="8" t="n">
        <v>38133</v>
      </c>
      <c r="F165" s="7" t="n">
        <v>5</v>
      </c>
      <c r="G165" s="7" t="inlineStr">
        <is>
          <t>Forget the fat-free stuff!  This is delicious made with real butter and regular Hollandaise sauce mix (I find that Knorr has a better flavor than McCormick).  My kids - ages 1 - 5, loved it, and my mother-in-law asked for the recipe!</t>
        </is>
      </c>
    </row>
    <row r="166">
      <c r="A166" s="7" t="n">
        <v>89569</v>
      </c>
      <c r="B166" s="7" t="n">
        <v>385622</v>
      </c>
      <c r="C166" s="7" t="n">
        <v>286566</v>
      </c>
      <c r="D166" s="7" t="n">
        <v>211133</v>
      </c>
      <c r="E166" s="8" t="n">
        <v>41452</v>
      </c>
      <c r="F166" s="7" t="n">
        <v>5</v>
      </c>
      <c r="G166" s="7" t="inlineStr">
        <is>
          <t>I love potatoes with caramelized onion but the addition of sherry wine and the buttermilk were a first for me and well worth adding as they gave a different dimension to the dish which was delicious and thoroughly enjoyed.  Thank you Jill Johnston, made for Name that Ingredient tag game.</t>
        </is>
      </c>
    </row>
    <row r="167">
      <c r="A167" s="7" t="n">
        <v>68907</v>
      </c>
      <c r="B167" s="7" t="n">
        <v>662950</v>
      </c>
      <c r="C167" s="7" t="n">
        <v>331557</v>
      </c>
      <c r="D167" s="7" t="n">
        <v>91237</v>
      </c>
      <c r="E167" s="8" t="n">
        <v>39419</v>
      </c>
      <c r="F167" s="7" t="n">
        <v>4</v>
      </c>
      <c r="G167" s="7" t="inlineStr">
        <is>
          <t>This was a fantastic weekday meal that has a lot of flavour in a short cook time.  I did double the broth, mustards and ginger because we like our meals saucy.  I did not have green onions so I used white onion with good results.  Thanks for posting a keeper!</t>
        </is>
      </c>
    </row>
    <row r="168">
      <c r="A168" s="7" t="n">
        <v>89198</v>
      </c>
      <c r="B168" s="7" t="n">
        <v>1041561</v>
      </c>
      <c r="C168" s="7" t="n">
        <v>1012958</v>
      </c>
      <c r="D168" s="7" t="n">
        <v>338128</v>
      </c>
      <c r="E168" s="8" t="n">
        <v>40693</v>
      </c>
      <c r="F168" s="7" t="n">
        <v>5</v>
      </c>
      <c r="G168" s="7" t="inlineStr">
        <is>
          <t>So glad this was posted!  I made this pie for many years and then indavertantly gave the Good Housekeeping Cookbook (my Mom's old and falling apart) to Goodwill.  Now , Thanks to you, I have it back.  I also use the homemade glaze you describe...much, much better.  This is a very good, refreshing, and relatively healthy pie...not a lot of sugar...tons of good fruit flavor.</t>
        </is>
      </c>
    </row>
    <row r="169">
      <c r="A169" s="7" t="n">
        <v>53905</v>
      </c>
      <c r="B169" s="7" t="n">
        <v>54561</v>
      </c>
      <c r="C169" s="7" t="n">
        <v>57915</v>
      </c>
      <c r="D169" s="7" t="n">
        <v>52035</v>
      </c>
      <c r="E169" s="8" t="n">
        <v>37667</v>
      </c>
      <c r="F169" s="7" t="n">
        <v>5</v>
      </c>
      <c r="G169" s="7" t="inlineStr">
        <is>
          <t>I brought these to the ER where I work and even the doctors were coming out for more!  Everyone loved them!</t>
        </is>
      </c>
    </row>
    <row r="170">
      <c r="A170" t="n">
        <v>70666</v>
      </c>
      <c r="B170" t="n">
        <v>153775</v>
      </c>
      <c r="C170" t="n">
        <v>1049724</v>
      </c>
      <c r="D170" t="n">
        <v>93223</v>
      </c>
      <c r="E170" s="1" t="n">
        <v>40154</v>
      </c>
      <c r="F170" t="n">
        <v>5</v>
      </c>
      <c r="G170" t="inlineStr">
        <is>
          <t>AMAZING!  I am a salad fiend and go through croutons like water from a faucet.  I have been religiously buying Marie Callendar's croutons all these years - when all along I could've just made them! Never again!  I used 1 plain bagel and 4 slices of wheat bread and cut them up on a cutting board into bite sized pieces.  I cook by eying it so tried doing Lawry's seasoning salt with garlic salt and a pinch of onion powder with oregano but I think it came out too salty.  Did 3 tablespoons olive oil in a mixing bowl over the bread and mixed it up.  Will try it next time with just garlic powder, oregano and olive oil. Tempted to do parmesan but I have lactose intolerant peeps in the house.  Maybe that'll be a separate batch!  We ended up eating it off the foil lined cookie sheet - the bagels went first!  Thank you!</t>
        </is>
      </c>
    </row>
    <row r="171">
      <c r="A171" s="7" t="n">
        <v>79525</v>
      </c>
      <c r="B171" s="7" t="n">
        <v>299294</v>
      </c>
      <c r="C171" s="7" t="n">
        <v>317447</v>
      </c>
      <c r="D171" s="7" t="n">
        <v>75758</v>
      </c>
      <c r="E171" s="8" t="n">
        <v>38874</v>
      </c>
      <c r="F171" s="7" t="n">
        <v>4</v>
      </c>
      <c r="G171" s="7" t="inlineStr">
        <is>
          <t>Just tried this out it was a winner. I did make some changes such as adding some garlic, onion and a salt free seasoning mix, plus when I boiled my chicken I cut 1/2 green bellpepper and 1/2 onion and 1 fresh jalapeno pepper. Also added about 1/2 can rotel tomatoes into the chicken mixture. Family really enjoyed this.</t>
        </is>
      </c>
    </row>
    <row r="172">
      <c r="A172" s="7" t="n">
        <v>48006</v>
      </c>
      <c r="B172" s="7" t="n">
        <v>801648</v>
      </c>
      <c r="C172" s="7" t="n">
        <v>1179225</v>
      </c>
      <c r="D172" s="7" t="n">
        <v>116219</v>
      </c>
      <c r="E172" s="8" t="n">
        <v>41405</v>
      </c>
      <c r="F172" s="7" t="n">
        <v>5</v>
      </c>
      <c r="G172" s="7" t="inlineStr">
        <is>
          <t>Great way to get a guilty free chocolate fix. Loved how quick they were  to mix up. I used plain Greek yogurt and went ahead and used a whole egg because the yogurt I was using was pretty thick. Baked for 30 mins. and they came out great. Thanks for posting!</t>
        </is>
      </c>
    </row>
    <row r="173">
      <c r="A173" s="7" t="n">
        <v>42264</v>
      </c>
      <c r="B173" s="7" t="n">
        <v>291136</v>
      </c>
      <c r="C173" s="7" t="n">
        <v>967098</v>
      </c>
      <c r="D173" s="7" t="n">
        <v>50767</v>
      </c>
      <c r="E173" s="8" t="n">
        <v>40092</v>
      </c>
      <c r="F173" s="7" t="n">
        <v>5</v>
      </c>
      <c r="G173" s="7" t="inlineStr">
        <is>
          <t>I actually was given this recipe/idea from a young couple I went to church with years ago...her mother had made these.   It's great to do w/ any leftover poultry.  One time saver I have started doing is just using the soft cream cheese w/ chives already in in (when it's on sale I grab them).  I like to use thigh meat for these, it makes them so flavorful!  I usually skip the croutons and just sprinkle italian bread crumbs on the top once I brush them w/ butter.  You really do need to mix these by hand in order to break up the chicken and get it all mixed evenly.  It helps if your chicken is a *little* bit warm when you mix it, as well.</t>
        </is>
      </c>
    </row>
    <row r="174">
      <c r="A174" s="7" t="n">
        <v>36549</v>
      </c>
      <c r="B174" s="7" t="n">
        <v>77365</v>
      </c>
      <c r="C174" s="7" t="n">
        <v>2000242447</v>
      </c>
      <c r="D174" s="7" t="n">
        <v>202461</v>
      </c>
      <c r="E174" s="8" t="n">
        <v>42156</v>
      </c>
      <c r="F174" s="7" t="n">
        <v>1</v>
      </c>
      <c r="G174" s="7" t="inlineStr">
        <is>
          <t>Epic failure!  Absolute waste of time.  Baking time is closer to 1 1/2 to 2hrs.  Taste nothing loke like boston market. Dont waste your ingredients on this recipe.  Recipe belongs in trash!</t>
        </is>
      </c>
    </row>
    <row r="175">
      <c r="A175" s="7" t="n">
        <v>39918</v>
      </c>
      <c r="B175" s="7" t="n">
        <v>898624</v>
      </c>
      <c r="C175" s="7" t="n">
        <v>1802649288</v>
      </c>
      <c r="D175" s="7" t="n">
        <v>96515</v>
      </c>
      <c r="E175" s="8" t="n">
        <v>41741</v>
      </c>
      <c r="F175" s="7" t="n">
        <v>4</v>
      </c>
      <c r="G175" s="7" t="inlineStr">
        <is>
          <t>This recipe is amazing! It is not exactly tastykake krimpets, but I dare say better. If you are trying to mimic krimpets exactly you will be let down but if you would like something even better, these are incredible!</t>
        </is>
      </c>
    </row>
    <row r="176">
      <c r="A176" s="7" t="n">
        <v>9993</v>
      </c>
      <c r="B176" s="7" t="n">
        <v>239243</v>
      </c>
      <c r="C176" s="7" t="n">
        <v>50214</v>
      </c>
      <c r="D176" s="7" t="n">
        <v>200990</v>
      </c>
      <c r="E176" s="8" t="n">
        <v>39260</v>
      </c>
      <c r="F176" s="7" t="n">
        <v>4</v>
      </c>
      <c r="G176" s="7" t="inlineStr">
        <is>
          <t>This is the first squash casserole my husband has ever agreed to eat.  The taco seasoning "covers up" the squash taste somewhat.  So, if you're looking for a way to "hide" squash, try this recipe.  If you love squash like I do, you might like a more traditional casserole better.  But, I will certainly make this a keeper.  I served this as the main entree along with some sauteed string beans and a crisp garden salad.  I'm "allowed" one all-veggie meal per week and we enjoyed this one.</t>
        </is>
      </c>
    </row>
    <row r="177" ht="409.5" customHeight="1">
      <c r="A177" s="7" t="n">
        <v>124429</v>
      </c>
      <c r="B177" s="7" t="n">
        <v>849376</v>
      </c>
      <c r="C177" s="7" t="n">
        <v>51199</v>
      </c>
      <c r="D177" s="7" t="n">
        <v>4893</v>
      </c>
      <c r="E177" s="8" t="n">
        <v>38706</v>
      </c>
      <c r="F177" s="7" t="n">
        <v>5</v>
      </c>
      <c r="G177" s="9" t="inlineStr">
        <is>
          <t>Delicious. I had to use chestnut puree as it's not autumn in my part of the world (Australia)._x000D_
The only thing I added was a finely chopped green apple. All the herbs came out of the garden and the stuffing tasted fabulous. Thanks Dave.</t>
        </is>
      </c>
    </row>
    <row r="178" ht="409.5" customHeight="1">
      <c r="A178" s="7" t="n">
        <v>35547</v>
      </c>
      <c r="B178" s="7" t="n">
        <v>75735</v>
      </c>
      <c r="C178" s="7" t="n">
        <v>416807</v>
      </c>
      <c r="D178" s="7" t="n">
        <v>76225</v>
      </c>
      <c r="E178" s="8" t="n">
        <v>39146</v>
      </c>
      <c r="F178" s="7" t="n">
        <v>5</v>
      </c>
      <c r="G178" s="9" t="inlineStr">
        <is>
          <t>This was very good. I had to change the recipe a little since both my husband and I have to keep our sodium limit down to no more than 1500 per day. So I used herb to provence instead. For me it makes no difference in flavour since I use this as a substitue for salt a lot. I would make this again. I was thinking it might make a good fajitta if you sliced the chicken. Leanne_x000D_
_x000D_
_x000D_
I've changed this to a five. My husband has already requested this again._x000D_
_x000D_
Leanne</t>
        </is>
      </c>
    </row>
    <row r="179">
      <c r="A179" s="7" t="n">
        <v>20564</v>
      </c>
      <c r="B179" s="7" t="n">
        <v>812093</v>
      </c>
      <c r="C179" s="7" t="n">
        <v>266635</v>
      </c>
      <c r="D179" s="7" t="n">
        <v>386251</v>
      </c>
      <c r="E179" s="8" t="n">
        <v>42007</v>
      </c>
      <c r="F179" s="7" t="n">
        <v>5</v>
      </c>
      <c r="G179" s="7" t="inlineStr">
        <is>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is>
      </c>
    </row>
    <row r="180">
      <c r="A180" s="7" t="n">
        <v>24958</v>
      </c>
      <c r="B180" s="7" t="n">
        <v>613912</v>
      </c>
      <c r="C180" s="7" t="n">
        <v>2936000</v>
      </c>
      <c r="D180" s="7" t="n">
        <v>499604</v>
      </c>
      <c r="E180" s="8" t="n">
        <v>41494</v>
      </c>
      <c r="F180" s="7" t="n">
        <v>5</v>
      </c>
      <c r="G180" s="7" t="inlineStr">
        <is>
          <t>Great recipie.  Used thin cut bacon and smoked the chicken bombs using apple wood at around 300 degrees.  Brushed it with a spicy peach BBQ sauce.  Next time I run this, I&amp;#039;m going to fire-roast the jalapenos first and season the cream cheese mixture.</t>
        </is>
      </c>
    </row>
    <row r="181">
      <c r="A181" s="7" t="n">
        <v>12859</v>
      </c>
      <c r="B181" s="7" t="n">
        <v>376107</v>
      </c>
      <c r="C181" s="7" t="n">
        <v>283390</v>
      </c>
      <c r="D181" s="7" t="n">
        <v>60238</v>
      </c>
      <c r="E181" s="8" t="n">
        <v>40147</v>
      </c>
      <c r="F181" s="7" t="n">
        <v>5</v>
      </c>
      <c r="G181" s="7" t="inlineStr">
        <is>
          <t>This was really good! I don't eat bacon so we used vegetarian sausage in its place...apart from that, we followed this recipe as written. This was really filling and tasty, and the leftovers were good, too. Thanks for sharing!</t>
        </is>
      </c>
    </row>
    <row r="182">
      <c r="A182" s="7" t="n">
        <v>24377</v>
      </c>
      <c r="B182" s="7" t="n">
        <v>674645</v>
      </c>
      <c r="C182" s="7" t="n">
        <v>2285388</v>
      </c>
      <c r="D182" s="7" t="n">
        <v>288940</v>
      </c>
      <c r="E182" s="8" t="n">
        <v>41065</v>
      </c>
      <c r="F182" s="7" t="n">
        <v>5</v>
      </c>
      <c r="G182" s="7" t="inlineStr">
        <is>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is>
      </c>
    </row>
    <row r="183" ht="210" customHeight="1">
      <c r="A183" s="7" t="n">
        <v>105401</v>
      </c>
      <c r="B183" s="7" t="n">
        <v>1124735</v>
      </c>
      <c r="C183" s="7" t="n">
        <v>1390367</v>
      </c>
      <c r="D183" s="7" t="n">
        <v>386122</v>
      </c>
      <c r="E183" s="8" t="n">
        <v>40085</v>
      </c>
      <c r="F183" s="7" t="n">
        <v>4</v>
      </c>
      <c r="G183" s="9" t="inlineStr">
        <is>
          <t>GREAT!!_x000D_
I used PLAIN marinara sauce_x000D_
(instead of garlic sauce) but_x000D_
did use garlic to season._x000D_
VERY GOOD.</t>
        </is>
      </c>
    </row>
    <row r="184">
      <c r="A184" s="7" t="n">
        <v>23588</v>
      </c>
      <c r="B184" s="7" t="n">
        <v>40599</v>
      </c>
      <c r="C184" s="7" t="n">
        <v>1134773</v>
      </c>
      <c r="D184" s="7" t="n">
        <v>166379</v>
      </c>
      <c r="E184" s="8" t="n">
        <v>41520</v>
      </c>
      <c r="F184" s="7" t="n">
        <v>5</v>
      </c>
      <c r="G184" s="7" t="inlineStr">
        <is>
          <t>I used cilantro instead of the bay leaf. Great use for our abundant cherry tomatoes! I served it with grilled cantaloupe.</t>
        </is>
      </c>
    </row>
    <row r="185">
      <c r="A185" s="7" t="n">
        <v>48529</v>
      </c>
      <c r="B185" s="7" t="n">
        <v>771881</v>
      </c>
      <c r="C185" s="7" t="n">
        <v>47723</v>
      </c>
      <c r="D185" s="7" t="n">
        <v>97892</v>
      </c>
      <c r="E185" s="8" t="n">
        <v>41063</v>
      </c>
      <c r="F185" s="7" t="n">
        <v>4</v>
      </c>
      <c r="G185" s="7" t="inlineStr">
        <is>
          <t>This was easy to make and good to eat. I used 8 slices of white American cheese and it was just perfect.</t>
        </is>
      </c>
    </row>
    <row r="186">
      <c r="A186" s="7" t="n">
        <v>111252</v>
      </c>
      <c r="B186" s="7" t="n">
        <v>453529</v>
      </c>
      <c r="C186" s="7" t="n">
        <v>296809</v>
      </c>
      <c r="D186" s="7" t="n">
        <v>88032</v>
      </c>
      <c r="E186" s="8" t="n">
        <v>39444</v>
      </c>
      <c r="F186" s="7" t="n">
        <v>5</v>
      </c>
      <c r="G186" s="7" t="inlineStr">
        <is>
          <t>These sweet sensations are really more like a cookie than a cake &amp; are a classic confection here in Iceland. They are quite simply *TDF* &amp; fairly labor-intensive to get right, but so worth every moment of the effort. Chilling the meringue bases well b4 applying the choc mousse &amp; again b4 adding the layer of choc topping is key to success. It also works best to cool the choc topping just a bit &amp; apply it w/a soft pastry brush than to pour it over them or dip them in it. They are served right from the freezer here. All that said, they are truly amazing, 10* worthy &amp; decadent choc heaven w/every bite! Yum! Thx for sharing this recipe w/us. :-)</t>
        </is>
      </c>
    </row>
    <row r="187">
      <c r="A187" s="7" t="n">
        <v>45532</v>
      </c>
      <c r="B187" s="7" t="n">
        <v>82443</v>
      </c>
      <c r="C187" s="7" t="n">
        <v>133680</v>
      </c>
      <c r="D187" s="7" t="n">
        <v>8674</v>
      </c>
      <c r="E187" s="8" t="n">
        <v>39579</v>
      </c>
      <c r="F187" s="7" t="n">
        <v>5</v>
      </c>
      <c r="G187" s="7" t="inlineStr">
        <is>
          <t>These were Awesome!!, a little putzee, but fun to make. I used bottles sweet &amp; sour sauce for dipping. They were very good reheated in microwave, altough they lost the crunch, it did not deter from the awesome flavor. Great to make ahead and reheat for the party hors'derves.</t>
        </is>
      </c>
    </row>
    <row r="188">
      <c r="A188" s="7" t="n">
        <v>80611</v>
      </c>
      <c r="B188" s="7" t="n">
        <v>1075351</v>
      </c>
      <c r="C188" s="7" t="n">
        <v>23728</v>
      </c>
      <c r="D188" s="7" t="n">
        <v>15529</v>
      </c>
      <c r="E188" s="8" t="n">
        <v>37376</v>
      </c>
      <c r="F188" s="7" t="n">
        <v>0</v>
      </c>
      <c r="G188" s="7" t="inlineStr">
        <is>
          <t>Hi CC,  the filling is the 'frosting' that goes between the layers.....</t>
        </is>
      </c>
    </row>
    <row r="189">
      <c r="A189" t="n">
        <v>50525</v>
      </c>
      <c r="B189" t="n">
        <v>1049793</v>
      </c>
      <c r="C189" t="n">
        <v>253407</v>
      </c>
      <c r="D189" t="n">
        <v>198718</v>
      </c>
      <c r="E189" s="1" t="n">
        <v>39188</v>
      </c>
      <c r="F189" t="n">
        <v>5</v>
      </c>
      <c r="G189" t="inlineStr">
        <is>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is>
      </c>
    </row>
    <row r="190">
      <c r="A190" s="7" t="n">
        <v>2469</v>
      </c>
      <c r="B190" s="7" t="n">
        <v>712820</v>
      </c>
      <c r="C190" s="7" t="n">
        <v>558429</v>
      </c>
      <c r="D190" s="7" t="n">
        <v>51209</v>
      </c>
      <c r="E190" s="8" t="n">
        <v>39773</v>
      </c>
      <c r="F190" s="7" t="n">
        <v>5</v>
      </c>
      <c r="G190" s="7" t="inlineStr">
        <is>
          <t>This is one of my "go-to" recipes for pizza crust now....the last time I tried it I tossed in about 1/2 cup of very finely minced onion to the bread dough while it was kneading. The onion "cooks" while the pizza is being backed and adds even more texture and flavor! Many thanks for posting! :)</t>
        </is>
      </c>
    </row>
    <row r="191">
      <c r="A191" t="n">
        <v>52160</v>
      </c>
      <c r="B191" t="n">
        <v>805794</v>
      </c>
      <c r="C191" t="n">
        <v>336177</v>
      </c>
      <c r="D191" t="n">
        <v>189596</v>
      </c>
      <c r="E191" s="1" t="n">
        <v>39425</v>
      </c>
      <c r="F191" t="n">
        <v>5</v>
      </c>
      <c r="G191" t="inlineStr">
        <is>
          <t>I'm rating this one straight away, with the second batch still in the oven. This cookies (or bickies for us Aussies)are scrumptious!! I was trying to find a choc chip cookie recipe that didnt have brown sugar in it (don't have any) and found this recipe. Won't be looking for any other recipe for choc chip cookies now. This one is perfect. Worthy of many many more stars! So simple and so yummy! :)</t>
        </is>
      </c>
    </row>
    <row r="192">
      <c r="A192" s="7" t="n">
        <v>119902</v>
      </c>
      <c r="B192" s="7" t="n">
        <v>297033</v>
      </c>
      <c r="C192" s="7" t="n">
        <v>827857</v>
      </c>
      <c r="D192" s="7" t="n">
        <v>50385</v>
      </c>
      <c r="E192" s="8" t="n">
        <v>41333</v>
      </c>
      <c r="F192" s="7" t="n">
        <v>5</v>
      </c>
      <c r="G192" s="7" t="inlineStr">
        <is>
          <t>Excellent as written. Husband raved about it, ds wanted it packed in his lunch box for today. Oh... I did use only 2 huge breasts.  Next time im going to make more sauce... I want leftovers!</t>
        </is>
      </c>
    </row>
    <row r="193">
      <c r="A193" s="7" t="n">
        <v>44775</v>
      </c>
      <c r="B193" s="7" t="n">
        <v>1029195</v>
      </c>
      <c r="C193" s="7" t="n">
        <v>464080</v>
      </c>
      <c r="D193" s="7" t="n">
        <v>316172</v>
      </c>
      <c r="E193" s="8" t="n">
        <v>39707</v>
      </c>
      <c r="F193" s="7" t="n">
        <v>4</v>
      </c>
      <c r="G193" s="7" t="inlineStr">
        <is>
          <t>A SUPER easy dinner to say the least.  I used fresh, but frozen, tamales removed from their husks.  I cooked them on low and after 4 hours all of the sauce was gone, so I poured some enchilada sauce over the top and cooked them for another 2 hours.  Wished I would have put even MORE enchilada sauce on top.  These were very tasty.</t>
        </is>
      </c>
    </row>
    <row r="194" ht="409.5" customHeight="1">
      <c r="A194" s="7" t="n">
        <v>90394</v>
      </c>
      <c r="B194" s="7" t="n">
        <v>839818</v>
      </c>
      <c r="C194" s="7" t="n">
        <v>1155918</v>
      </c>
      <c r="D194" s="7" t="n">
        <v>14770</v>
      </c>
      <c r="E194" s="8" t="n">
        <v>39859</v>
      </c>
      <c r="F194" s="7" t="n">
        <v>5</v>
      </c>
      <c r="G194" s="9" t="inlineStr">
        <is>
          <t>LOL ... I found this recipe here at 11:30 pm tonight and now here I am back at 11:59 to tell you EVERYONE LOVED IT!  _x000D_
_x000D_
It was so quick and easy to make. The only thing I did differently was in using regular granulated sugar instead of caster sugar._x000D_
_x000D_
It turned out to be just like the chocolate lava cake that my DH loves so dearly!  _x000D_
_x000D_
It will easily serve 6 ... and that is if you like generous portions the way the 4 adults here like.  I venture to say it would serve 8 if you are also having ice-cream with the cake.  I would have dearly loved to have had some vanilla bean ice-cream with it tonight .... but hey .... now i have a reason to make it again tomorrow when I buy ice-cream. :)</t>
        </is>
      </c>
    </row>
    <row r="195">
      <c r="A195" t="n">
        <v>4746</v>
      </c>
      <c r="B195" t="n">
        <v>344851</v>
      </c>
      <c r="C195" t="n">
        <v>1308980</v>
      </c>
      <c r="D195" t="n">
        <v>75061</v>
      </c>
      <c r="E195" s="1" t="n">
        <v>39992</v>
      </c>
      <c r="F195" t="n">
        <v>5</v>
      </c>
      <c r="G195" t="inlineStr">
        <is>
          <t>This is now my most favorite bread to make.  Any leftovers get made into croutons.  The only change I made is I use butter instead of shortening.</t>
        </is>
      </c>
    </row>
    <row r="196" ht="409.5" customHeight="1">
      <c r="A196" s="7" t="n">
        <v>82442</v>
      </c>
      <c r="B196" s="7" t="n">
        <v>196491</v>
      </c>
      <c r="C196" s="7" t="n">
        <v>37229</v>
      </c>
      <c r="D196" s="7" t="n">
        <v>11789</v>
      </c>
      <c r="E196" s="8" t="n">
        <v>38238</v>
      </c>
      <c r="F196" s="7" t="n">
        <v>5</v>
      </c>
      <c r="G196" s="9" t="inlineStr">
        <is>
          <t>I made these today. Yummy!!_x000D_
I was worried at first because I thought the sauce tasted odd when I tasted it on its own, but I really liked it on the burger with the swiss cheese._x000D_
I didn't have accent so I just used more Lawry's seasoned salt.I also couldn't find processed swiss, so I used baby swiss instead which pretty much had no holes anyway. I will make this again! Mmmmm</t>
        </is>
      </c>
    </row>
    <row r="197">
      <c r="A197" s="7" t="n">
        <v>113988</v>
      </c>
      <c r="B197" s="7" t="n">
        <v>189422</v>
      </c>
      <c r="C197" s="7" t="n">
        <v>68526</v>
      </c>
      <c r="D197" s="7" t="n">
        <v>277843</v>
      </c>
      <c r="E197" s="8" t="n">
        <v>39531</v>
      </c>
      <c r="F197" s="7" t="n">
        <v>5</v>
      </c>
      <c r="G197" s="7" t="inlineStr">
        <is>
          <t>I made this soup for lunch today and it was delicious! I loved the combination of the cheese with the tomatoes. The spices were great along with the veggies. I will definately be making this again!  Thanks for sharing it with us Sally!  Made and reviewed for Aus/NZ Recipe Swap #14.  Linda</t>
        </is>
      </c>
    </row>
    <row r="198" ht="225" customHeight="1">
      <c r="A198" t="n">
        <v>51419</v>
      </c>
      <c r="B198" t="n">
        <v>32094</v>
      </c>
      <c r="C198" t="n">
        <v>74408</v>
      </c>
      <c r="D198" t="n">
        <v>106677</v>
      </c>
      <c r="E198" s="1" t="n">
        <v>38361</v>
      </c>
      <c r="F198" t="n">
        <v>4</v>
      </c>
      <c r="G198" s="2" t="inlineStr">
        <is>
          <t>I thought it was great and the Directions were very easy 10x15 is the size of the dish you use._x000D_
Great job.</t>
        </is>
      </c>
    </row>
    <row r="199">
      <c r="A199" s="7" t="n">
        <v>65092</v>
      </c>
      <c r="B199" s="7" t="n">
        <v>909952</v>
      </c>
      <c r="C199" s="7" t="n">
        <v>384442</v>
      </c>
      <c r="D199" s="7" t="n">
        <v>178089</v>
      </c>
      <c r="E199" s="8" t="n">
        <v>39058</v>
      </c>
      <c r="F199" s="7" t="n">
        <v>4</v>
      </c>
      <c r="G199" s="7" t="inlineStr">
        <is>
          <t>my boyfriend who is on low carb loved this! i made it without the tomato soup (hidden sugars!) and served it with vegies and cabbage - the smell went through the whole house and will be something that i will certainly make again!</t>
        </is>
      </c>
    </row>
    <row r="200">
      <c r="A200" s="7" t="n">
        <v>110691</v>
      </c>
      <c r="B200" s="7" t="n">
        <v>1059935</v>
      </c>
      <c r="C200" s="7" t="n">
        <v>453097</v>
      </c>
      <c r="D200" s="7" t="n">
        <v>132469</v>
      </c>
      <c r="E200" s="8" t="n">
        <v>40032</v>
      </c>
      <c r="F200" s="7" t="n">
        <v>5</v>
      </c>
      <c r="G200" s="7" t="inlineStr">
        <is>
          <t>My boys are salsa critics and this one passed the test with flying colors.  I did tweak it a little.  I substituted 6 oz of tomato paste for the Clear Jel (I used regular tomatoes so I had more juice), added a Tablespoon of sugar, misread Tbsp for tsp and put in 1 Tablespoon of cumin, and I added LOTS of cilantro.  It turned out very flavorful.  (I only put 2 T of salt too).  (I had a few haberno chile's canned from the previous year and chopped up 3 which added lots of heat!!! Yummy.</t>
        </is>
      </c>
    </row>
    <row r="201">
      <c r="A201" s="7" t="n">
        <v>83176</v>
      </c>
      <c r="B201" s="7" t="n">
        <v>461895</v>
      </c>
      <c r="C201" s="7" t="n">
        <v>118163</v>
      </c>
      <c r="D201" s="7" t="n">
        <v>26820</v>
      </c>
      <c r="E201" s="8" t="n">
        <v>38152</v>
      </c>
      <c r="F201" s="7" t="n">
        <v>5</v>
      </c>
      <c r="G201" s="7" t="inlineStr">
        <is>
          <t>Oh these are so good!!!! I have never had toasted ravioli before in my life, but I could only hope to have it every day now! (Okay, maybe not "every day") These ravioli put boiled ones to shame, you just can't beat their toast flavor and crispy texture. Wow, these are so good!</t>
        </is>
      </c>
    </row>
    <row r="202">
      <c r="A202" s="7" t="n">
        <v>95629</v>
      </c>
      <c r="B202" s="7" t="n">
        <v>994109</v>
      </c>
      <c r="C202" s="7" t="n">
        <v>167277</v>
      </c>
      <c r="D202" s="7" t="n">
        <v>191490</v>
      </c>
      <c r="E202" s="8" t="n">
        <v>39416</v>
      </c>
      <c r="F202" s="7" t="n">
        <v>5</v>
      </c>
      <c r="G202" s="7" t="inlineStr">
        <is>
          <t>I know these are wonderful as I also have this posted using real onion, finely minced. Another reviewer said her only changes were to add ' mike and right'. What the heck is that??? lol</t>
        </is>
      </c>
    </row>
    <row r="203">
      <c r="A203" s="7" t="n">
        <v>4551</v>
      </c>
      <c r="B203" s="7" t="n">
        <v>153420</v>
      </c>
      <c r="C203" s="7" t="n">
        <v>2001276250</v>
      </c>
      <c r="D203" s="7" t="n">
        <v>323897</v>
      </c>
      <c r="E203" s="8" t="n">
        <v>42704</v>
      </c>
      <c r="F203" s="7" t="n">
        <v>4</v>
      </c>
      <c r="G203" s="7" t="inlineStr">
        <is>
          <t>Enjoyed the dish! The only ingredient I switched up was the rice. Used rice-a-roni. Followed microwave instructions on the box; but only cooked in microwave 5 minutes and then to the baking dish. Enjoy!</t>
        </is>
      </c>
    </row>
    <row r="204">
      <c r="A204" s="7" t="n">
        <v>52353</v>
      </c>
      <c r="B204" s="7" t="n">
        <v>378961</v>
      </c>
      <c r="C204" s="7" t="n">
        <v>424680</v>
      </c>
      <c r="D204" s="7" t="n">
        <v>393340</v>
      </c>
      <c r="E204" s="8" t="n">
        <v>40315</v>
      </c>
      <c r="F204" s="7" t="n">
        <v>5</v>
      </c>
      <c r="G204" s="7" t="inlineStr">
        <is>
          <t>Thanks for this great recipe for grilling chicken ~ It will definitely come in handy during the warm summer months! The chicken &amp; the simple salad make a very nice combo! Really loved the lime &amp; garlic marinade! [Tagged &amp; made in Please Review My Recipe]</t>
        </is>
      </c>
    </row>
    <row r="205">
      <c r="A205" s="7" t="n">
        <v>109557</v>
      </c>
      <c r="B205" s="7" t="n">
        <v>1107951</v>
      </c>
      <c r="C205" s="7" t="n">
        <v>2549237</v>
      </c>
      <c r="D205" s="7" t="n">
        <v>178825</v>
      </c>
      <c r="E205" s="8" t="n">
        <v>42647</v>
      </c>
      <c r="F205" s="7" t="n">
        <v>4</v>
      </c>
      <c r="G205" s="7" t="inlineStr">
        <is>
          <t>This was so easy...I actually bought a rice cooker just to make this recipe because I had pearl barley to use up and this sounded so much better than vegetable soup to me. I bought a crappy, cheap rice cooker, so it was probably the machine that caused the food to scorch to the bottom. I don't know. The top of the food was delicious and my house smells really good right now, my only complaint is about it sticking and scorching. I served this alongside steamed broccoli tonight. Thanks Demandy!</t>
        </is>
      </c>
    </row>
    <row r="206">
      <c r="A206" s="7" t="n">
        <v>21480</v>
      </c>
      <c r="B206" s="7" t="n">
        <v>27964</v>
      </c>
      <c r="C206" s="7" t="n">
        <v>1029777</v>
      </c>
      <c r="D206" s="7" t="n">
        <v>46344</v>
      </c>
      <c r="E206" s="8" t="n">
        <v>39768</v>
      </c>
      <c r="F206" s="7" t="n">
        <v>5</v>
      </c>
      <c r="G206" s="7" t="inlineStr">
        <is>
          <t>This was really savory.  Fall off the bone good.  We seared ours in some olive oil for a couple min.s and then oven baked for an hour and 20 mins.  Do try this as it is inexpensive and great left overs!!</t>
        </is>
      </c>
    </row>
    <row r="207">
      <c r="A207" s="7" t="n">
        <v>93642</v>
      </c>
      <c r="B207" s="7" t="n">
        <v>229839</v>
      </c>
      <c r="C207" s="7" t="n">
        <v>780172</v>
      </c>
      <c r="D207" s="7" t="n">
        <v>297336</v>
      </c>
      <c r="E207" s="8" t="n">
        <v>39706</v>
      </c>
      <c r="F207" s="7" t="n">
        <v>5</v>
      </c>
      <c r="G207" s="7" t="inlineStr">
        <is>
          <t>A very quick, simple and easy to prepare soup. Made according to directions, with the exception I used a twist type pasta vs spaghetti pasta. Family enjoyed.</t>
        </is>
      </c>
    </row>
    <row r="208">
      <c r="A208" t="n">
        <v>23271</v>
      </c>
      <c r="B208" t="n">
        <v>722231</v>
      </c>
      <c r="C208" t="n">
        <v>80353</v>
      </c>
      <c r="D208" t="n">
        <v>260610</v>
      </c>
      <c r="E208" s="1" t="n">
        <v>39450</v>
      </c>
      <c r="F208" t="n">
        <v>5</v>
      </c>
      <c r="G208" t="inlineStr">
        <is>
          <t>Great salad and dressing.   I loved the addition of the radishes and celery to the standard slaw.  The dressing was really yummy with the addition of the chives and shallots.  Very adult and delicious.</t>
        </is>
      </c>
    </row>
    <row r="209">
      <c r="A209" s="7" t="n">
        <v>103343</v>
      </c>
      <c r="B209" s="7" t="n">
        <v>685040</v>
      </c>
      <c r="C209" s="7" t="n">
        <v>2398527</v>
      </c>
      <c r="D209" s="7" t="n">
        <v>300279</v>
      </c>
      <c r="E209" s="8" t="n">
        <v>41164</v>
      </c>
      <c r="F209" s="7" t="n">
        <v>5</v>
      </c>
      <c r="G209" s="7" t="inlineStr">
        <is>
          <t>This meal was amazing!  I think this might just become a staple in my monthly meal planning!</t>
        </is>
      </c>
    </row>
    <row r="210">
      <c r="A210" s="7" t="n">
        <v>43063</v>
      </c>
      <c r="B210" s="7" t="n">
        <v>936622</v>
      </c>
      <c r="C210" s="7" t="n">
        <v>661133</v>
      </c>
      <c r="D210" s="7" t="n">
        <v>42870</v>
      </c>
      <c r="E210" s="8" t="n">
        <v>39422</v>
      </c>
      <c r="F210" s="7" t="n">
        <v>5</v>
      </c>
      <c r="G210" s="7" t="inlineStr">
        <is>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is>
      </c>
    </row>
    <row r="211">
      <c r="A211" s="7" t="n">
        <v>24123</v>
      </c>
      <c r="B211" s="7" t="n">
        <v>681056</v>
      </c>
      <c r="C211" s="7" t="n">
        <v>471902</v>
      </c>
      <c r="D211" s="7" t="n">
        <v>108248</v>
      </c>
      <c r="E211" s="8" t="n">
        <v>39769</v>
      </c>
      <c r="F211" s="7" t="n">
        <v>5</v>
      </c>
      <c r="G211" s="7" t="inlineStr">
        <is>
          <t>Very delicious, BUT with our stove it only needs about 10 minutes to back.  We set our timer for 20 minutes and burnt the first batch to a crisp!</t>
        </is>
      </c>
    </row>
    <row r="212">
      <c r="A212" s="7" t="n">
        <v>23195</v>
      </c>
      <c r="B212" s="7" t="n">
        <v>325378</v>
      </c>
      <c r="C212" s="7" t="n">
        <v>243711</v>
      </c>
      <c r="D212" s="7" t="n">
        <v>194323</v>
      </c>
      <c r="E212" s="8" t="n">
        <v>39147</v>
      </c>
      <c r="F212" s="7" t="n">
        <v>5</v>
      </c>
      <c r="G212" s="7" t="inlineStr">
        <is>
          <t>I just realized that I didn't rate this after making it for Thanksgiving, 2006.  It was really pretty easy to put together and a showstopper for our triplet 3 year old grandbabies.  They thought I was "amazing"!  The adults liked it too!  Thanks for the great directions.</t>
        </is>
      </c>
    </row>
    <row r="213">
      <c r="A213" s="7" t="n">
        <v>22893</v>
      </c>
      <c r="B213" s="7" t="n">
        <v>125310</v>
      </c>
      <c r="C213" s="7" t="n">
        <v>2846889</v>
      </c>
      <c r="D213" s="7" t="n">
        <v>182772</v>
      </c>
      <c r="E213" s="8" t="n">
        <v>41426</v>
      </c>
      <c r="F213" s="7" t="n">
        <v>5</v>
      </c>
      <c r="G213" s="7" t="inlineStr">
        <is>
          <t>These crepes were really easy to make and tasted great! My first time ever making crepes, but it was a breeze. I filled them with light vanilla yogurt, fresh strawberry slices, and blueberries and then topped them with granola and they were delicious! Two crepes (3 tablespoons of batter each) completely filled me up! :) They were sweet, but not too sweet.</t>
        </is>
      </c>
    </row>
    <row r="214" ht="409.5" customHeight="1">
      <c r="A214" s="7" t="n">
        <v>2981</v>
      </c>
      <c r="B214" s="7" t="n">
        <v>193370</v>
      </c>
      <c r="C214" s="7" t="n">
        <v>357244</v>
      </c>
      <c r="D214" s="7" t="n">
        <v>38301</v>
      </c>
      <c r="E214" s="8" t="n">
        <v>40157</v>
      </c>
      <c r="F214" s="7" t="n">
        <v>5</v>
      </c>
      <c r="G214" s="9" t="inlineStr">
        <is>
          <t>Thank you so much for this recipe, Lorac! I've only just begun cooking and, being a young bachelor, find this is practically the perfect meal for me. For breakfast, lunch, or dinner! 
I sometimes sub in Johnsonville spicy or andouille sausages b/c I usually have those on hand. I'll often throw a fried egg over top as well. Thanks again for my first favorite recipe!</t>
        </is>
      </c>
    </row>
    <row r="215">
      <c r="A215" s="7" t="n">
        <v>115090</v>
      </c>
      <c r="B215" s="7" t="n">
        <v>140455</v>
      </c>
      <c r="C215" s="7" t="n">
        <v>424680</v>
      </c>
      <c r="D215" s="7" t="n">
        <v>445597</v>
      </c>
      <c r="E215" s="8" t="n">
        <v>40999</v>
      </c>
      <c r="F215" s="7" t="n">
        <v>5</v>
      </c>
      <c r="G215" s="7" t="inlineStr">
        <is>
          <t>Very, very flavorful &amp; easy to make! I particularly enjoyed the combo of toasted seeds in this coleslaw! Definitely a keeper of a recipe! Many thanks for sharing it! [Made &amp; reviewed for one of my adoptees in this Spring's round of Pick A Chef]</t>
        </is>
      </c>
    </row>
    <row r="216">
      <c r="A216" s="7" t="n">
        <v>47943</v>
      </c>
      <c r="B216" s="7" t="n">
        <v>901601</v>
      </c>
      <c r="C216" s="7" t="n">
        <v>138005</v>
      </c>
      <c r="D216" s="7" t="n">
        <v>110548</v>
      </c>
      <c r="E216" s="8" t="n">
        <v>40380</v>
      </c>
      <c r="F216" s="7" t="n">
        <v>5</v>
      </c>
      <c r="G216" s="7" t="inlineStr">
        <is>
          <t>Awesome chili!!!!  I never liked Cincinnati chili that much before until I had some at a tailgate.  My husband and I searched for a good recipe and came upon this one.  I follow the recipe completely and then my husband usually tweeks it a little with more salt and for sure more red pepper.  LOVE IT!!!!!!</t>
        </is>
      </c>
    </row>
    <row r="217">
      <c r="A217" s="7" t="n">
        <v>112854</v>
      </c>
      <c r="B217" s="7" t="n">
        <v>290196</v>
      </c>
      <c r="C217" s="7" t="n">
        <v>205783</v>
      </c>
      <c r="D217" s="7" t="n">
        <v>234409</v>
      </c>
      <c r="E217" s="8" t="n">
        <v>39272</v>
      </c>
      <c r="F217" s="7" t="n">
        <v>5</v>
      </c>
      <c r="G217" s="7" t="inlineStr">
        <is>
          <t>Yum yum yum.  Didn't use the shrimp though cos my partner doesn't eat it (he's a sissy ha ha) substituted this for pork.  The flavour was great, I didn't have the pineapple on mine because I don't like cooked pineapple, but I don't think this meant the flavour wasn't there.  I served it with warm pita breads and a bit of lettuce.  Thanks!</t>
        </is>
      </c>
    </row>
    <row r="218">
      <c r="A218" s="7" t="n">
        <v>36909</v>
      </c>
      <c r="B218" s="7" t="n">
        <v>657203</v>
      </c>
      <c r="C218" s="7" t="n">
        <v>1870781</v>
      </c>
      <c r="D218" s="7" t="n">
        <v>27208</v>
      </c>
      <c r="E218" s="8" t="n">
        <v>40633</v>
      </c>
      <c r="F218" s="7" t="n">
        <v>5</v>
      </c>
      <c r="G218" s="7" t="inlineStr">
        <is>
          <t>This is one of my favorites! It has become a part of my regular family rotation. Thank you so much for shareing a feel good recipe. :-)</t>
        </is>
      </c>
    </row>
    <row r="219" ht="409.5" customHeight="1">
      <c r="A219" s="7" t="n">
        <v>51822</v>
      </c>
      <c r="B219" s="7" t="n">
        <v>611957</v>
      </c>
      <c r="C219" s="7" t="n">
        <v>64154</v>
      </c>
      <c r="D219" s="7" t="n">
        <v>238994</v>
      </c>
      <c r="E219" s="8" t="n">
        <v>39810</v>
      </c>
      <c r="F219" s="7" t="n">
        <v>5</v>
      </c>
      <c r="G219" s="9" t="inlineStr">
        <is>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is>
      </c>
    </row>
    <row r="220">
      <c r="A220" s="7" t="n">
        <v>71122</v>
      </c>
      <c r="B220" s="7" t="n">
        <v>297773</v>
      </c>
      <c r="C220" s="7" t="n">
        <v>64112</v>
      </c>
      <c r="D220" s="7" t="n">
        <v>200244</v>
      </c>
      <c r="E220" s="8" t="n">
        <v>39085</v>
      </c>
      <c r="F220" s="7" t="n">
        <v>4</v>
      </c>
      <c r="G220" s="7" t="inlineStr">
        <is>
          <t>I will make this again.The coating gave it a very light crunchiness. I used grouper instead of Tilapia and Panko bread crumbs.</t>
        </is>
      </c>
    </row>
    <row r="221">
      <c r="A221" s="7" t="n">
        <v>115709</v>
      </c>
      <c r="B221" s="7" t="n">
        <v>325833</v>
      </c>
      <c r="C221" s="7" t="n">
        <v>209603</v>
      </c>
      <c r="D221" s="7" t="n">
        <v>304515</v>
      </c>
      <c r="E221" s="8" t="n">
        <v>39904</v>
      </c>
      <c r="F221" s="7" t="n">
        <v>3</v>
      </c>
      <c r="G221" s="7" t="inlineStr">
        <is>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is>
      </c>
    </row>
    <row r="222">
      <c r="A222" s="7" t="n">
        <v>74444</v>
      </c>
      <c r="B222" s="7" t="n">
        <v>13973</v>
      </c>
      <c r="C222" s="7" t="n">
        <v>23119</v>
      </c>
      <c r="D222" s="7" t="n">
        <v>149032</v>
      </c>
      <c r="E222" s="8" t="n">
        <v>40189</v>
      </c>
      <c r="F222" s="7" t="n">
        <v>5</v>
      </c>
      <c r="G222" s="7" t="inlineStr">
        <is>
          <t>Very tender and juicy roast. I used a smaller roast so the time was reduced for cooking. i served with potatoes and a green salad. Made for Bargain Basement.</t>
        </is>
      </c>
    </row>
    <row r="223">
      <c r="A223" s="7" t="n">
        <v>65898</v>
      </c>
      <c r="B223" s="7" t="n">
        <v>374712</v>
      </c>
      <c r="C223" s="7" t="n">
        <v>2325281</v>
      </c>
      <c r="D223" s="7" t="n">
        <v>308565</v>
      </c>
      <c r="E223" s="8" t="n">
        <v>41101</v>
      </c>
      <c r="F223" s="7" t="n">
        <v>0</v>
      </c>
      <c r="G223" s="7" t="inlineStr">
        <is>
          <t>I wonder if adding some peanut butter to the mix would work ? will have to try one of these times. A co-worker made these and brought in to work for us to try, they were YUMMY. I was amazed at what little it took to make these.</t>
        </is>
      </c>
    </row>
    <row r="224">
      <c r="A224" t="n">
        <v>24018</v>
      </c>
      <c r="B224" t="n">
        <v>1103956</v>
      </c>
      <c r="C224" t="n">
        <v>177933</v>
      </c>
      <c r="D224" t="n">
        <v>64446</v>
      </c>
      <c r="E224" s="1" t="n">
        <v>39009</v>
      </c>
      <c r="F224" t="n">
        <v>5</v>
      </c>
      <c r="G224" t="inlineStr">
        <is>
          <t>My first attempt at bakind bread from scratch and it was a really good recipe to start with.  So easy, however my yeast was a little expired so I know it didn't raise properly, but it still tasted great.  I will try it again with fresh yeast.  Thanks!</t>
        </is>
      </c>
    </row>
    <row r="225">
      <c r="A225" s="7" t="n">
        <v>119498</v>
      </c>
      <c r="B225" s="7" t="n">
        <v>244865</v>
      </c>
      <c r="C225" s="7" t="n">
        <v>2000498330</v>
      </c>
      <c r="D225" s="7" t="n">
        <v>288112</v>
      </c>
      <c r="E225" s="8" t="n">
        <v>42346</v>
      </c>
      <c r="F225" s="7" t="n">
        <v>4</v>
      </c>
      <c r="G225" s="7" t="inlineStr">
        <is>
          <t>Nice cookie, but very sweet. So be ready.</t>
        </is>
      </c>
    </row>
    <row r="226" ht="390" customHeight="1">
      <c r="A226" s="7" t="n">
        <v>28144</v>
      </c>
      <c r="B226" s="7" t="n">
        <v>968999</v>
      </c>
      <c r="C226" s="7" t="n">
        <v>9869</v>
      </c>
      <c r="D226" s="7" t="n">
        <v>48799</v>
      </c>
      <c r="E226" s="8" t="n">
        <v>37606</v>
      </c>
      <c r="F226" s="7" t="n">
        <v>5</v>
      </c>
      <c r="G226" s="9" t="inlineStr">
        <is>
          <t>Boy is this ever good._x000D_
Quick easy and very moreish._x000D_
Love the addition of the spices and the coconut flavour makes a nice change from an egg based mix._x000D_
I used bacardi._x000D_
Thanks for sharing.</t>
        </is>
      </c>
    </row>
    <row r="227">
      <c r="A227" s="7" t="n">
        <v>4851</v>
      </c>
      <c r="B227" s="7" t="n">
        <v>747262</v>
      </c>
      <c r="C227" s="7" t="n">
        <v>96177</v>
      </c>
      <c r="D227" s="7" t="n">
        <v>327346</v>
      </c>
      <c r="E227" s="8" t="n">
        <v>40024</v>
      </c>
      <c r="F227" s="7" t="n">
        <v>4</v>
      </c>
      <c r="G227" s="7" t="inlineStr">
        <is>
          <t>very easy and tasty too. Not exactly like ruby tuesday's pasta, but good just the same. Made as directed for 123 tag.</t>
        </is>
      </c>
    </row>
    <row r="228">
      <c r="A228" s="7" t="n">
        <v>44956</v>
      </c>
      <c r="B228" s="7" t="n">
        <v>203732</v>
      </c>
      <c r="C228" s="7" t="n">
        <v>792255</v>
      </c>
      <c r="D228" s="7" t="n">
        <v>83789</v>
      </c>
      <c r="E228" s="8" t="n">
        <v>39578</v>
      </c>
      <c r="F228" s="7" t="n">
        <v>5</v>
      </c>
      <c r="G228" s="7" t="inlineStr">
        <is>
          <t>This pie is fantastic. I made it for my grandmother's birthday (she doesn't like cake) and it was a big hit. Easy to make and very delicious. The topping is a great alternative to a pie crust.</t>
        </is>
      </c>
    </row>
    <row r="229">
      <c r="A229" s="7" t="n">
        <v>28499</v>
      </c>
      <c r="B229" s="7" t="n">
        <v>714921</v>
      </c>
      <c r="C229" s="7" t="n">
        <v>2001587364</v>
      </c>
      <c r="D229" s="7" t="n">
        <v>437479</v>
      </c>
      <c r="E229" s="8" t="n">
        <v>42903</v>
      </c>
      <c r="F229" s="7" t="n">
        <v>5</v>
      </c>
      <c r="G229" s="7" t="inlineStr">
        <is>
          <t>Literally the best cupcakes I've ever had. No one even knew they were gluten free. Perfection!</t>
        </is>
      </c>
    </row>
    <row r="230">
      <c r="A230" s="7" t="n">
        <v>104698</v>
      </c>
      <c r="B230" s="7" t="n">
        <v>493130</v>
      </c>
      <c r="C230" s="7" t="n">
        <v>701315</v>
      </c>
      <c r="D230" s="7" t="n">
        <v>52089</v>
      </c>
      <c r="E230" s="8" t="n">
        <v>39470</v>
      </c>
      <c r="F230" s="7" t="n">
        <v>2</v>
      </c>
      <c r="G230" s="7" t="inlineStr">
        <is>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is>
      </c>
    </row>
    <row r="231">
      <c r="A231" s="7" t="n">
        <v>103288</v>
      </c>
      <c r="B231" s="7" t="n">
        <v>847556</v>
      </c>
      <c r="C231" s="7" t="n">
        <v>1046152</v>
      </c>
      <c r="D231" s="7" t="n">
        <v>74567</v>
      </c>
      <c r="E231" s="8" t="n">
        <v>39777</v>
      </c>
      <c r="F231" s="7" t="n">
        <v>3</v>
      </c>
      <c r="G231" s="7" t="inlineStr">
        <is>
          <t>I was not too impressed with these.  I followed the recipe exactly, and I could barely mix the dry and wet ingredients together.  I added a LOT of extra milk, and they still came out dry and tasting like baking soda.  Maybe I will make them again if I find a better muffin base.</t>
        </is>
      </c>
    </row>
    <row r="232">
      <c r="A232" s="7" t="n">
        <v>17557</v>
      </c>
      <c r="B232" s="7" t="n">
        <v>316716</v>
      </c>
      <c r="C232" s="7" t="n">
        <v>376098</v>
      </c>
      <c r="D232" s="7" t="n">
        <v>232888</v>
      </c>
      <c r="E232" s="8" t="n">
        <v>39331</v>
      </c>
      <c r="F232" s="7" t="n">
        <v>3</v>
      </c>
      <c r="G232" s="7" t="inlineStr">
        <is>
          <t>I did not really care for this too much.  My husband liked it, but I think it was too herby or something.  Maybe cutting down on the mint would have helped, but I don't think I'll be trying this again.  Sorry.</t>
        </is>
      </c>
    </row>
    <row r="233">
      <c r="A233" s="7" t="n">
        <v>33137</v>
      </c>
      <c r="B233" s="7" t="n">
        <v>855576</v>
      </c>
      <c r="C233" s="7" t="n">
        <v>242766</v>
      </c>
      <c r="D233" s="7" t="n">
        <v>65860</v>
      </c>
      <c r="E233" s="8" t="n">
        <v>38819</v>
      </c>
      <c r="F233" s="7" t="n">
        <v>5</v>
      </c>
      <c r="G233" s="7" t="inlineStr">
        <is>
          <t>This was very tasty!! It was easy to make and went together very quickly. It is also very rich, so small portions worked best for my family. I only used half of the creole seasoning because the brand that I had was fairly salty and spicy. My family really liked this dish and I will definitely be making it again. Thank you for sharing this wonderful recipe!!</t>
        </is>
      </c>
    </row>
    <row r="234">
      <c r="A234" t="n">
        <v>39902</v>
      </c>
      <c r="B234" t="n">
        <v>838392</v>
      </c>
      <c r="C234" t="n">
        <v>740468</v>
      </c>
      <c r="D234" t="n">
        <v>111780</v>
      </c>
      <c r="E234" s="1" t="n">
        <v>40048</v>
      </c>
      <c r="F234" t="n">
        <v>5</v>
      </c>
      <c r="G234" t="inlineStr">
        <is>
          <t>sorry about the delay on the review~ i thought these were great for pesach! my kids even ate them which was amazing! will def make next year!</t>
        </is>
      </c>
    </row>
    <row r="235">
      <c r="A235" s="7" t="n">
        <v>33490</v>
      </c>
      <c r="B235" s="7" t="n">
        <v>493531</v>
      </c>
      <c r="C235" s="7" t="n">
        <v>129177</v>
      </c>
      <c r="D235" s="7" t="n">
        <v>71373</v>
      </c>
      <c r="E235" s="8" t="n">
        <v>39802</v>
      </c>
      <c r="F235" s="7" t="n">
        <v>5</v>
      </c>
      <c r="G235" s="7" t="inlineStr">
        <is>
          <t>Great dinner rolls!  I used the same size pan as you use, but I only made 12 rolls... WONDERFUL!!</t>
        </is>
      </c>
    </row>
    <row r="236" ht="409.5" customHeight="1">
      <c r="A236" s="7" t="n">
        <v>30470</v>
      </c>
      <c r="B236" s="7" t="n">
        <v>107307</v>
      </c>
      <c r="C236" s="7" t="n">
        <v>182011</v>
      </c>
      <c r="D236" s="7" t="n">
        <v>117455</v>
      </c>
      <c r="E236" s="8" t="n">
        <v>38515</v>
      </c>
      <c r="F236" s="7" t="n">
        <v>5</v>
      </c>
      <c r="G236" s="9" t="inlineStr">
        <is>
          <t>This recipe was absolutely delicious! I would highly recommend it. The taste of the samosa filling is just like at your favorite Indian restaurant! I would recommend having a partner help you with the filling of the samomas and making of the pastry shell. Two people makes the job so much easier._x000D_
_x000D_
We added fresh, chopped cilantro (a small bunch) and fresh lemon juice (half-lemon) for even more flavor. Consider adding two teaspoons of chat masala for even more "chatpata" flavor! (chatpata means tangy and flavorful)</t>
        </is>
      </c>
    </row>
    <row r="237">
      <c r="A237" s="7" t="n">
        <v>63663</v>
      </c>
      <c r="B237" s="7" t="n">
        <v>655911</v>
      </c>
      <c r="C237" s="7" t="n">
        <v>28630</v>
      </c>
      <c r="D237" s="7" t="n">
        <v>27208</v>
      </c>
      <c r="E237" s="8" t="n">
        <v>37409</v>
      </c>
      <c r="F237" s="7" t="n">
        <v>5</v>
      </c>
      <c r="G237" s="7" t="inlineStr">
        <is>
          <t>this is great and quick and easy to do and tastes great</t>
        </is>
      </c>
    </row>
    <row r="238">
      <c r="A238" s="7" t="n">
        <v>11381</v>
      </c>
      <c r="B238" s="7" t="n">
        <v>416563</v>
      </c>
      <c r="C238" s="7" t="n">
        <v>235342</v>
      </c>
      <c r="D238" s="7" t="n">
        <v>331155</v>
      </c>
      <c r="E238" s="8" t="n">
        <v>39916</v>
      </c>
      <c r="F238" s="7" t="n">
        <v>4</v>
      </c>
      <c r="G238" s="7" t="inlineStr">
        <is>
          <t>Yummy and fast.  A good option for my vegetarian family members when I prepare meat!  Next time I will add a few veggies to it.</t>
        </is>
      </c>
    </row>
    <row r="239" ht="409.5" customHeight="1">
      <c r="A239" s="7" t="n">
        <v>62934</v>
      </c>
      <c r="B239" s="7" t="n">
        <v>602987</v>
      </c>
      <c r="C239" s="7" t="n">
        <v>632249</v>
      </c>
      <c r="D239" s="7" t="n">
        <v>198138</v>
      </c>
      <c r="E239" s="8" t="n">
        <v>39895</v>
      </c>
      <c r="F239" s="7" t="n">
        <v>5</v>
      </c>
      <c r="G239" s="9" t="inlineStr">
        <is>
          <t>Definitely a well deserved 5* rating.
An easy dough to work with, and the buttery richness is to die for.  I acutally ate this for breakfast this morning and I don't even feel guilty! Made for Spring PAC 2009. Thx for sharing your recipe KennKonn!</t>
        </is>
      </c>
    </row>
    <row r="240" ht="409.5" customHeight="1">
      <c r="A240" s="7" t="n">
        <v>72662</v>
      </c>
      <c r="B240" s="7" t="n">
        <v>273264</v>
      </c>
      <c r="C240" s="7" t="n">
        <v>63858</v>
      </c>
      <c r="D240" s="7" t="n">
        <v>16489</v>
      </c>
      <c r="E240" s="8" t="n">
        <v>38993</v>
      </c>
      <c r="F240" s="7" t="n">
        <v>5</v>
      </c>
      <c r="G240" s="9" t="inlineStr">
        <is>
          <t>I was actually worried about this because it doesn't have any baking soda/powder.  I used unsalted butter and added salt.  This was awesome.  What a great start for any flavor pound cake.  I might try coconut next.  Thanks for sharing._x000D_
Lisa</t>
        </is>
      </c>
    </row>
    <row r="241" ht="409.5" customHeight="1">
      <c r="A241" s="7" t="n">
        <v>32708</v>
      </c>
      <c r="B241" s="7" t="n">
        <v>253307</v>
      </c>
      <c r="C241" s="7" t="n">
        <v>1027769</v>
      </c>
      <c r="D241" s="7" t="n">
        <v>102617</v>
      </c>
      <c r="E241" s="8" t="n">
        <v>39771</v>
      </c>
      <c r="F241" s="7" t="n">
        <v>5</v>
      </c>
      <c r="G241" s="9" t="inlineStr">
        <is>
          <t>Five Stars all for the dressing. It's AMAZING! It starts out sweet and a bit sour in your mouth and as you chew, you can feel the lemon and cream and pepper follow up and blend nicely. It's the best coleslaw dressing I've ever tasted.
Being an avid fan of sweets rather than sours however, I refrained from adding green onions or celery seeds and stuck with the cabbage and carrot (and a tad of dried onion flakes), but that's just me!
All in all, a recipe worth safekeeping! Thank you KITTENCAL!</t>
        </is>
      </c>
    </row>
    <row r="242">
      <c r="A242" s="7" t="n">
        <v>4404</v>
      </c>
      <c r="B242" s="7" t="n">
        <v>613347</v>
      </c>
      <c r="C242" s="7" t="n">
        <v>97901</v>
      </c>
      <c r="D242" s="7" t="n">
        <v>57938</v>
      </c>
      <c r="E242" s="8" t="n">
        <v>38425</v>
      </c>
      <c r="F242" s="7" t="n">
        <v>4</v>
      </c>
      <c r="G242" s="7" t="inlineStr">
        <is>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is>
      </c>
    </row>
    <row r="243">
      <c r="A243" s="7" t="n">
        <v>17948</v>
      </c>
      <c r="B243" s="7" t="n">
        <v>747904</v>
      </c>
      <c r="C243" s="7" t="n">
        <v>5060</v>
      </c>
      <c r="D243" s="7" t="n">
        <v>172164</v>
      </c>
      <c r="E243" s="8" t="n">
        <v>39200</v>
      </c>
      <c r="F243" s="7" t="n">
        <v>4</v>
      </c>
      <c r="G243" s="7" t="inlineStr">
        <is>
          <t>wonderful tast but I had a little trouble keeping the coat on, it went on very nicely but when I turned them it fell off. The great taste made up for it though. I use skinless thighs and will definately be making them again, thanks for posting.</t>
        </is>
      </c>
    </row>
    <row r="244">
      <c r="A244" t="n">
        <v>11271</v>
      </c>
      <c r="B244" t="n">
        <v>1104167</v>
      </c>
      <c r="C244" t="n">
        <v>346221</v>
      </c>
      <c r="D244" t="n">
        <v>64446</v>
      </c>
      <c r="E244" s="1" t="n">
        <v>41669</v>
      </c>
      <c r="F244" t="n">
        <v>5</v>
      </c>
      <c r="G244" t="inlineStr">
        <is>
          <t>I bake bread at least once a week and when I saw this recipe I had to try it. I didn&amp;#039;t have fresh rosemary so I used dried instead, along with a quarter teaspoon of ground rosemary. I&amp;#039;ve never had Romano&amp;#039;s Macaroni Grill bread, but this is a winner with me. What a pleasant surprise!</t>
        </is>
      </c>
    </row>
    <row r="245">
      <c r="A245" s="7" t="n">
        <v>106318</v>
      </c>
      <c r="B245" s="7" t="n">
        <v>191867</v>
      </c>
      <c r="C245" s="7" t="n">
        <v>74558</v>
      </c>
      <c r="D245" s="7" t="n">
        <v>137666</v>
      </c>
      <c r="E245" s="8" t="n">
        <v>38639</v>
      </c>
      <c r="F245" s="7" t="n">
        <v>5</v>
      </c>
      <c r="G245" s="7" t="inlineStr">
        <is>
          <t xml:space="preserve">A pleasure to take out of the oven with  all the little cherries decorating the cake top and outside edges.  Once again, Sarah, a cake prepared and baked for our annual Bake Sale.  I love sour cherries, and it was tempting to keep this one for myself, but the bake sale at this point was more important... I will make this again, Sarah... for myself.  Thanks again, for helping make my bake sale a success... </t>
        </is>
      </c>
    </row>
    <row r="246">
      <c r="A246" s="7" t="n">
        <v>79652</v>
      </c>
      <c r="B246" s="7" t="n">
        <v>804632</v>
      </c>
      <c r="C246" s="7" t="n">
        <v>1222615</v>
      </c>
      <c r="D246" s="7" t="n">
        <v>182422</v>
      </c>
      <c r="E246" s="8" t="n">
        <v>40119</v>
      </c>
      <c r="F246" s="7" t="n">
        <v>2</v>
      </c>
      <c r="G246" s="7" t="inlineStr">
        <is>
          <t>Sorry, but these turned out really soggy despite adding 5 minutes each side to cooking time.  Maybe it was because I used fresh pineapple and boneless (recipe didn't specify) pork loin chops.</t>
        </is>
      </c>
    </row>
    <row r="247">
      <c r="A247" s="7" t="n">
        <v>9195</v>
      </c>
      <c r="B247" s="7" t="n">
        <v>1008996</v>
      </c>
      <c r="C247" s="7" t="n">
        <v>2808681</v>
      </c>
      <c r="D247" s="7" t="n">
        <v>498944</v>
      </c>
      <c r="E247" s="8" t="n">
        <v>41469</v>
      </c>
      <c r="F247" s="7" t="n">
        <v>4</v>
      </c>
      <c r="G247" s="7" t="inlineStr">
        <is>
          <t>Excellent recipe.  I substituted a lower carb Teriyaki sauce for 1 carb worth of sliced bamboo shoots.  I felt it added a new texture to the dish that everyone enjoyed.  I served it with brown rice for the non-carbwatchers in the family and everyone loved it!</t>
        </is>
      </c>
    </row>
    <row r="248" ht="409.5" customHeight="1">
      <c r="A248" s="7" t="n">
        <v>21592</v>
      </c>
      <c r="B248" s="7" t="n">
        <v>174582</v>
      </c>
      <c r="C248" s="7" t="n">
        <v>312363</v>
      </c>
      <c r="D248" s="7" t="n">
        <v>50956</v>
      </c>
      <c r="E248" s="8" t="n">
        <v>40265</v>
      </c>
      <c r="F248" s="7" t="n">
        <v>5</v>
      </c>
      <c r="G248" s="9" t="inlineStr">
        <is>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is>
      </c>
    </row>
    <row r="249" ht="315" customHeight="1">
      <c r="A249" s="7" t="n">
        <v>82269</v>
      </c>
      <c r="B249" s="7" t="n">
        <v>363769</v>
      </c>
      <c r="C249" s="7" t="n">
        <v>126440</v>
      </c>
      <c r="D249" s="7" t="n">
        <v>331376</v>
      </c>
      <c r="E249" s="8" t="n">
        <v>39786</v>
      </c>
      <c r="F249" s="7" t="n">
        <v>5</v>
      </c>
      <c r="G249" s="9" t="inlineStr">
        <is>
          <t>This is a great recipe.  I made this for two and served with 
Recipe #169739 Spinach and  Roquefort salad.  The salad and chicken was delicious.</t>
        </is>
      </c>
    </row>
    <row r="250">
      <c r="A250" s="7" t="n">
        <v>6788</v>
      </c>
      <c r="B250" s="7" t="n">
        <v>769478</v>
      </c>
      <c r="C250" s="7" t="n">
        <v>228240</v>
      </c>
      <c r="D250" s="7" t="n">
        <v>149284</v>
      </c>
      <c r="E250" s="8" t="n">
        <v>39152</v>
      </c>
      <c r="F250" s="7" t="n">
        <v>5</v>
      </c>
      <c r="G250" s="7" t="inlineStr">
        <is>
          <t>What a great salad! My kids love jello and especially thought eating green jello was fun. I recommend this salad as a great way to sneak more veggies into kids!!</t>
        </is>
      </c>
    </row>
    <row r="251">
      <c r="A251" s="7" t="n">
        <v>110489</v>
      </c>
      <c r="B251" s="7" t="n">
        <v>1127259</v>
      </c>
      <c r="C251" s="7" t="n">
        <v>1802695191</v>
      </c>
      <c r="D251" s="7" t="n">
        <v>347323</v>
      </c>
      <c r="E251" s="8" t="n">
        <v>41820</v>
      </c>
      <c r="F251" s="7" t="n">
        <v>5</v>
      </c>
      <c r="G251" s="7" t="inlineStr">
        <is>
          <t>Just t tied this recipe but substituted whole milk instead of half and half and went less on the salt. Seriously sharp Cabot white cheddar was good in this. Great recipe. A Def keeper!</t>
        </is>
      </c>
    </row>
    <row r="252">
      <c r="A252" s="7" t="n">
        <v>68135</v>
      </c>
      <c r="B252" s="7" t="n">
        <v>774784</v>
      </c>
      <c r="C252" s="7" t="n">
        <v>340130</v>
      </c>
      <c r="D252" s="7" t="n">
        <v>31052</v>
      </c>
      <c r="E252" s="8" t="n">
        <v>39282</v>
      </c>
      <c r="F252" s="7" t="n">
        <v>4</v>
      </c>
      <c r="G252" s="7" t="inlineStr">
        <is>
          <t>This was fast and easy... a good healthy side salad that is nice change from the traditional "three bean" salad, It was a bit bland for our taste and I will increase the spices next time I make it. Thank you for sharing this one.</t>
        </is>
      </c>
    </row>
    <row r="253">
      <c r="A253" s="7" t="n">
        <v>90670</v>
      </c>
      <c r="B253" s="7" t="n">
        <v>800066</v>
      </c>
      <c r="C253" s="7" t="n">
        <v>374281</v>
      </c>
      <c r="D253" s="7" t="n">
        <v>27864</v>
      </c>
      <c r="E253" s="8" t="n">
        <v>39457</v>
      </c>
      <c r="F253" s="7" t="n">
        <v>5</v>
      </c>
      <c r="G253" s="7" t="inlineStr">
        <is>
          <t>Taking a break from cocunut milk curry, this is just what I have been looking for. Very delicious! Thanks for sharing! Definitely recommended! Use only 1-2 cups of water. 4 cups just too much.</t>
        </is>
      </c>
    </row>
    <row r="254">
      <c r="A254" s="7" t="n">
        <v>58598</v>
      </c>
      <c r="B254" s="7" t="n">
        <v>510330</v>
      </c>
      <c r="C254" s="7" t="n">
        <v>677474</v>
      </c>
      <c r="D254" s="7" t="n">
        <v>89207</v>
      </c>
      <c r="E254" s="8" t="n">
        <v>40401</v>
      </c>
      <c r="F254" s="7" t="n">
        <v>0</v>
      </c>
      <c r="G254" s="7" t="inlineStr">
        <is>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is>
      </c>
    </row>
    <row r="255">
      <c r="A255" s="7" t="n">
        <v>105518</v>
      </c>
      <c r="B255" s="7" t="n">
        <v>467832</v>
      </c>
      <c r="C255" s="7" t="n">
        <v>2061342</v>
      </c>
      <c r="D255" s="7" t="n">
        <v>461793</v>
      </c>
      <c r="E255" s="8" t="n">
        <v>40858</v>
      </c>
      <c r="F255" s="7" t="n">
        <v>5</v>
      </c>
      <c r="G255" s="7" t="inlineStr">
        <is>
          <t>I worked at Bower's Harbor Inn / The Bowery, and loved this dip - the slimpicity, flavor - amazing! I wanted to make it for Thanksgiving this year - what a thrill to find the true, original recipe on line! Thanks for posting it!</t>
        </is>
      </c>
    </row>
    <row r="256">
      <c r="A256" s="7" t="n">
        <v>101701</v>
      </c>
      <c r="B256" s="7" t="n">
        <v>322067</v>
      </c>
      <c r="C256" s="7" t="n">
        <v>2300352</v>
      </c>
      <c r="D256" s="7" t="n">
        <v>320658</v>
      </c>
      <c r="E256" s="8" t="n">
        <v>41359</v>
      </c>
      <c r="F256" s="7" t="n">
        <v>4</v>
      </c>
      <c r="G256" s="7" t="inlineStr">
        <is>
          <t>I really liked this recipe! I added peppers and onion to the meat mixture and in half of them I added a slice of pepperoni before adding the cheese (the hubby LOVES pepperoni). I ended up having to cook them closer to 25 minutes but I&amp;#039;m pretty sure that was my temperamental oven. They turned out wonderful and had a great pizza flavor. My 4-year-old devoured them! I will be making these again :)</t>
        </is>
      </c>
    </row>
    <row r="257">
      <c r="A257" s="7" t="n">
        <v>39488</v>
      </c>
      <c r="B257" s="7" t="n">
        <v>438913</v>
      </c>
      <c r="C257" s="7" t="n">
        <v>2907848</v>
      </c>
      <c r="D257" s="7" t="n">
        <v>76470</v>
      </c>
      <c r="E257" s="8" t="n">
        <v>41474</v>
      </c>
      <c r="F257" s="7" t="n">
        <v>5</v>
      </c>
      <c r="G257" s="7" t="inlineStr">
        <is>
          <t>AMAZING! Tasty and very simple to make! I added some bell peppers &amp;amp; NoOodles (no carb-calorie-fat-gluten noodles) and this recipe was great! My husband loved it and is already asked for it again!</t>
        </is>
      </c>
    </row>
    <row r="258">
      <c r="A258" s="7" t="n">
        <v>27956</v>
      </c>
      <c r="B258" s="7" t="n">
        <v>444728</v>
      </c>
      <c r="C258" s="7" t="n">
        <v>239758</v>
      </c>
      <c r="D258" s="7" t="n">
        <v>513440</v>
      </c>
      <c r="E258" s="8" t="n">
        <v>43394</v>
      </c>
      <c r="F258" s="7" t="n">
        <v>5</v>
      </c>
      <c r="G258" s="7" t="inlineStr">
        <is>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is>
      </c>
    </row>
    <row r="259">
      <c r="A259" t="n">
        <v>41855</v>
      </c>
      <c r="B259" t="n">
        <v>1104652</v>
      </c>
      <c r="C259" t="n">
        <v>486725</v>
      </c>
      <c r="D259" t="n">
        <v>298093</v>
      </c>
      <c r="E259" s="1" t="n">
        <v>40818</v>
      </c>
      <c r="F259" t="n">
        <v>5</v>
      </c>
      <c r="G259" t="inlineStr">
        <is>
          <t>This is definitely my kind of breakfast! I loved the spice of this. I used the chili flakes mentioned in the directions (vs. the chillies in the ingredient list). I added some ground coriander too. Ate with naan; very delicious.</t>
        </is>
      </c>
    </row>
    <row r="260">
      <c r="A260" s="7" t="n">
        <v>85200</v>
      </c>
      <c r="B260" s="7" t="n">
        <v>1072871</v>
      </c>
      <c r="C260" s="7" t="n">
        <v>59608</v>
      </c>
      <c r="D260" s="7" t="n">
        <v>36409</v>
      </c>
      <c r="E260" s="8" t="n">
        <v>37689</v>
      </c>
      <c r="F260" s="7" t="n">
        <v>5</v>
      </c>
      <c r="G260" s="7" t="inlineStr">
        <is>
          <t>Wonderful - had a great bite to it with the chiles and ginger.  Also had a vibrant colour.   I served this with a deep fried Indian onion things whose name I can't spell so I won't attempt to.</t>
        </is>
      </c>
    </row>
    <row r="261">
      <c r="A261" s="7" t="n">
        <v>125477</v>
      </c>
      <c r="B261" s="7" t="n">
        <v>330461</v>
      </c>
      <c r="C261" s="7" t="n">
        <v>1828504</v>
      </c>
      <c r="D261" s="7" t="n">
        <v>201463</v>
      </c>
      <c r="E261" s="8" t="n">
        <v>40932</v>
      </c>
      <c r="F261" s="7" t="n">
        <v>0</v>
      </c>
      <c r="G261" s="7" t="inlineStr">
        <is>
          <t>Easy and fast to make and delishious. You can use pretty much whatever kind of cheese you have and it will still taste great. I'm now wondering what it would taste like with ranch dressing instead of bbq sauce...</t>
        </is>
      </c>
    </row>
    <row r="262">
      <c r="A262" s="7" t="n">
        <v>64260</v>
      </c>
      <c r="B262" s="7" t="n">
        <v>251472</v>
      </c>
      <c r="C262" s="7" t="n">
        <v>58892</v>
      </c>
      <c r="D262" s="7" t="n">
        <v>22227</v>
      </c>
      <c r="E262" s="8" t="n">
        <v>38451</v>
      </c>
      <c r="F262" s="7" t="n">
        <v>4</v>
      </c>
      <c r="G262" s="7" t="inlineStr">
        <is>
          <t>This is a great way to cook chicken - with or without the gravy. My husband made it for dinner when I was late coming home - he did a great job with it and he's not really a cook. So, it's an easy recipe to follow with great results.  I would kick the seasoning up a bit.</t>
        </is>
      </c>
    </row>
    <row r="263">
      <c r="A263" s="7" t="n">
        <v>99530</v>
      </c>
      <c r="B263" s="7" t="n">
        <v>433056</v>
      </c>
      <c r="C263" s="7" t="n">
        <v>164293</v>
      </c>
      <c r="D263" s="7" t="n">
        <v>28648</v>
      </c>
      <c r="E263" s="8" t="n">
        <v>38346</v>
      </c>
      <c r="F263" s="7" t="n">
        <v>5</v>
      </c>
      <c r="G263" s="7" t="inlineStr">
        <is>
          <t>So easy!!!  There are 10 of us - so I thought I would try it!!!  I made a double recipe - used my 12X16 pan.  Used 2 lbs of sausage and about 1 pound of cheese.  It ended up being too thick to roll - so we just sliced it.  Still it tasted like an omelet!!!  Thank you</t>
        </is>
      </c>
    </row>
    <row r="264">
      <c r="A264" s="7" t="n">
        <v>30581</v>
      </c>
      <c r="B264" s="7" t="n">
        <v>1105048</v>
      </c>
      <c r="C264" s="7" t="n">
        <v>482933</v>
      </c>
      <c r="D264" s="7" t="n">
        <v>235079</v>
      </c>
      <c r="E264" s="8" t="n">
        <v>39684</v>
      </c>
      <c r="F264" s="7" t="n">
        <v>5</v>
      </c>
      <c r="G264" s="7" t="inlineStr">
        <is>
          <t>Delicious! DH raved about this! I added 1/4 teaspoon garlic powder and instead of 1/4 teaspoon of black pepper added a 1/2 teaspoon of black pepper to the flour mixture. I also sliced 2 small onions for the sauce, but to be truthful could hardly notice them. I used low fat sour cream. Now after looking at the kitchen references, I did not do the tomato puree correctly. I used 3 tablespoons of tomato paste that came from a tube that is closable and now realize that was too much and should have been diluted with water. Thanks Marlitt for sharing a wonderful Swiss steak recipe! Made for PRMR tag.</t>
        </is>
      </c>
    </row>
    <row r="265" ht="409.5" customHeight="1">
      <c r="A265" s="7" t="n">
        <v>75134</v>
      </c>
      <c r="B265" s="7" t="n">
        <v>1108743</v>
      </c>
      <c r="C265" s="7" t="n">
        <v>295353</v>
      </c>
      <c r="D265" s="7" t="n">
        <v>30358</v>
      </c>
      <c r="E265" s="8" t="n">
        <v>39191</v>
      </c>
      <c r="F265" s="7" t="n">
        <v>5</v>
      </c>
      <c r="G265" s="9" t="inlineStr">
        <is>
          <t>I didn't believe it!  I had to try it myself!  This is unbelievable -- works every time and the texture of the pasta comes out PERFECT.  _x000D_
_x000D_
No more standing over the stove for 15 minutes, stirring, checking, stirring, checking...Thank you!</t>
        </is>
      </c>
    </row>
    <row r="266">
      <c r="A266" s="7" t="n">
        <v>13286</v>
      </c>
      <c r="B266" s="7" t="n">
        <v>524375</v>
      </c>
      <c r="C266" s="7" t="n">
        <v>870705</v>
      </c>
      <c r="D266" s="7" t="n">
        <v>294267</v>
      </c>
      <c r="E266" s="8" t="n">
        <v>40490</v>
      </c>
      <c r="F266" s="7" t="n">
        <v>5</v>
      </c>
      <c r="G266" s="7" t="inlineStr">
        <is>
          <t>This is a really good sloppy joe recipe.  I do like to add chopped mushrooms to this........I saw that in the Joy of Cooking joe  recipe and always have added it ever since.</t>
        </is>
      </c>
    </row>
    <row r="267">
      <c r="A267" s="7" t="n">
        <v>103591</v>
      </c>
      <c r="B267" s="7" t="n">
        <v>495406</v>
      </c>
      <c r="C267" s="7" t="n">
        <v>2001110501</v>
      </c>
      <c r="D267" s="7" t="n">
        <v>221847</v>
      </c>
      <c r="E267" s="8" t="n">
        <v>43001</v>
      </c>
      <c r="F267" s="7" t="n">
        <v>5</v>
      </c>
      <c r="G267" s="7" t="inlineStr">
        <is>
          <t>Doing a low carb diet,so I substituted cauliflower for potatoes. Worked very well. Also added salt, pepper, and garlic powder, and topped it all with brown mustard when it was done. Very good!</t>
        </is>
      </c>
    </row>
    <row r="268">
      <c r="A268" s="7" t="n">
        <v>66537</v>
      </c>
      <c r="B268" s="7" t="n">
        <v>468143</v>
      </c>
      <c r="C268" s="7" t="n">
        <v>594181</v>
      </c>
      <c r="D268" s="7" t="n">
        <v>103417</v>
      </c>
      <c r="E268" s="8" t="n">
        <v>40285</v>
      </c>
      <c r="F268" s="7" t="n">
        <v>4</v>
      </c>
      <c r="G268" s="7" t="inlineStr">
        <is>
          <t>This was good, but a bit mild for our tastes (we can handle alot of spice) I would like to make this again adding a can of diced tomato and a diced jalapeno or two.</t>
        </is>
      </c>
    </row>
    <row r="269">
      <c r="A269" s="7" t="n">
        <v>116034</v>
      </c>
      <c r="B269" s="7" t="n">
        <v>929746</v>
      </c>
      <c r="C269" s="7" t="n">
        <v>1675332</v>
      </c>
      <c r="D269" s="7" t="n">
        <v>8780</v>
      </c>
      <c r="E269" s="8" t="n">
        <v>41799</v>
      </c>
      <c r="F269" s="7" t="n">
        <v>0</v>
      </c>
      <c r="G269" s="7" t="inlineStr">
        <is>
          <t>Mild? With &amp;quot;Fire in the Hole hot sauce?&amp;quot; Guess you have a different definition of mild! I&amp;#039;ve never been able to tolerate even the mildest of the hot sauces so &amp;quot;mild&amp;quot; is one of my search words. i could use this recipe...if I replaced all of the ingredients besides the meat. disppointed.</t>
        </is>
      </c>
    </row>
    <row r="270">
      <c r="A270" t="n">
        <v>16888</v>
      </c>
      <c r="B270" t="n">
        <v>938176</v>
      </c>
      <c r="C270" t="n">
        <v>478309</v>
      </c>
      <c r="D270" t="n">
        <v>82102</v>
      </c>
      <c r="E270" s="1" t="n">
        <v>39766</v>
      </c>
      <c r="F270" t="n">
        <v>5</v>
      </c>
      <c r="G270" t="inlineStr">
        <is>
          <t>This had a really good flavor and was a great way to change up my chicken!  I probably will turn it on broil for the last few minutes to put a nice crunch on it, other than that we loved it!</t>
        </is>
      </c>
    </row>
    <row r="271">
      <c r="A271" s="7" t="n">
        <v>117791</v>
      </c>
      <c r="B271" s="7" t="n">
        <v>1050878</v>
      </c>
      <c r="C271" s="7" t="n">
        <v>21752</v>
      </c>
      <c r="D271" s="7" t="n">
        <v>81260</v>
      </c>
      <c r="E271" s="8" t="n">
        <v>38071</v>
      </c>
      <c r="F271" s="7" t="n">
        <v>5</v>
      </c>
      <c r="G271" s="7" t="inlineStr">
        <is>
          <t>This was good, really good!  I certainly picked a winner to try here!  Didn't change a thing, not one thing, and that's probably a first for me, I change every recipe, including my own.  On my last trip to the States I bought a Microplane ribbon grater, and I had these large, lovely, yummy shavings of Parmesan resting on my hearts of palm.  So easy, so impressive, so yummy!</t>
        </is>
      </c>
    </row>
    <row r="272">
      <c r="A272" s="7" t="n">
        <v>516</v>
      </c>
      <c r="B272" s="7" t="n">
        <v>514970</v>
      </c>
      <c r="C272" s="7" t="n">
        <v>353579</v>
      </c>
      <c r="D272" s="7" t="n">
        <v>204188</v>
      </c>
      <c r="E272" s="8" t="n">
        <v>39330</v>
      </c>
      <c r="F272" s="7" t="n">
        <v>4</v>
      </c>
      <c r="G272" s="7" t="inlineStr">
        <is>
          <t>This was an interesting variation on hash browns.  I used my food processor and it was very easy to put together.  I added some cumin and cayenne to the seasonings.  Thanks for sharing!</t>
        </is>
      </c>
    </row>
    <row r="273">
      <c r="A273" s="7" t="n">
        <v>16029</v>
      </c>
      <c r="B273" s="7" t="n">
        <v>693320</v>
      </c>
      <c r="C273" s="7" t="n">
        <v>13796</v>
      </c>
      <c r="D273" s="7" t="n">
        <v>73918</v>
      </c>
      <c r="E273" s="8" t="n">
        <v>38169</v>
      </c>
      <c r="F273" s="7" t="n">
        <v>5</v>
      </c>
      <c r="G273" s="7" t="inlineStr">
        <is>
          <t xml:space="preserve">These were delicious. Now I keep them frozen in zip-style bags and just bring them out and pop in the toaster oven. We like it hot so I double the amount of jalapeños now. A can of chicken (found near the tuna fish) works well, too. </t>
        </is>
      </c>
    </row>
    <row r="274">
      <c r="A274" s="7" t="n">
        <v>50649</v>
      </c>
      <c r="B274" s="7" t="n">
        <v>1108712</v>
      </c>
      <c r="C274" s="7" t="n">
        <v>174535</v>
      </c>
      <c r="D274" s="7" t="n">
        <v>30358</v>
      </c>
      <c r="E274" s="8" t="n">
        <v>38334</v>
      </c>
      <c r="F274" s="7" t="n">
        <v>5</v>
      </c>
      <c r="G274" s="7" t="inlineStr">
        <is>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is>
      </c>
    </row>
    <row r="275">
      <c r="A275" s="7" t="n">
        <v>91617</v>
      </c>
      <c r="B275" s="7" t="n">
        <v>966172</v>
      </c>
      <c r="C275" s="7" t="n">
        <v>311003</v>
      </c>
      <c r="D275" s="7" t="n">
        <v>82770</v>
      </c>
      <c r="E275" s="8" t="n">
        <v>39821</v>
      </c>
      <c r="F275" s="7" t="n">
        <v>5</v>
      </c>
      <c r="G275" s="7" t="inlineStr">
        <is>
          <t>I was out of jarred Italian seasoning, so I made this tonight to spice a pork roast I was making.  I tasted it before putting it on the roast and it is so fresh-tasting and the combination of spices are perfect.  I'll never buy jarred again; this is SO much better.</t>
        </is>
      </c>
    </row>
    <row r="276" ht="409.5" customHeight="1">
      <c r="A276" s="7" t="n">
        <v>1077</v>
      </c>
      <c r="B276" s="7" t="n">
        <v>340564</v>
      </c>
      <c r="C276" s="7" t="n">
        <v>146917</v>
      </c>
      <c r="D276" s="7" t="n">
        <v>136589</v>
      </c>
      <c r="E276" s="8" t="n">
        <v>38766</v>
      </c>
      <c r="F276" s="7" t="n">
        <v>3</v>
      </c>
      <c r="G276" s="9" t="inlineStr">
        <is>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is>
      </c>
    </row>
    <row r="277" ht="409.5" customHeight="1">
      <c r="A277" s="7" t="n">
        <v>110574</v>
      </c>
      <c r="B277" s="7" t="n">
        <v>215889</v>
      </c>
      <c r="C277" s="7" t="n">
        <v>164429</v>
      </c>
      <c r="D277" s="7" t="n">
        <v>264474</v>
      </c>
      <c r="E277" s="8" t="n">
        <v>39453</v>
      </c>
      <c r="F277" s="7" t="n">
        <v>5</v>
      </c>
      <c r="G277" s="9" t="inlineStr">
        <is>
          <t>I was making lasagna for our card club and needed a vegetarian meal for one of the girls._x000D_
Found this and it sounded real good._x000D_
It is absolutely delicious. Thanks Steve for a great recipe._x000D_
Its a keeper. Will be making this again and not just for the vegetarians......Sue</t>
        </is>
      </c>
    </row>
    <row r="278">
      <c r="A278" s="7" t="n">
        <v>56583</v>
      </c>
      <c r="B278" s="7" t="n">
        <v>226172</v>
      </c>
      <c r="C278" s="7" t="n">
        <v>185293</v>
      </c>
      <c r="D278" s="7" t="n">
        <v>132324</v>
      </c>
      <c r="E278" s="8" t="n">
        <v>38578</v>
      </c>
      <c r="F278" s="7" t="n">
        <v>4</v>
      </c>
      <c r="G278" s="7" t="inlineStr">
        <is>
          <t xml:space="preserve">These burgers were yummy!  There was only a slight taste of honey mustard...  I think it needs more mustard in the sauce?  Anyhow, still very tasty!! </t>
        </is>
      </c>
    </row>
    <row r="279">
      <c r="A279" s="7" t="n">
        <v>38141</v>
      </c>
      <c r="B279" s="7" t="n">
        <v>518701</v>
      </c>
      <c r="C279" s="7" t="n">
        <v>50573</v>
      </c>
      <c r="D279" s="7" t="n">
        <v>54715</v>
      </c>
      <c r="E279" s="8" t="n">
        <v>37790</v>
      </c>
      <c r="F279" s="7" t="n">
        <v>5</v>
      </c>
      <c r="G279" s="7" t="inlineStr">
        <is>
          <t>Great recipe! I discovered after I got started that I didn't have sherry wine as I thought...and I was out of soy sauce! So I used 1/3 cup of teryaki sauce instead, and the rest of the recipe as written. A definite keeper in this house!</t>
        </is>
      </c>
    </row>
    <row r="280">
      <c r="A280" s="7" t="n">
        <v>80605</v>
      </c>
      <c r="B280" s="7" t="n">
        <v>275628</v>
      </c>
      <c r="C280" s="7" t="n">
        <v>1072593</v>
      </c>
      <c r="D280" s="7" t="n">
        <v>374401</v>
      </c>
      <c r="E280" s="8" t="n">
        <v>40814</v>
      </c>
      <c r="F280" s="7" t="n">
        <v>5</v>
      </c>
      <c r="G280" s="7" t="inlineStr">
        <is>
          <t>Good mood food.</t>
        </is>
      </c>
    </row>
    <row r="281">
      <c r="A281" s="7" t="n">
        <v>4527</v>
      </c>
      <c r="B281" s="7" t="n">
        <v>666535</v>
      </c>
      <c r="C281" s="7" t="n">
        <v>309972</v>
      </c>
      <c r="D281" s="7" t="n">
        <v>371688</v>
      </c>
      <c r="E281" s="8" t="n">
        <v>39995</v>
      </c>
      <c r="F281" s="7" t="n">
        <v>5</v>
      </c>
      <c r="G281" s="7" t="inlineStr">
        <is>
          <t>This was wonderful!! Great taste, easy to prepare and a hit with my family. Just enough heat too! I was not able to get mussels and did forgot the green beans at the store so I just did without, I don't think it made a difference.....since there was only three of us for dinner I used the small box of Zatarain's jambalaya mix and halved the other ingredients. I had enough to easily feed six people!! I will definitly make this again, thanks so much for such an easy recipe.</t>
        </is>
      </c>
    </row>
    <row r="282">
      <c r="A282" s="7" t="n">
        <v>79383</v>
      </c>
      <c r="B282" s="7" t="n">
        <v>564288</v>
      </c>
      <c r="C282" s="7" t="n">
        <v>138799</v>
      </c>
      <c r="D282" s="7" t="n">
        <v>256914</v>
      </c>
      <c r="E282" s="8" t="n">
        <v>39359</v>
      </c>
      <c r="F282" s="7" t="n">
        <v>5</v>
      </c>
      <c r="G282" s="7" t="inlineStr">
        <is>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is>
      </c>
    </row>
    <row r="283">
      <c r="A283" s="7" t="n">
        <v>2148</v>
      </c>
      <c r="B283" s="7" t="n">
        <v>540642</v>
      </c>
      <c r="C283" s="7" t="n">
        <v>957932</v>
      </c>
      <c r="D283" s="7" t="n">
        <v>93797</v>
      </c>
      <c r="E283" s="8" t="n">
        <v>39803</v>
      </c>
      <c r="F283" s="7" t="n">
        <v>5</v>
      </c>
      <c r="G283" s="7" t="inlineStr">
        <is>
          <t>Quick, easy, DELICIOUS.  I served this chilled and topped with whipped cream to a few of my girlfriends at a movie party and they were all asking for seconds.  They've each asked that I email them the recipe.  I will definitely be making this one again.  Two modifications: I used 3/4 cup of sugar and a dash of nutmeg.</t>
        </is>
      </c>
    </row>
    <row r="284">
      <c r="A284" s="7" t="n">
        <v>101544</v>
      </c>
      <c r="B284" s="7" t="n">
        <v>544271</v>
      </c>
      <c r="C284" s="7" t="n">
        <v>1464675</v>
      </c>
      <c r="D284" s="7" t="n">
        <v>101967</v>
      </c>
      <c r="E284" s="8" t="n">
        <v>40353</v>
      </c>
      <c r="F284" s="7" t="n">
        <v>5</v>
      </c>
      <c r="G284" s="7" t="inlineStr">
        <is>
          <t>Scrumpdilyicious!  For several years,  I would eat at Wyatt's Cafeteria in Fort Smith, AR, and would always pick this dish.  They have been closed for years, so when I grew eggplant in my garden this year, I looked for this recipe and was tickled when I found it here.  My husband loved it and he is not necessarily an eggplant fan.  I used less bread crumbs and more milk.  Next time, I might use a little more sage, just because I like lots of sage!</t>
        </is>
      </c>
    </row>
    <row r="285">
      <c r="A285" s="7" t="n">
        <v>101983</v>
      </c>
      <c r="B285" s="7" t="n">
        <v>672762</v>
      </c>
      <c r="C285" s="7" t="n">
        <v>461834</v>
      </c>
      <c r="D285" s="7" t="n">
        <v>297230</v>
      </c>
      <c r="E285" s="8" t="n">
        <v>41405</v>
      </c>
      <c r="F285" s="7" t="n">
        <v>4</v>
      </c>
      <c r="G285" s="7" t="inlineStr">
        <is>
          <t>Wonderful, tasty and very quick quiches!!!  In fact, mine were done in 13 minutes, although I baked mine in my convection oven, it still should have taken about 18 -20 minutes, so think the time maybe off a bit for these tiny quiches.  I tagged these because they were different and I was excited to see how the &amp;quot;Ritz&amp;quot; crackers were in the quiche, but unfortunately, I was disappointed, as I didn&amp;#039;t even taste or notice them in the quiches.  I made them as written for 1/8 of the recipe (which made 5 mini quiches) and used red bell peppers and left out the mushrooms due to taste preference.  Thanks so much for sharing the recipe and giving me an idea for my own way to make a different type of quiche.  Made for &amp;quot;Name that Ingredient&amp;quot; tag game.</t>
        </is>
      </c>
    </row>
    <row r="286">
      <c r="A286" s="7" t="n">
        <v>54915</v>
      </c>
      <c r="B286" s="7" t="n">
        <v>473529</v>
      </c>
      <c r="C286" s="7" t="n">
        <v>315565</v>
      </c>
      <c r="D286" s="7" t="n">
        <v>437306</v>
      </c>
      <c r="E286" s="8" t="n">
        <v>40469</v>
      </c>
      <c r="F286" s="7" t="n">
        <v>5</v>
      </c>
      <c r="G286" s="7" t="inlineStr">
        <is>
          <t>As was expected this was divine, pure comfort food !</t>
        </is>
      </c>
    </row>
    <row r="287" ht="409.5" customHeight="1">
      <c r="A287" s="7" t="n">
        <v>54611</v>
      </c>
      <c r="B287" s="7" t="n">
        <v>356833</v>
      </c>
      <c r="C287" s="7" t="n">
        <v>460687</v>
      </c>
      <c r="D287" s="7" t="n">
        <v>42603</v>
      </c>
      <c r="E287" s="8" t="n">
        <v>39610</v>
      </c>
      <c r="F287" s="7" t="n">
        <v>5</v>
      </c>
      <c r="G287" s="9" t="inlineStr">
        <is>
          <t>I just started bying chicken thighs instead of breasts, and happened to be looking for a way to cook them.  I stumbled on to this recipe, and this was delish!_x000D_
_x000D_
The only thing I didn't put on it was the pharm cheese, but next time I'll added a little cheddar or colby jack to the mix to coat.  Either one would fit so wonderfully with the ranch sauce!_x000D_
_x000D_
Both kids loved it and I'll be making this again and again.</t>
        </is>
      </c>
    </row>
    <row r="288">
      <c r="A288" s="7" t="n">
        <v>15722</v>
      </c>
      <c r="B288" s="7" t="n">
        <v>618512</v>
      </c>
      <c r="C288" s="7" t="n">
        <v>187373</v>
      </c>
      <c r="D288" s="7" t="n">
        <v>74951</v>
      </c>
      <c r="E288" s="8" t="n">
        <v>39394</v>
      </c>
      <c r="F288" s="7" t="n">
        <v>5</v>
      </c>
      <c r="G288" s="7" t="inlineStr">
        <is>
          <t>MMM....Delicious and really pretty. I used sun dried tomato wraps and these turned out really well.  Served them at a baby shower I hosted last weekend and then made an extra batch for some friends who came by later. Loved it! Thanks for sharing this recipe!! Will make again.</t>
        </is>
      </c>
    </row>
    <row r="289" ht="409.5" customHeight="1">
      <c r="A289" s="7" t="n">
        <v>28200</v>
      </c>
      <c r="B289" s="7" t="n">
        <v>411257</v>
      </c>
      <c r="C289" s="7" t="n">
        <v>573325</v>
      </c>
      <c r="D289" s="7" t="n">
        <v>20754</v>
      </c>
      <c r="E289" s="8" t="n">
        <v>40106</v>
      </c>
      <c r="F289" s="7" t="n">
        <v>5</v>
      </c>
      <c r="G289" s="9" t="inlineStr">
        <is>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is>
      </c>
    </row>
    <row r="290">
      <c r="A290" s="7" t="n">
        <v>47591</v>
      </c>
      <c r="B290" s="7" t="n">
        <v>999901</v>
      </c>
      <c r="C290" s="7" t="n">
        <v>165528</v>
      </c>
      <c r="D290" s="7" t="n">
        <v>51501</v>
      </c>
      <c r="E290" s="8" t="n">
        <v>39786</v>
      </c>
      <c r="F290" s="7" t="n">
        <v>5</v>
      </c>
      <c r="G290" s="7" t="inlineStr">
        <is>
          <t>Excellent!!  We used a 2 lb roast, 24 ounces of broth and did 1 1/2 half times the mustard and horseradish.  Wish we would have doubled it!!  Wonderful recipe, just so fantastic.  Thanks!!  Highly recommend this one!</t>
        </is>
      </c>
    </row>
    <row r="291">
      <c r="A291" s="7" t="n">
        <v>14888</v>
      </c>
      <c r="B291" s="7" t="n">
        <v>1074477</v>
      </c>
      <c r="C291" s="7" t="n">
        <v>790231</v>
      </c>
      <c r="D291" s="7" t="n">
        <v>135350</v>
      </c>
      <c r="E291" s="8" t="n">
        <v>40214</v>
      </c>
      <c r="F291" s="7" t="n">
        <v>5</v>
      </c>
      <c r="G291" s="7" t="inlineStr">
        <is>
          <t>Was very good.  Like many others I made additions.  I added garlic powder, onion flakes, cayenne and sour cream.  I used Cabot "Seriously Sharp Cheddar Cheese" but did not use any bread crumb topping. Tasted somewhat similar to Stouffers although this was cheaper and had none of the unknown ingredients added as preservatives.  Will make again, thanks.</t>
        </is>
      </c>
    </row>
    <row r="292">
      <c r="A292" s="7" t="n">
        <v>10489</v>
      </c>
      <c r="B292" s="7" t="n">
        <v>823918</v>
      </c>
      <c r="C292" s="7" t="n">
        <v>28345</v>
      </c>
      <c r="D292" s="7" t="n">
        <v>78814</v>
      </c>
      <c r="E292" s="8" t="n">
        <v>38765</v>
      </c>
      <c r="F292" s="7" t="n">
        <v>5</v>
      </c>
      <c r="G292" s="7" t="inlineStr">
        <is>
          <t>So Good!  I made these last week, and forgot to send my comments!  I used everything the recipe called for...The only thing I did different was to not use all of the sauce ontop.  I wasn't sure how they would turn out, but they were perfect.  Next time I will use it all.  My hubby, who isn't real fond of chicken really enjoyed them.  Thanks for sharing such a yummy recipe.  I will make again!</t>
        </is>
      </c>
    </row>
    <row r="293">
      <c r="A293" s="7" t="n">
        <v>75610</v>
      </c>
      <c r="B293" s="7" t="n">
        <v>35594</v>
      </c>
      <c r="C293" s="7" t="n">
        <v>37449</v>
      </c>
      <c r="D293" s="7" t="n">
        <v>384583</v>
      </c>
      <c r="E293" s="8" t="n">
        <v>40188</v>
      </c>
      <c r="F293" s="7" t="n">
        <v>5</v>
      </c>
      <c r="G293" s="7" t="inlineStr">
        <is>
          <t>I halved the recipe, enjoyed it alot! A very nice way to eat fennel. Thanks! Made for Australian recipe swap-Jan. 2010.</t>
        </is>
      </c>
    </row>
    <row r="294">
      <c r="A294" s="7" t="n">
        <v>1050</v>
      </c>
      <c r="B294" s="7" t="n">
        <v>738610</v>
      </c>
      <c r="C294" s="7" t="n">
        <v>62408</v>
      </c>
      <c r="D294" s="7" t="n">
        <v>29365</v>
      </c>
      <c r="E294" s="8" t="n">
        <v>38257</v>
      </c>
      <c r="F294" s="7" t="n">
        <v>5</v>
      </c>
      <c r="G294" s="7" t="inlineStr">
        <is>
          <t>Uhm, wow.  That's about all that can be said.  Great with any jelly, and very tasty.  Not something I could make all the time, but when the term comfort food was coined, I believe this was the inspiration.</t>
        </is>
      </c>
    </row>
    <row r="295">
      <c r="A295" s="7" t="n">
        <v>48916</v>
      </c>
      <c r="B295" s="7" t="n">
        <v>239584</v>
      </c>
      <c r="C295" s="7" t="n">
        <v>493835</v>
      </c>
      <c r="D295" s="7" t="n">
        <v>194297</v>
      </c>
      <c r="E295" s="8" t="n">
        <v>39506</v>
      </c>
      <c r="F295" s="7" t="n">
        <v>5</v>
      </c>
      <c r="G295" s="7" t="inlineStr">
        <is>
          <t>These were great!</t>
        </is>
      </c>
    </row>
    <row r="296">
      <c r="A296" s="7" t="n">
        <v>107697</v>
      </c>
      <c r="B296" s="7" t="n">
        <v>1108700</v>
      </c>
      <c r="C296" s="7" t="n">
        <v>43083</v>
      </c>
      <c r="D296" s="7" t="n">
        <v>30358</v>
      </c>
      <c r="E296" s="8" t="n">
        <v>37986</v>
      </c>
      <c r="F296" s="7" t="n">
        <v>5</v>
      </c>
      <c r="G296" s="7" t="inlineStr">
        <is>
          <t xml:space="preserve">Cool! Thanks for a great idea:) I made 6 oz of spagetti at 12 minutes and it was perfect. I will use this alot now so I can spend time making sauces. </t>
        </is>
      </c>
    </row>
    <row r="297">
      <c r="A297" s="7" t="n">
        <v>60484</v>
      </c>
      <c r="B297" s="7" t="n">
        <v>951138</v>
      </c>
      <c r="C297" s="7" t="n">
        <v>255338</v>
      </c>
      <c r="D297" s="7" t="n">
        <v>91792</v>
      </c>
      <c r="E297" s="8" t="n">
        <v>38950</v>
      </c>
      <c r="F297" s="7" t="n">
        <v>5</v>
      </c>
      <c r="G297" s="7" t="inlineStr">
        <is>
          <t>I have a KA, so this was practically no work at all. Dough was so soft and pliable. I let it double before rolling and shaping. Let it rise again for 45 minutes before frying. These donuts actually taste best when rolled in plain sugar. Wonderful recipe. Thank you so much for posting. Will make again and again and again.</t>
        </is>
      </c>
    </row>
    <row r="298">
      <c r="A298" s="7" t="n">
        <v>77976</v>
      </c>
      <c r="B298" s="7" t="n">
        <v>266098</v>
      </c>
      <c r="C298" s="7" t="n">
        <v>596370</v>
      </c>
      <c r="D298" s="7" t="n">
        <v>107786</v>
      </c>
      <c r="E298" s="8" t="n">
        <v>41776</v>
      </c>
      <c r="F298" s="7" t="n">
        <v>5</v>
      </c>
      <c r="G298" s="7" t="inlineStr">
        <is>
          <t>Perfect recipe / method.  Used season pepper in lieu of paprika, but the ribs came out great.  My wife (who doesn&amp;#039;t eat ribs) even loved them.  Thanks Beth, will use again for sure!</t>
        </is>
      </c>
    </row>
    <row r="299">
      <c r="A299" s="7" t="n">
        <v>110424</v>
      </c>
      <c r="B299" s="7" t="n">
        <v>688390</v>
      </c>
      <c r="C299" s="7" t="n">
        <v>256795</v>
      </c>
      <c r="D299" s="7" t="n">
        <v>93520</v>
      </c>
      <c r="E299" s="8" t="n">
        <v>39584</v>
      </c>
      <c r="F299" s="7" t="n">
        <v>5</v>
      </c>
      <c r="G299" s="7" t="inlineStr">
        <is>
          <t>Wow!!  Wow!!  Wow!!  Thanks so much for sharing.  Delicious just as written.  Thanks for sharing!  :O)</t>
        </is>
      </c>
    </row>
    <row r="300">
      <c r="A300" s="7" t="n">
        <v>23269</v>
      </c>
      <c r="B300" s="7" t="n">
        <v>228193</v>
      </c>
      <c r="C300" s="7" t="n">
        <v>227164</v>
      </c>
      <c r="D300" s="7" t="n">
        <v>29903</v>
      </c>
      <c r="E300" s="8" t="n">
        <v>39810</v>
      </c>
      <c r="F300" s="7" t="n">
        <v>5</v>
      </c>
      <c r="G300" s="7" t="inlineStr">
        <is>
          <t>YUM!!!  This trifle was beautiful and delicious.  I made as is except for adding toffee bits around the edge of each cool whipped layer.  I really like the addition of the toffee bits so might add more next time.   Thanks for the recipe! :)</t>
        </is>
      </c>
    </row>
    <row r="301">
      <c r="A301" s="7" t="n">
        <v>69382</v>
      </c>
      <c r="B301" s="7" t="n">
        <v>92901</v>
      </c>
      <c r="C301" s="7" t="n">
        <v>280271</v>
      </c>
      <c r="D301" s="7" t="n">
        <v>8511</v>
      </c>
      <c r="E301" s="8" t="n">
        <v>39229</v>
      </c>
      <c r="F301" s="7" t="n">
        <v>5</v>
      </c>
      <c r="G301" s="7" t="inlineStr">
        <is>
          <t>Outstanding Pheasant dish! The whole house smelled so good while this was cooking. I will be making this one again. I minced the garlic and used the juice from the mushrooms as part of the water required. The meat came out tender and moist. I served it with recipe #210232 and steamed broccoli. We had a wonderful meal. I posted a  before and after cooking picture. Hope others will try this dish. Thanks, Shirley Spillman for posting.</t>
        </is>
      </c>
    </row>
    <row r="302" ht="150" customHeight="1">
      <c r="A302" s="7" t="n">
        <v>57708</v>
      </c>
      <c r="B302" s="7" t="n">
        <v>449816</v>
      </c>
      <c r="C302" s="7" t="n">
        <v>124249</v>
      </c>
      <c r="D302" s="7" t="n">
        <v>73224</v>
      </c>
      <c r="E302" s="8" t="n">
        <v>38812</v>
      </c>
      <c r="F302" s="7" t="n">
        <v>5</v>
      </c>
      <c r="G302" s="9" t="inlineStr">
        <is>
          <t>Very good cookies._x000D_
_x000D_
Thanks Kittencal. _x000D_
_x000D_
Bullwinkle.</t>
        </is>
      </c>
    </row>
    <row r="303">
      <c r="A303" s="7" t="n">
        <v>122787</v>
      </c>
      <c r="B303" s="7" t="n">
        <v>134177</v>
      </c>
      <c r="C303" s="7" t="n">
        <v>615117</v>
      </c>
      <c r="D303" s="7" t="n">
        <v>417292</v>
      </c>
      <c r="E303" s="8" t="n">
        <v>42148</v>
      </c>
      <c r="F303" s="7" t="n">
        <v>4</v>
      </c>
      <c r="G303" s="7" t="inlineStr">
        <is>
          <t>We had this at a British tea shop today. They added Branston pickle, a relish that was delicious!</t>
        </is>
      </c>
    </row>
    <row r="304">
      <c r="A304" s="7" t="n">
        <v>102074</v>
      </c>
      <c r="B304" s="7" t="n">
        <v>251203</v>
      </c>
      <c r="C304" s="7" t="n">
        <v>887277</v>
      </c>
      <c r="D304" s="7" t="n">
        <v>67278</v>
      </c>
      <c r="E304" s="8" t="n">
        <v>40198</v>
      </c>
      <c r="F304" s="7" t="n">
        <v>5</v>
      </c>
      <c r="G304" s="7" t="inlineStr">
        <is>
          <t>This is delicious, especially if one adds cream! My mom makes this as well but leaves out the milk so that the vermicelli is dry and caramelised/butterscotch like flavoured. The cinnammon is absolutely crucial. I thought no one else knew of this recipe, how wrong I was. Well done.</t>
        </is>
      </c>
    </row>
    <row r="305">
      <c r="A305" s="7" t="n">
        <v>73781</v>
      </c>
      <c r="B305" s="7" t="n">
        <v>119627</v>
      </c>
      <c r="C305" s="7" t="n">
        <v>53932</v>
      </c>
      <c r="D305" s="7" t="n">
        <v>219800</v>
      </c>
      <c r="E305" s="8" t="n">
        <v>39235</v>
      </c>
      <c r="F305" s="7" t="n">
        <v>4</v>
      </c>
      <c r="G305" s="7" t="inlineStr">
        <is>
          <t>Full of flavor and very good.  I was afraid this was going to be too salty, but it really wasn't.</t>
        </is>
      </c>
    </row>
    <row r="306">
      <c r="A306" s="7" t="n">
        <v>87481</v>
      </c>
      <c r="B306" s="7" t="n">
        <v>1004650</v>
      </c>
      <c r="C306" s="7" t="n">
        <v>2690904</v>
      </c>
      <c r="D306" s="7" t="n">
        <v>495181</v>
      </c>
      <c r="E306" s="8" t="n">
        <v>41317</v>
      </c>
      <c r="F306" s="7" t="n">
        <v>5</v>
      </c>
      <c r="G306" s="7" t="inlineStr">
        <is>
          <t>Excellent!</t>
        </is>
      </c>
    </row>
    <row r="307">
      <c r="A307" s="7" t="n">
        <v>89426</v>
      </c>
      <c r="B307" s="7" t="n">
        <v>702397</v>
      </c>
      <c r="C307" s="7" t="n">
        <v>1618361</v>
      </c>
      <c r="D307" s="7" t="n">
        <v>263391</v>
      </c>
      <c r="E307" s="8" t="n">
        <v>41355</v>
      </c>
      <c r="F307" s="7" t="n">
        <v>5</v>
      </c>
      <c r="G307" s="7" t="inlineStr">
        <is>
          <t>Superb...will be a staple in my family.  I want to eat it all.  Delicious and protein rich.. Great for a vegetarian.  I am so glad it keeps in the fridge for a couple of days... Not that I think there&amp;#039;ll ever be leftovers.  I didn&amp;#039;t have kelp or sunflower seeds, and I used 1/2 Greek yogurt for mayonnaise. What a find.</t>
        </is>
      </c>
    </row>
    <row r="308">
      <c r="A308" s="7" t="n">
        <v>114582</v>
      </c>
      <c r="B308" s="7" t="n">
        <v>1030944</v>
      </c>
      <c r="C308" s="7" t="n">
        <v>949568</v>
      </c>
      <c r="D308" s="7" t="n">
        <v>107356</v>
      </c>
      <c r="E308" s="8" t="n">
        <v>40174</v>
      </c>
      <c r="F308" s="7" t="n">
        <v>5</v>
      </c>
      <c r="G308" s="7" t="inlineStr">
        <is>
          <t>My daughter raved over this and claimed the leftovers to take home!  It was very easy and quite tasty.  We didn't butterfly it, but the marinade made it though anyway.  We baked it and it came out very moist.  Definitely a keeper!</t>
        </is>
      </c>
    </row>
    <row r="309">
      <c r="A309" s="7" t="n">
        <v>37531</v>
      </c>
      <c r="B309" s="7" t="n">
        <v>296120</v>
      </c>
      <c r="C309" s="7" t="n">
        <v>2000504230</v>
      </c>
      <c r="D309" s="7" t="n">
        <v>46922</v>
      </c>
      <c r="E309" s="8" t="n">
        <v>42277</v>
      </c>
      <c r="F309" s="7" t="n">
        <v>5</v>
      </c>
      <c r="G309" s="7" t="inlineStr">
        <is>
          <t>I did not change a thing and am glad I did not. My wife said this is the best baked ham she has ever had! Thank you.</t>
        </is>
      </c>
    </row>
    <row r="310">
      <c r="A310" s="7" t="n">
        <v>55099</v>
      </c>
      <c r="B310" s="7" t="n">
        <v>776081</v>
      </c>
      <c r="C310" s="7" t="n">
        <v>312081</v>
      </c>
      <c r="D310" s="7" t="n">
        <v>368388</v>
      </c>
      <c r="E310" s="8" t="n">
        <v>39974</v>
      </c>
      <c r="F310" s="7" t="n">
        <v>5</v>
      </c>
      <c r="G310" s="7" t="inlineStr">
        <is>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is>
      </c>
    </row>
    <row r="311">
      <c r="A311" s="7" t="n">
        <v>114210</v>
      </c>
      <c r="B311" s="7" t="n">
        <v>835656</v>
      </c>
      <c r="C311" s="7" t="n">
        <v>288146</v>
      </c>
      <c r="D311" s="7" t="n">
        <v>65276</v>
      </c>
      <c r="E311" s="8" t="n">
        <v>39261</v>
      </c>
      <c r="F311" s="7" t="n">
        <v>5</v>
      </c>
      <c r="G311" s="7" t="inlineStr">
        <is>
          <t>YUM!  These were great!  The sauce was not as thick as I was expecting but that was probably my fault, I should have left it on a bit longer.  I loved the gorgonzola, these steaks are fantastic!  Thanks!</t>
        </is>
      </c>
    </row>
    <row r="312">
      <c r="A312" s="7" t="n">
        <v>107530</v>
      </c>
      <c r="B312" s="7" t="n">
        <v>623725</v>
      </c>
      <c r="C312" s="7" t="n">
        <v>2002287883</v>
      </c>
      <c r="D312" s="7" t="n">
        <v>452783</v>
      </c>
      <c r="E312" s="8" t="n">
        <v>43373</v>
      </c>
      <c r="F312" s="7" t="n">
        <v>1</v>
      </c>
      <c r="G312" s="7" t="inlineStr">
        <is>
          <t>I'm sorry but this was not good at all AND I followed the recipe to the T,so disappointed especially when I went to 2 different stores getting all of the ingrediants!!</t>
        </is>
      </c>
    </row>
    <row r="313">
      <c r="A313" s="7" t="n">
        <v>16499</v>
      </c>
      <c r="B313" s="7" t="n">
        <v>1098600</v>
      </c>
      <c r="C313" s="7" t="n">
        <v>37862</v>
      </c>
      <c r="D313" s="7" t="n">
        <v>310815</v>
      </c>
      <c r="E313" s="8" t="n">
        <v>42012</v>
      </c>
      <c r="F313" s="7" t="n">
        <v>5</v>
      </c>
      <c r="G313" s="7" t="inlineStr">
        <is>
          <t>Sensational sauce!  I let  it simmer till it was quite syrupy and then poured it over the pan-roasted salmon.  I actually had all the ingredients on hand, so I made it exactly as written. Easy-peasy.  Thanks Teresa!</t>
        </is>
      </c>
    </row>
    <row r="314">
      <c r="A314" s="7" t="n">
        <v>99952</v>
      </c>
      <c r="B314" s="7" t="n">
        <v>208898</v>
      </c>
      <c r="C314" s="7" t="n">
        <v>166642</v>
      </c>
      <c r="D314" s="7" t="n">
        <v>209398</v>
      </c>
      <c r="E314" s="8" t="n">
        <v>39206</v>
      </c>
      <c r="F314" s="7" t="n">
        <v>5</v>
      </c>
      <c r="G314" s="7" t="inlineStr">
        <is>
          <t>The gravy is outstanding and the recipe couldn't be any easier! The house smells wonderful when you come home to it after 8 hours. The meat was falling apart moist and delicious. This would also be great using beef tips, I believe! Thanks for sharing.</t>
        </is>
      </c>
    </row>
    <row r="315">
      <c r="A315" s="7" t="n">
        <v>55784</v>
      </c>
      <c r="B315" s="7" t="n">
        <v>239841</v>
      </c>
      <c r="C315" s="7" t="n">
        <v>97780</v>
      </c>
      <c r="D315" s="7" t="n">
        <v>213177</v>
      </c>
      <c r="E315" s="8" t="n">
        <v>39224</v>
      </c>
      <c r="F315" s="7" t="n">
        <v>4</v>
      </c>
      <c r="G315" s="7" t="inlineStr">
        <is>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is>
      </c>
    </row>
    <row r="316">
      <c r="A316" t="n">
        <v>67009</v>
      </c>
      <c r="B316" t="n">
        <v>933832</v>
      </c>
      <c r="C316" t="n">
        <v>307214</v>
      </c>
      <c r="D316" t="n">
        <v>225529</v>
      </c>
      <c r="E316" s="1" t="n">
        <v>39705</v>
      </c>
      <c r="F316" t="n">
        <v>5</v>
      </c>
      <c r="G316" t="inlineStr">
        <is>
          <t>Yummy.  No one guessed that it was diet food.  I used olive oil instead of margarine and new potatoes.  Everyone enjoyed it and only DH added butter when he ate them. (more habit than for taste)</t>
        </is>
      </c>
    </row>
    <row r="317" ht="360" customHeight="1">
      <c r="A317" s="7" t="n">
        <v>66680</v>
      </c>
      <c r="B317" s="7" t="n">
        <v>591370</v>
      </c>
      <c r="C317" s="7" t="n">
        <v>58439</v>
      </c>
      <c r="D317" s="7" t="n">
        <v>307468</v>
      </c>
      <c r="E317" s="8" t="n">
        <v>39607</v>
      </c>
      <c r="F317" s="7" t="n">
        <v>5</v>
      </c>
      <c r="G317" s="9" t="inlineStr">
        <is>
          <t>Nice and zesty this is, TRUE!_x000D_
May I suggest paying attention to last review?_x000D_
Did freezer processor method as worked for me,_x000D_
Did I mention this is a tasty, delish recipe!_x000D_
THANKS!</t>
        </is>
      </c>
    </row>
    <row r="318">
      <c r="A318" s="7" t="n">
        <v>57996</v>
      </c>
      <c r="B318" s="7" t="n">
        <v>541192</v>
      </c>
      <c r="C318" s="7" t="n">
        <v>50969</v>
      </c>
      <c r="D318" s="7" t="n">
        <v>99570</v>
      </c>
      <c r="E318" s="8" t="n">
        <v>40163</v>
      </c>
      <c r="F318" s="7" t="n">
        <v>4</v>
      </c>
      <c r="G318" s="7" t="inlineStr">
        <is>
          <t>I made this on 12/15/09, for the " Let's P-A-R-T-Y 2009 " Event. The was two hard parts about this recipe, getting the apples ready, and waiting long enough for it to get cool enough to eat. :)As for the baking time, I needed to add about 10 more minutes for the topping to get browned. We both thought that the topping should have a little bit more sweetness. So, I think that about 1/4 cup of brown sugar will be added the next time.  Thanks for posting and, " Keep Smiling :) "</t>
        </is>
      </c>
    </row>
    <row r="319">
      <c r="A319" s="7" t="n">
        <v>81247</v>
      </c>
      <c r="B319" s="7" t="n">
        <v>907973</v>
      </c>
      <c r="C319" s="7" t="n">
        <v>852529</v>
      </c>
      <c r="D319" s="7" t="n">
        <v>219867</v>
      </c>
      <c r="E319" s="8" t="n">
        <v>40548</v>
      </c>
      <c r="F319" s="7" t="n">
        <v>4</v>
      </c>
      <c r="G319" s="7" t="inlineStr">
        <is>
          <t>I used English mustard because that's what I had... do you think it's similar to Dijon?  I used some Old Bay seasoning instead of paprika.  I'm thinking Hoki is just a tad chewy?  Or did I over cook.  Not bad though.  : )</t>
        </is>
      </c>
    </row>
    <row r="320">
      <c r="A320" s="7" t="n">
        <v>66346</v>
      </c>
      <c r="B320" s="7" t="n">
        <v>122747</v>
      </c>
      <c r="C320" s="7" t="n">
        <v>199848</v>
      </c>
      <c r="D320" s="7" t="n">
        <v>196164</v>
      </c>
      <c r="E320" s="8" t="n">
        <v>41017</v>
      </c>
      <c r="F320" s="7" t="n">
        <v>5</v>
      </c>
      <c r="G320" s="7" t="inlineStr">
        <is>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is>
      </c>
    </row>
    <row r="321">
      <c r="A321" s="7" t="n">
        <v>100047</v>
      </c>
      <c r="B321" s="7" t="n">
        <v>766165</v>
      </c>
      <c r="C321" s="7" t="n">
        <v>231507</v>
      </c>
      <c r="D321" s="7" t="n">
        <v>31041</v>
      </c>
      <c r="E321" s="8" t="n">
        <v>40853</v>
      </c>
      <c r="F321" s="7" t="n">
        <v>5</v>
      </c>
      <c r="G321" s="7" t="inlineStr">
        <is>
          <t>This is exactly how I make my noodles. I boil them and then add them to my chicken broth and chicken pieces and place them in a crock pot for a couple hours to thicken up. They are delicious, my great aunt taught me how to make these.</t>
        </is>
      </c>
    </row>
    <row r="322">
      <c r="A322" s="7" t="n">
        <v>42182</v>
      </c>
      <c r="B322" s="7" t="n">
        <v>270676</v>
      </c>
      <c r="C322" s="7" t="n">
        <v>320586</v>
      </c>
      <c r="D322" s="7" t="n">
        <v>416969</v>
      </c>
      <c r="E322" s="8" t="n">
        <v>40413</v>
      </c>
      <c r="F322" s="7" t="n">
        <v>5</v>
      </c>
      <c r="G322" s="7" t="inlineStr">
        <is>
          <t>I saw this recipe in the magazine too, and to make it into MUFFINS: &lt;br/&gt;Prepare batter as directed.  Spoon into lightly greased muffin pans, filling two thirds full.  Bake at 350 degrees for 23-25 mins or until a wooden pick inserted in center comes out clean.  Cool in pans on wire rack 5 ins.  Makes 2 doz. muffins.  Also may be made ahead and frozen in a zip top plastic freezer bag for up to 1 month.  Remove from bag and let thaw at room temperature.</t>
        </is>
      </c>
    </row>
    <row r="323">
      <c r="A323" s="7" t="n">
        <v>56737</v>
      </c>
      <c r="B323" s="7" t="n">
        <v>246630</v>
      </c>
      <c r="C323" s="7" t="n">
        <v>1016844</v>
      </c>
      <c r="D323" s="7" t="n">
        <v>115110</v>
      </c>
      <c r="E323" s="8" t="n">
        <v>40309</v>
      </c>
      <c r="F323" s="7" t="n">
        <v>5</v>
      </c>
      <c r="G323" s="7" t="inlineStr">
        <is>
          <t>I didn't use bacon but it was great!  My tortilla was too small and only covered the bottom of the pie plate but I greased the sides well and it came out fine.</t>
        </is>
      </c>
    </row>
    <row r="324">
      <c r="A324" s="7" t="n">
        <v>58883</v>
      </c>
      <c r="B324" s="7" t="n">
        <v>478026</v>
      </c>
      <c r="C324" s="7" t="n">
        <v>67656</v>
      </c>
      <c r="D324" s="7" t="n">
        <v>219159</v>
      </c>
      <c r="E324" s="8" t="n">
        <v>39688</v>
      </c>
      <c r="F324" s="7" t="n">
        <v>5</v>
      </c>
      <c r="G324" s="7" t="inlineStr">
        <is>
          <t>I often make oven baked fries as an effortless side dish but occasionally want a little more zip.  Made this preparation starting with fresh potatoes rather then frozen and baked them for 25 minutes at 375.  The finishing touch offered here was tasty and flavorful in less than a minute.  Now that's cooking.  Thanks Charmie.</t>
        </is>
      </c>
    </row>
    <row r="325">
      <c r="A325" s="7" t="n">
        <v>84656</v>
      </c>
      <c r="B325" s="7" t="n">
        <v>739579</v>
      </c>
      <c r="C325" s="7" t="n">
        <v>430471</v>
      </c>
      <c r="D325" s="7" t="n">
        <v>280297</v>
      </c>
      <c r="E325" s="8" t="n">
        <v>39561</v>
      </c>
      <c r="F325" s="7" t="n">
        <v>4</v>
      </c>
      <c r="G325" s="7" t="inlineStr">
        <is>
          <t>This was good. I liked the flavor and would probably make it again.  I think it would be better with some green or red peppers added to the vegetable mix.  I used cashews instead of peanuts.  Reviewed for PAC 2008</t>
        </is>
      </c>
    </row>
    <row r="326">
      <c r="A326" s="7" t="n">
        <v>18638</v>
      </c>
      <c r="B326" s="7" t="n">
        <v>14871</v>
      </c>
      <c r="C326" s="7" t="n">
        <v>870728</v>
      </c>
      <c r="D326" s="7" t="n">
        <v>37413</v>
      </c>
      <c r="E326" s="8" t="n">
        <v>39622</v>
      </c>
      <c r="F326" s="7" t="n">
        <v>4</v>
      </c>
      <c r="G326" s="7" t="inlineStr">
        <is>
          <t>This recipe was very quick and easy to prepare.  The kids and husband both gave great reviews!  I will be making this again!  I used italian flavored breadcrumbs but, besides that I followed the recipe exactaly.  I served it with mashed potatoes, english peas and garlic butter crescents.  Yum!!  Thanks for the great recipe!!</t>
        </is>
      </c>
    </row>
    <row r="327">
      <c r="A327" s="7" t="n">
        <v>102617</v>
      </c>
      <c r="B327" s="7" t="n">
        <v>920241</v>
      </c>
      <c r="C327" s="7" t="n">
        <v>128473</v>
      </c>
      <c r="D327" s="7" t="n">
        <v>362501</v>
      </c>
      <c r="E327" s="8" t="n">
        <v>40812</v>
      </c>
      <c r="F327" s="7" t="n">
        <v>5</v>
      </c>
      <c r="G327" s="7" t="inlineStr">
        <is>
          <t>I loved these fritters I'm Pat, they were awesome, crisp, tender and oh so flavorful. I was in heaven, they were incredible, so good, served warm or cold. The fritters were crisp on the outside and soft and chewy on the inside.  The apples were tender and flavorful.  Dusted with cinnamon sugar and drizzled with caramel sauce, I couldn't ask for anything more.  I used Golden Ginger apples. Thanks for sharing a recipe, that I have placed in my keeper box.</t>
        </is>
      </c>
    </row>
    <row r="328">
      <c r="A328" s="7" t="n">
        <v>48599</v>
      </c>
      <c r="B328" s="7" t="n">
        <v>422374</v>
      </c>
      <c r="C328" s="7" t="n">
        <v>808027</v>
      </c>
      <c r="D328" s="7" t="n">
        <v>209270</v>
      </c>
      <c r="E328" s="8" t="n">
        <v>39606</v>
      </c>
      <c r="F328" s="7" t="n">
        <v>5</v>
      </c>
      <c r="G328" s="7" t="inlineStr">
        <is>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is>
      </c>
    </row>
    <row r="329">
      <c r="A329" s="7" t="n">
        <v>89871</v>
      </c>
      <c r="B329" s="7" t="n">
        <v>698635</v>
      </c>
      <c r="C329" s="7" t="n">
        <v>1130799</v>
      </c>
      <c r="D329" s="7" t="n">
        <v>394518</v>
      </c>
      <c r="E329" s="8" t="n">
        <v>40121</v>
      </c>
      <c r="F329" s="7" t="n">
        <v>5</v>
      </c>
      <c r="G329" s="7" t="inlineStr">
        <is>
          <t>This was really yummy.  I paired it with the Poifect Chicken burger recipe on this site!  My husband and I were fighting over the leftovers!</t>
        </is>
      </c>
    </row>
    <row r="330">
      <c r="A330" s="7" t="n">
        <v>87250</v>
      </c>
      <c r="B330" s="7" t="n">
        <v>1020847</v>
      </c>
      <c r="C330" s="7" t="n">
        <v>238661</v>
      </c>
      <c r="D330" s="7" t="n">
        <v>81856</v>
      </c>
      <c r="E330" s="8" t="n">
        <v>40289</v>
      </c>
      <c r="F330" s="7" t="n">
        <v>5</v>
      </c>
      <c r="G330" s="7" t="inlineStr">
        <is>
          <t>Wonderful!  I used the "Perfect Brownie" pan for this recipe, which is quite a bit smaller than a 9x13, perfect for the recipe!  I cut the caramels back to 25, but followed everything else to the letter and it turned out great!  Taking them to my son's school for after the play.  Thanx for sharing!</t>
        </is>
      </c>
    </row>
    <row r="331">
      <c r="A331" s="7" t="n">
        <v>125745</v>
      </c>
      <c r="B331" s="7" t="n">
        <v>845930</v>
      </c>
      <c r="C331" s="7" t="n">
        <v>439797</v>
      </c>
      <c r="D331" s="7" t="n">
        <v>339284</v>
      </c>
      <c r="E331" s="8" t="n">
        <v>40153</v>
      </c>
      <c r="F331" s="7" t="n">
        <v>5</v>
      </c>
      <c r="G331" s="7" t="inlineStr">
        <is>
          <t>This was really good.  I told my kids it has hamburger rice soup because if I mentioned the cabbage, they wouldn't have eaten it.  But my 16 year old son went back for seconds.   I didn't have tomato paste, so I used 2 cups of tomato juice and 2 cups of canned tomatoes.  I added uncooked rice (about 1/3 cup) and let it cook for about 20 minutes right before we ate.</t>
        </is>
      </c>
    </row>
    <row r="332">
      <c r="A332" s="7" t="n">
        <v>11484</v>
      </c>
      <c r="B332" s="7" t="n">
        <v>84618</v>
      </c>
      <c r="C332" s="7" t="n">
        <v>48263</v>
      </c>
      <c r="D332" s="7" t="n">
        <v>56604</v>
      </c>
      <c r="E332" s="8" t="n">
        <v>38390</v>
      </c>
      <c r="F332" s="7" t="n">
        <v>5</v>
      </c>
      <c r="G332" s="7" t="inlineStr">
        <is>
          <t>I made this for my Momma-In-Law for her birthday this weekend. She absolutely loved it. Very very rich though, DH &amp; Dad-in-Law liked it very much too! It was a big hit! Easy to prepare too. I was unclear if the frosting should be poured on the cake while both were warm. I emailed Ms. Marie to find out and you do pour the frosting on while both the cake and frosting are warm, it makes a thick, rich chocolate icing. Yum Yum!  Thank you for this great cake Marie!</t>
        </is>
      </c>
    </row>
    <row r="333">
      <c r="A333" s="7" t="n">
        <v>63358</v>
      </c>
      <c r="B333" s="7" t="n">
        <v>103015</v>
      </c>
      <c r="C333" s="7" t="n">
        <v>1580038</v>
      </c>
      <c r="D333" s="7" t="n">
        <v>164371</v>
      </c>
      <c r="E333" s="8" t="n">
        <v>41318</v>
      </c>
      <c r="F333" s="7" t="n">
        <v>5</v>
      </c>
      <c r="G333" s="7" t="inlineStr">
        <is>
          <t>Best ever, like you needed five more stars. Made exactly as stated, but in three batches for big family. Everyone added own toppings and ranted how THEY made the best pizza!</t>
        </is>
      </c>
    </row>
    <row r="334">
      <c r="A334" s="7" t="n">
        <v>6755</v>
      </c>
      <c r="B334" s="7" t="n">
        <v>404220</v>
      </c>
      <c r="C334" s="7" t="n">
        <v>850818</v>
      </c>
      <c r="D334" s="7" t="n">
        <v>307626</v>
      </c>
      <c r="E334" s="8" t="n">
        <v>39623</v>
      </c>
      <c r="F334" s="7" t="n">
        <v>5</v>
      </c>
      <c r="G334" s="7" t="inlineStr">
        <is>
          <t>I made this tonite and it was GREAT.  Pretty spicy... we liked it, my kids would not have, so you could make a few pieces minus the cayenne and hot sauce.. but it was fabulous.  Thanks.</t>
        </is>
      </c>
    </row>
    <row r="335">
      <c r="A335" s="7" t="n">
        <v>53074</v>
      </c>
      <c r="B335" s="7" t="n">
        <v>450115</v>
      </c>
      <c r="C335" s="7" t="n">
        <v>579506</v>
      </c>
      <c r="D335" s="7" t="n">
        <v>88990</v>
      </c>
      <c r="E335" s="8" t="n">
        <v>40407</v>
      </c>
      <c r="F335" s="7" t="n">
        <v>3</v>
      </c>
      <c r="G335" s="7" t="inlineStr">
        <is>
          <t>Needs more sweetness, it's just a little to "flour like".  I also found that the second round of bake time is a bit too short- i would go with 8-10 min.  Other wise it's a bit too soft and not as snappy as biscotti should be.  Good flavor and gives a great base for options.</t>
        </is>
      </c>
    </row>
    <row r="336">
      <c r="A336" s="7" t="n">
        <v>30348</v>
      </c>
      <c r="B336" s="7" t="n">
        <v>530095</v>
      </c>
      <c r="C336" s="7" t="n">
        <v>209255</v>
      </c>
      <c r="D336" s="7" t="n">
        <v>243415</v>
      </c>
      <c r="E336" s="8" t="n">
        <v>39318</v>
      </c>
      <c r="F336" s="7" t="n">
        <v>4</v>
      </c>
      <c r="G336" s="7" t="inlineStr">
        <is>
          <t>I liked these well enough, but even with reducing the sauce, I found that it still never got to a "sauce" consistency.  Also, I didn't feel that the pork chops really took on much of the flavour.  All that being said, when I heated up a leftover chop the next day... OMGosh.  It was even better.  I think sitting in the sauce over night really helped even though it was already cooked.  They were GREAT leftover.  I think this would be a great freezer meal.  Thanks for sharing!  *RSC #10*</t>
        </is>
      </c>
    </row>
    <row r="337">
      <c r="A337" s="7" t="n">
        <v>37957</v>
      </c>
      <c r="B337" s="7" t="n">
        <v>830175</v>
      </c>
      <c r="C337" s="7" t="n">
        <v>80353</v>
      </c>
      <c r="D337" s="7" t="n">
        <v>500485</v>
      </c>
      <c r="E337" s="8" t="n">
        <v>41490</v>
      </c>
      <c r="F337" s="7" t="n">
        <v>5</v>
      </c>
      <c r="G337" s="7" t="inlineStr">
        <is>
          <t>I made a half-batch of these 3 days ago and broken them open to accompany lunch today.  They are crisp, flavourful and delicious.  Great pickle.</t>
        </is>
      </c>
    </row>
    <row r="338">
      <c r="A338" s="7" t="n">
        <v>29540</v>
      </c>
      <c r="B338" s="7" t="n">
        <v>569515</v>
      </c>
      <c r="C338" s="7" t="n">
        <v>2000913986</v>
      </c>
      <c r="D338" s="7" t="n">
        <v>372087</v>
      </c>
      <c r="E338" s="8" t="n">
        <v>42439</v>
      </c>
      <c r="F338" s="7" t="n">
        <v>2</v>
      </c>
      <c r="G338" s="7" t="inlineStr">
        <is>
          <t>the batter tasted okay but when I ate them afterwards, they had an awful after taste</t>
        </is>
      </c>
    </row>
    <row r="339">
      <c r="A339" s="7" t="n">
        <v>68504</v>
      </c>
      <c r="B339" s="7" t="n">
        <v>184517</v>
      </c>
      <c r="C339" s="7" t="n">
        <v>138551</v>
      </c>
      <c r="D339" s="7" t="n">
        <v>287510</v>
      </c>
      <c r="E339" s="8" t="n">
        <v>39654</v>
      </c>
      <c r="F339" s="7" t="n">
        <v>5</v>
      </c>
      <c r="G339" s="7" t="inlineStr">
        <is>
          <t>These were very cute and the teenagers enjoyed them.  The salad ws very tasty.</t>
        </is>
      </c>
    </row>
    <row r="340">
      <c r="A340" s="7" t="n">
        <v>118270</v>
      </c>
      <c r="B340" s="7" t="n">
        <v>716248</v>
      </c>
      <c r="C340" s="7" t="n">
        <v>570804</v>
      </c>
      <c r="D340" s="7" t="n">
        <v>148981</v>
      </c>
      <c r="E340" s="8" t="n">
        <v>40760</v>
      </c>
      <c r="F340" s="7" t="n">
        <v>5</v>
      </c>
      <c r="G340" s="7" t="inlineStr">
        <is>
          <t>Wonderful flavors and my husband had nothing but praise for it.   I did goof tho - didn't have a pork tenderloin in the freezer so substituted boneless chicken breasts (sliced) instead and  they worked well.   So, chicken can be substituted for pork.</t>
        </is>
      </c>
    </row>
    <row r="341" ht="409.5" customHeight="1">
      <c r="A341" s="7" t="n">
        <v>111248</v>
      </c>
      <c r="B341" s="7" t="n">
        <v>168876</v>
      </c>
      <c r="C341" s="7" t="n">
        <v>493738</v>
      </c>
      <c r="D341" s="7" t="n">
        <v>101027</v>
      </c>
      <c r="E341" s="8" t="n">
        <v>39495</v>
      </c>
      <c r="F341" s="7" t="n">
        <v>5</v>
      </c>
      <c r="G341" s="9" t="inlineStr">
        <is>
          <t>I haven't tried these yet, but I'm planning on using them as part of a Valentine's/BF milemarker gift. I'll review when I make them!_x000D_
EDIT:  Made these...oh my goodness, they were so good!  I shrunk the recipe (by about 80%) and used butter for the chocolate, instead of shortening.  I wouldn't reccomend cutting these into shapes, because the chocolate coating muddles the edges and makes them look blobby.  Other than that, I think these were perfect.  Thanks, Marg!</t>
        </is>
      </c>
    </row>
    <row r="342">
      <c r="A342" s="7" t="n">
        <v>96243</v>
      </c>
      <c r="B342" s="7" t="n">
        <v>135583</v>
      </c>
      <c r="C342" s="7" t="n">
        <v>126435</v>
      </c>
      <c r="D342" s="7" t="n">
        <v>106899</v>
      </c>
      <c r="E342" s="8" t="n">
        <v>39500</v>
      </c>
      <c r="F342" s="7" t="n">
        <v>5</v>
      </c>
      <c r="G342" s="7" t="inlineStr">
        <is>
          <t>Schools are closed due to snow today, and the boys have been out playing in it. My oldest came in wanting hot chocolate, and I was out of packets. I wanted something that I felt better giving them than pure sugar, so I gave this one a try. I'm so glad I did! I only had white chocolate instant pudding, but it lends such a delicious richness! I might even try it with chocolate pudding for an OVER THE TOP chocolate experience! But for now, I still have 15 servings I can whip up at any time, and feel good about giving them (or myself!) a warm, comforting treat. Thanks for posting!</t>
        </is>
      </c>
    </row>
    <row r="343" ht="409.5" customHeight="1">
      <c r="A343" s="7" t="n">
        <v>32902</v>
      </c>
      <c r="B343" s="7" t="n">
        <v>1049111</v>
      </c>
      <c r="C343" s="7" t="n">
        <v>65025</v>
      </c>
      <c r="D343" s="7" t="n">
        <v>102274</v>
      </c>
      <c r="E343" s="8" t="n">
        <v>39167</v>
      </c>
      <c r="F343" s="7" t="n">
        <v>5</v>
      </c>
      <c r="G343" s="9" t="inlineStr">
        <is>
          <t>What can I say since everyone has already said it? This was deeelish! The only I will do different next time is double the recipe. I went to the grocery to get stuff for 6 soups and spent the rest of the day prepping. I got 3 of them finished, 3 to go. This one was my favorite so far_x000D_
MaryAnne</t>
        </is>
      </c>
    </row>
    <row r="344">
      <c r="A344" s="7" t="n">
        <v>115224</v>
      </c>
      <c r="B344" s="7" t="n">
        <v>266323</v>
      </c>
      <c r="C344" s="7" t="n">
        <v>2001699750</v>
      </c>
      <c r="D344" s="7" t="n">
        <v>107786</v>
      </c>
      <c r="E344" s="8" t="n">
        <v>42981</v>
      </c>
      <c r="F344" s="7" t="n">
        <v>5</v>
      </c>
      <c r="G344" s="7" t="inlineStr">
        <is>
          <t>Amazing! I discovered this recipe a couple of years ago and now I cook my ribs this way every single time. Cooking them meat down in the foil was brilliant! The meat stays submerged in the juice and falls right off the bones!</t>
        </is>
      </c>
    </row>
    <row r="345">
      <c r="A345" s="7" t="n">
        <v>111661</v>
      </c>
      <c r="B345" s="7" t="n">
        <v>960247</v>
      </c>
      <c r="C345" s="7" t="n">
        <v>16777</v>
      </c>
      <c r="D345" s="7" t="n">
        <v>66268</v>
      </c>
      <c r="E345" s="8" t="n">
        <v>38776</v>
      </c>
      <c r="F345" s="7" t="n">
        <v>5</v>
      </c>
      <c r="G345" s="7" t="inlineStr">
        <is>
          <t>loved it, dressing was delicous, added some read onion and sliced granny smith apples, wow</t>
        </is>
      </c>
    </row>
    <row r="346">
      <c r="A346" s="7" t="n">
        <v>102118</v>
      </c>
      <c r="B346" s="7" t="n">
        <v>152375</v>
      </c>
      <c r="C346" s="7" t="n">
        <v>1104015</v>
      </c>
      <c r="D346" s="7" t="n">
        <v>340327</v>
      </c>
      <c r="E346" s="8" t="n">
        <v>39812</v>
      </c>
      <c r="F346" s="7" t="n">
        <v>5</v>
      </c>
      <c r="G346" s="7" t="inlineStr">
        <is>
          <t>I dont really like eggs to begin with-you cannot make me eat them, but my fiance loves them so I tried it and it turned out delicious! I've never in my life tasted eggs like that..man i didnt know what i was missing! Thank you!</t>
        </is>
      </c>
    </row>
    <row r="347">
      <c r="A347" s="7" t="n">
        <v>31984</v>
      </c>
      <c r="B347" s="7" t="n">
        <v>453320</v>
      </c>
      <c r="C347" s="7" t="n">
        <v>2839925</v>
      </c>
      <c r="D347" s="7" t="n">
        <v>385172</v>
      </c>
      <c r="E347" s="8" t="n">
        <v>41419</v>
      </c>
      <c r="F347" s="7" t="n">
        <v>5</v>
      </c>
      <c r="G347" s="7" t="inlineStr">
        <is>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is>
      </c>
    </row>
    <row r="348">
      <c r="A348" s="7" t="n">
        <v>120262</v>
      </c>
      <c r="B348" s="7" t="n">
        <v>152911</v>
      </c>
      <c r="C348" s="7" t="n">
        <v>1784392</v>
      </c>
      <c r="D348" s="7" t="n">
        <v>256210</v>
      </c>
      <c r="E348" s="8" t="n">
        <v>40553</v>
      </c>
      <c r="F348" s="7" t="n">
        <v>5</v>
      </c>
      <c r="G348" s="7" t="inlineStr">
        <is>
          <t>Made this with turkey bacon and light cream....very tasty</t>
        </is>
      </c>
    </row>
    <row r="349">
      <c r="A349" s="7" t="n">
        <v>64346</v>
      </c>
      <c r="B349" s="7" t="n">
        <v>836173</v>
      </c>
      <c r="C349" s="7" t="n">
        <v>87236</v>
      </c>
      <c r="D349" s="7" t="n">
        <v>162473</v>
      </c>
      <c r="E349" s="8" t="n">
        <v>39571</v>
      </c>
      <c r="F349" s="7" t="n">
        <v>5</v>
      </c>
      <c r="G349" s="7" t="inlineStr">
        <is>
          <t>These were scrumptious, and it was hard to eat just one! The addition of maple syrup to the dough really added to the flavor. They baked up beautifully in only 15 minutes in my oven, and were tender and moist.  I omitted the icing, but the cinnamon rolls were absolutely delicious without it.  I'll definitely be baking these again, and very soon!  Thanks so much for posting, Courtly!</t>
        </is>
      </c>
    </row>
    <row r="350">
      <c r="A350" s="7" t="n">
        <v>93791</v>
      </c>
      <c r="B350" s="7" t="n">
        <v>951052</v>
      </c>
      <c r="C350" s="7" t="n">
        <v>34280</v>
      </c>
      <c r="D350" s="7" t="n">
        <v>18985</v>
      </c>
      <c r="E350" s="8" t="n">
        <v>37343</v>
      </c>
      <c r="F350" s="7" t="n">
        <v>3</v>
      </c>
      <c r="G350" s="7" t="inlineStr">
        <is>
          <t>This might be okay.....without the beans.</t>
        </is>
      </c>
    </row>
    <row r="351">
      <c r="A351" s="7" t="n">
        <v>102679</v>
      </c>
      <c r="B351" s="7" t="n">
        <v>875417</v>
      </c>
      <c r="C351" s="7" t="n">
        <v>1091543</v>
      </c>
      <c r="D351" s="7" t="n">
        <v>325505</v>
      </c>
      <c r="E351" s="8" t="n">
        <v>39827</v>
      </c>
      <c r="F351" s="7" t="n">
        <v>5</v>
      </c>
      <c r="G351" s="7" t="inlineStr">
        <is>
          <t>These were really good, and my baby and preschooler gobbled them up (with honey, of course).  I used sugar and not sugar substitute, which ended up being fine.</t>
        </is>
      </c>
    </row>
    <row r="352">
      <c r="A352" s="7" t="n">
        <v>33883</v>
      </c>
      <c r="B352" s="7" t="n">
        <v>324108</v>
      </c>
      <c r="C352" s="7" t="n">
        <v>332701</v>
      </c>
      <c r="D352" s="7" t="n">
        <v>80118</v>
      </c>
      <c r="E352" s="8" t="n">
        <v>40136</v>
      </c>
      <c r="F352" s="7" t="n">
        <v>5</v>
      </c>
      <c r="G352" s="7" t="inlineStr">
        <is>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is>
      </c>
    </row>
    <row r="353">
      <c r="A353" s="7" t="n">
        <v>72958</v>
      </c>
      <c r="B353" s="7" t="n">
        <v>340579</v>
      </c>
      <c r="C353" s="7" t="n">
        <v>329138</v>
      </c>
      <c r="D353" s="7" t="n">
        <v>136589</v>
      </c>
      <c r="E353" s="8" t="n">
        <v>38976</v>
      </c>
      <c r="F353" s="7" t="n">
        <v>5</v>
      </c>
      <c r="G353" s="7" t="inlineStr">
        <is>
          <t>This recipe is delicious!! It is also so easy to make! I just made some slight changes in order to make this cake a bit healthier - I substituted 100% whole wheat flour and used 1/2 cup applesauce and 1/2 cup oil instead of the 1 cup oil. I also added about 1 tsp of cinnamon and also sprinkled some cinnamon over the batter before baking it. I ommited the nuts and the topping. I will surely be making this again! My entire family loves it and I can't help myself from eating it right out of the oven! YUM!! Thanks rose of sharon for this recipe!</t>
        </is>
      </c>
    </row>
    <row r="354">
      <c r="A354" s="7" t="n">
        <v>39117</v>
      </c>
      <c r="B354" s="7" t="n">
        <v>1086233</v>
      </c>
      <c r="C354" s="7" t="n">
        <v>2665241</v>
      </c>
      <c r="D354" s="7" t="n">
        <v>95569</v>
      </c>
      <c r="E354" s="8" t="n">
        <v>41303</v>
      </c>
      <c r="F354" s="7" t="n">
        <v>5</v>
      </c>
      <c r="G354" s="7" t="inlineStr">
        <is>
          <t>Had this with coleslaw on the sandwich it was sooooo delish!</t>
        </is>
      </c>
    </row>
    <row r="355">
      <c r="A355" s="7" t="n">
        <v>50595</v>
      </c>
      <c r="B355" s="7" t="n">
        <v>206883</v>
      </c>
      <c r="C355" s="7" t="n">
        <v>9869</v>
      </c>
      <c r="D355" s="7" t="n">
        <v>14450</v>
      </c>
      <c r="E355" s="8" t="n">
        <v>37253</v>
      </c>
      <c r="F355" s="7" t="n">
        <v>5</v>
      </c>
      <c r="G355" s="7" t="inlineStr">
        <is>
          <t>Never really been a gin fan, but I had all the mixes for this drink. Its a pretty warm day here today and I had this really tall glass....loved it, perfect on a hot Summer day.</t>
        </is>
      </c>
    </row>
    <row r="356">
      <c r="A356" s="7" t="n">
        <v>70308</v>
      </c>
      <c r="B356" s="7" t="n">
        <v>140400</v>
      </c>
      <c r="C356" s="7" t="n">
        <v>450933</v>
      </c>
      <c r="D356" s="7" t="n">
        <v>77113</v>
      </c>
      <c r="E356" s="8" t="n">
        <v>39422</v>
      </c>
      <c r="F356" s="7" t="n">
        <v>5</v>
      </c>
      <c r="G356" s="7" t="inlineStr">
        <is>
          <t>Yummy, yummy!  We enjoyed these. Thanks.</t>
        </is>
      </c>
    </row>
    <row r="357">
      <c r="A357" s="7" t="n">
        <v>62889</v>
      </c>
      <c r="B357" s="7" t="n">
        <v>73080</v>
      </c>
      <c r="C357" s="7" t="n">
        <v>1591783</v>
      </c>
      <c r="D357" s="7" t="n">
        <v>218686</v>
      </c>
      <c r="E357" s="8" t="n">
        <v>40273</v>
      </c>
      <c r="F357" s="7" t="n">
        <v>5</v>
      </c>
      <c r="G357" s="7" t="inlineStr">
        <is>
          <t>Great recipe!!! Thank you Chef for sharing it. Made these Saturday for the first time. Very easy to make. Only two suggestions to help: 1- Color a dozen Eggs. (I made mine smaller than his suggested size and they were exactly as I remembered the ones I got from my aunt as a kkid.) 2-Start the recipe with beaters on the mixer then switch to dough hooks after adding the flour. I only have one complaint.  The eggs stuck to the shell.  Does anyone have any suggestion how to get the shell to peel easily?</t>
        </is>
      </c>
    </row>
    <row r="358">
      <c r="A358" s="7" t="n">
        <v>16855</v>
      </c>
      <c r="B358" s="7" t="n">
        <v>649960</v>
      </c>
      <c r="C358" s="7" t="n">
        <v>21752</v>
      </c>
      <c r="D358" s="7" t="n">
        <v>45055</v>
      </c>
      <c r="E358" s="8" t="n">
        <v>37586</v>
      </c>
      <c r="F358" s="7" t="n">
        <v>5</v>
      </c>
      <c r="G358" s="7" t="inlineStr">
        <is>
          <t>Cindy Lynn, thank you, thank you, thank you!  Bisquick is occasionally available in my country, but it's dairy (and expensive)!  Lots of time I need the mix, but a non-dairy version.  Thanks to you I can now make this with soy milk powder, and it works like a dream!  This recipe is the closest clone I have seen so far, and I am already on my second batch!  Impossible Hamburger Pie, here I come!</t>
        </is>
      </c>
    </row>
    <row r="359">
      <c r="A359" s="7" t="n">
        <v>72722</v>
      </c>
      <c r="B359" s="7" t="n">
        <v>971986</v>
      </c>
      <c r="C359" s="7" t="n">
        <v>32638</v>
      </c>
      <c r="D359" s="7" t="n">
        <v>140878</v>
      </c>
      <c r="E359" s="8" t="n">
        <v>40422</v>
      </c>
      <c r="F359" s="7" t="n">
        <v>5</v>
      </c>
      <c r="G359" s="7" t="inlineStr">
        <is>
          <t>KEEPER!  While I didn't have any liquid smoke so I used worchestershire in place. Prepped according to directions, tightly foiled and left in fridge overnight.  Placed in crock pot in AM, no liquid and WOW....what a wonderful brisket we came home to!  The flavor was superb, brisket was tender, juicy and fell apart.  Thanks Kelly!!</t>
        </is>
      </c>
    </row>
    <row r="360">
      <c r="A360" s="7" t="n">
        <v>60252</v>
      </c>
      <c r="B360" s="7" t="n">
        <v>762875</v>
      </c>
      <c r="C360" s="7" t="n">
        <v>111678</v>
      </c>
      <c r="D360" s="7" t="n">
        <v>253599</v>
      </c>
      <c r="E360" s="8" t="n">
        <v>40251</v>
      </c>
      <c r="F360" s="7" t="n">
        <v>4</v>
      </c>
      <c r="G360" s="7" t="inlineStr">
        <is>
          <t>This was pretty good!  I made it exactly as written, and it was a filling, tasty, healthy dinner--plus it smelled fantastic while it was cooking!</t>
        </is>
      </c>
    </row>
    <row r="361">
      <c r="A361" s="7" t="n">
        <v>13390</v>
      </c>
      <c r="B361" s="7" t="n">
        <v>344512</v>
      </c>
      <c r="C361" s="7" t="n">
        <v>2440658</v>
      </c>
      <c r="D361" s="7" t="n">
        <v>222188</v>
      </c>
      <c r="E361" s="8" t="n">
        <v>41190</v>
      </c>
      <c r="F361" s="7" t="n">
        <v>5</v>
      </c>
      <c r="G361" s="7" t="inlineStr">
        <is>
          <t>amazing recipe, got  great reveiw from the family aswell, my new favorite recipe , Thank-You.</t>
        </is>
      </c>
    </row>
    <row r="362">
      <c r="A362" s="7" t="n">
        <v>114138</v>
      </c>
      <c r="B362" s="7" t="n">
        <v>426170</v>
      </c>
      <c r="C362" s="7" t="n">
        <v>206747</v>
      </c>
      <c r="D362" s="7" t="n">
        <v>94211</v>
      </c>
      <c r="E362" s="8" t="n">
        <v>39803</v>
      </c>
      <c r="F362" s="7" t="n">
        <v>0</v>
      </c>
      <c r="G362" s="7" t="inlineStr">
        <is>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is>
      </c>
    </row>
    <row r="363">
      <c r="A363" t="n">
        <v>4637</v>
      </c>
      <c r="B363" t="n">
        <v>173724</v>
      </c>
      <c r="C363" t="n">
        <v>373008</v>
      </c>
      <c r="D363" t="n">
        <v>69990</v>
      </c>
      <c r="E363" s="1" t="n">
        <v>39021</v>
      </c>
      <c r="F363" t="n">
        <v>5</v>
      </c>
      <c r="G363" t="inlineStr">
        <is>
          <t>These were very easy and seem guaranteed to get compliments, well played.</t>
        </is>
      </c>
    </row>
    <row r="364">
      <c r="A364" s="7" t="n">
        <v>23446</v>
      </c>
      <c r="B364" s="7" t="n">
        <v>922349</v>
      </c>
      <c r="C364" s="7" t="n">
        <v>1753996</v>
      </c>
      <c r="D364" s="7" t="n">
        <v>176016</v>
      </c>
      <c r="E364" s="8" t="n">
        <v>40580</v>
      </c>
      <c r="F364" s="7" t="n">
        <v>5</v>
      </c>
      <c r="G364" s="7" t="inlineStr">
        <is>
          <t>Really good! No more bottled dressing for us - love this. I keep some in the fridge so its on hand all the time.</t>
        </is>
      </c>
    </row>
    <row r="365">
      <c r="A365" s="7" t="n">
        <v>96785</v>
      </c>
      <c r="B365" s="7" t="n">
        <v>608974</v>
      </c>
      <c r="C365" s="7" t="n">
        <v>581536</v>
      </c>
      <c r="D365" s="7" t="n">
        <v>70538</v>
      </c>
      <c r="E365" s="8" t="n">
        <v>39351</v>
      </c>
      <c r="F365" s="7" t="n">
        <v>5</v>
      </c>
      <c r="G365" s="7" t="inlineStr">
        <is>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is>
      </c>
    </row>
    <row r="366">
      <c r="A366" s="7" t="n">
        <v>58301</v>
      </c>
      <c r="B366" s="7" t="n">
        <v>267771</v>
      </c>
      <c r="C366" s="7" t="n">
        <v>323186</v>
      </c>
      <c r="D366" s="7" t="n">
        <v>446582</v>
      </c>
      <c r="E366" s="8" t="n">
        <v>40765</v>
      </c>
      <c r="F366" s="7" t="n">
        <v>5</v>
      </c>
      <c r="G366" s="7" t="inlineStr">
        <is>
          <t>Very much enjoyed, thank you.   Since I had a surfeit of broccoli and no green beans, I used the broccoli, hope you dont mind, it was very good!  Served with steamed white rice for a really good dinner, definitely a keeper!</t>
        </is>
      </c>
    </row>
    <row r="367">
      <c r="A367" s="7" t="n">
        <v>115366</v>
      </c>
      <c r="B367" s="7" t="n">
        <v>47863</v>
      </c>
      <c r="C367" s="7" t="n">
        <v>2001107811</v>
      </c>
      <c r="D367" s="7" t="n">
        <v>93946</v>
      </c>
      <c r="E367" s="8" t="n">
        <v>42581</v>
      </c>
      <c r="F367" s="7" t="n">
        <v>5</v>
      </c>
      <c r="G367" s="7" t="inlineStr">
        <is>
          <t>Amazing!</t>
        </is>
      </c>
    </row>
    <row r="368">
      <c r="A368" s="7" t="n">
        <v>98389</v>
      </c>
      <c r="B368" s="7" t="n">
        <v>587854</v>
      </c>
      <c r="C368" s="7" t="n">
        <v>67491</v>
      </c>
      <c r="D368" s="7" t="n">
        <v>73062</v>
      </c>
      <c r="E368" s="8" t="n">
        <v>40883</v>
      </c>
      <c r="F368" s="7" t="n">
        <v>5</v>
      </c>
      <c r="G368" s="7" t="inlineStr">
        <is>
          <t>Wow! These really do turn out very moist. Quite possible the best pork chops I have ever made on the stove. Next time I will cut down on the salt. Oh, and medium heat worked best for me. These were served with http://www.food.com/recipe/chias-rice-orzo-50582. Mmmm good.</t>
        </is>
      </c>
    </row>
    <row r="369">
      <c r="A369" s="7" t="n">
        <v>90715</v>
      </c>
      <c r="B369" s="7" t="n">
        <v>1074952</v>
      </c>
      <c r="C369" s="7" t="n">
        <v>2001563889</v>
      </c>
      <c r="D369" s="7" t="n">
        <v>135350</v>
      </c>
      <c r="E369" s="8" t="n">
        <v>42887</v>
      </c>
      <c r="F369" s="7" t="n">
        <v>4</v>
      </c>
      <c r="G369" s="7" t="inlineStr">
        <is>
          <t>I love it</t>
        </is>
      </c>
    </row>
    <row r="370">
      <c r="A370" s="7" t="n">
        <v>37536</v>
      </c>
      <c r="B370" s="7" t="n">
        <v>493520</v>
      </c>
      <c r="C370" s="7" t="n">
        <v>246534</v>
      </c>
      <c r="D370" s="7" t="n">
        <v>71373</v>
      </c>
      <c r="E370" s="8" t="n">
        <v>39771</v>
      </c>
      <c r="F370" s="7" t="n">
        <v>5</v>
      </c>
      <c r="G370" s="7" t="inlineStr">
        <is>
          <t>This recipe was excellent. I made them as rolls and they were light, fluffy, pieces of heaven. Thanks for the recipe DDW!</t>
        </is>
      </c>
    </row>
    <row r="371">
      <c r="A371" s="7" t="n">
        <v>94713</v>
      </c>
      <c r="B371" s="7" t="n">
        <v>35441</v>
      </c>
      <c r="C371" s="7" t="n">
        <v>2001760184</v>
      </c>
      <c r="D371" s="7" t="n">
        <v>108012</v>
      </c>
      <c r="E371" s="8" t="n">
        <v>43029</v>
      </c>
      <c r="F371" s="7" t="n">
        <v>0</v>
      </c>
      <c r="G371" s="7" t="inlineStr">
        <is>
          <t>Just a quick mention: in the instructions after salting the cucumbers ...they would not be saturated with water surely.. you would expect them to be dehydrated because of the contact with the salt and the salt itself would become saturated with water.. right? At any rate... that's what happened when I tested it out !</t>
        </is>
      </c>
    </row>
    <row r="372">
      <c r="A372" s="7" t="n">
        <v>8138</v>
      </c>
      <c r="B372" s="7" t="n">
        <v>1111422</v>
      </c>
      <c r="C372" s="7" t="n">
        <v>594139</v>
      </c>
      <c r="D372" s="7" t="n">
        <v>233910</v>
      </c>
      <c r="E372" s="8" t="n">
        <v>39421</v>
      </c>
      <c r="F372" s="7" t="n">
        <v>5</v>
      </c>
      <c r="G372" s="7" t="inlineStr">
        <is>
          <t>I can't believe this one hasn't been made and commented on yet. It was absolutely gorgeous. I live in France and we get duck magret really cheap. So I cook duck at least once a week. You can imagine  how many different ways and sauces I have paired with it, so it has to be something a little bit better for me to give it a 5 star rating. This had that, the flavours worked really well and no one had leftovers on their plates. I didn't bother with boiling the veg first, I find they cook just fine from start to finish in a wok. I also had to up the ingredients for sauce to glaze the duck, as in my non stick pan it just wanted to fall to the sides rather than covering the bottom of the pan. Also you mention balsamic vinegar in your steps to make glaze, but not the amount in the ingredients. I used 1 Tablespoon. Apart from those couple of things, this was delicious and will become a regular at our table, thanks for sharing.</t>
        </is>
      </c>
    </row>
    <row r="373">
      <c r="A373" s="7" t="n">
        <v>19512</v>
      </c>
      <c r="B373" s="7" t="n">
        <v>233455</v>
      </c>
      <c r="C373" s="7" t="n">
        <v>424680</v>
      </c>
      <c r="D373" s="7" t="n">
        <v>391287</v>
      </c>
      <c r="E373" s="8" t="n">
        <v>40084</v>
      </c>
      <c r="F373" s="7" t="n">
        <v>5</v>
      </c>
      <c r="G373" s="7" t="inlineStr">
        <is>
          <t>I like scones as well as raisins, so what's not to like about these easy-to-prepare tasties! Made as directed, these are very, very tasty, &amp; another time (closer to the winter holidays) I'll make them with cranberries! I didn't, however, use a food processor, but rather did the mixing by hand! Very, very nice with either a honey butter or (as suggested in the intro) an orange butter, both of which I often have on hand! Thanks for sharing the recipe! [Tagged, made &amp; reviewed for one of my adoptees in the current Pick A Chef]</t>
        </is>
      </c>
    </row>
    <row r="374">
      <c r="A374" s="7" t="n">
        <v>101545</v>
      </c>
      <c r="B374" s="7" t="n">
        <v>976353</v>
      </c>
      <c r="C374" s="7" t="n">
        <v>631970</v>
      </c>
      <c r="D374" s="7" t="n">
        <v>102525</v>
      </c>
      <c r="E374" s="8" t="n">
        <v>39708</v>
      </c>
      <c r="F374" s="7" t="n">
        <v>5</v>
      </c>
      <c r="G374" s="7" t="inlineStr">
        <is>
          <t>Absolutely love this recipe! Perfect balance between sweet and tangy!   I have found my favorite Chili recipe for hot dogs now.  Another reviewer said that this would make good sloppy joes also and I have to agree.  I cant stay out of this stuff.  I never have eaten so many hot dogs in such a short span since I made this.  (That may be bad in itself but mmmm this is great stuff!)  I did not alter this recipe at all!  Perfect as is.</t>
        </is>
      </c>
    </row>
    <row r="375">
      <c r="A375" s="7" t="n">
        <v>103122</v>
      </c>
      <c r="B375" s="7" t="n">
        <v>600312</v>
      </c>
      <c r="C375" s="7" t="n">
        <v>280271</v>
      </c>
      <c r="D375" s="7" t="n">
        <v>487398</v>
      </c>
      <c r="E375" s="8" t="n">
        <v>41496</v>
      </c>
      <c r="F375" s="7" t="n">
        <v>5</v>
      </c>
      <c r="G375" s="7" t="inlineStr">
        <is>
          <t>We loved the spicy flavors...hubby who really only likes beef raved about how tasty this was...it is quick and easy just like Mikekey said...what a great addition to my keeper file...thanks for posting it...=)</t>
        </is>
      </c>
    </row>
    <row r="376">
      <c r="A376" s="7" t="n">
        <v>98475</v>
      </c>
      <c r="B376" s="7" t="n">
        <v>362963</v>
      </c>
      <c r="C376" s="7" t="n">
        <v>63291</v>
      </c>
      <c r="D376" s="7" t="n">
        <v>68063</v>
      </c>
      <c r="E376" s="8" t="n">
        <v>40087</v>
      </c>
      <c r="F376" s="7" t="n">
        <v>5</v>
      </c>
      <c r="G376" s="7" t="inlineStr">
        <is>
          <t>This was delicious! And so easy to do. Used boneless Sirloin Pork Chops. Halved the recipe as only had 2 chops. Other than that, did just as the recipe called for except added 1/2 tsp garlic powder as well. Had never deglazed anything before so googled to find out how to do it and found that deglazing is very easy too. Added some onions and mushrooms to the pan first then added a very little bit of flour at the end of cooking them, then deglazed with a bit of chicken stock but added some extra liquid at the end....about 1/2 cup chicken stock total and let simmer a minute or two. The chops were very tender and tasty. Will definitely be making this again.</t>
        </is>
      </c>
    </row>
    <row r="377">
      <c r="A377" s="7" t="n">
        <v>14175</v>
      </c>
      <c r="B377" s="7" t="n">
        <v>889978</v>
      </c>
      <c r="C377" s="7" t="n">
        <v>2002276584</v>
      </c>
      <c r="D377" s="7" t="n">
        <v>383224</v>
      </c>
      <c r="E377" s="8" t="n">
        <v>43359</v>
      </c>
      <c r="F377" s="7" t="n">
        <v>5</v>
      </c>
      <c r="G377" s="7" t="inlineStr">
        <is>
          <t>These were delicious. Just used dried cranberries and walnut pieces and real butter. Will def make these again and again!</t>
        </is>
      </c>
    </row>
    <row r="378">
      <c r="A378" s="7" t="n">
        <v>1570</v>
      </c>
      <c r="B378" s="7" t="n">
        <v>806004</v>
      </c>
      <c r="C378" s="7" t="n">
        <v>359029</v>
      </c>
      <c r="D378" s="7" t="n">
        <v>27742</v>
      </c>
      <c r="E378" s="8" t="n">
        <v>39238</v>
      </c>
      <c r="F378" s="7" t="n">
        <v>5</v>
      </c>
      <c r="G378" s="7" t="inlineStr">
        <is>
          <t>This is great stuff!  I added red onions and one can of drained black beans, because my husband likes them. Very pretty in a bowl, Thank you!</t>
        </is>
      </c>
    </row>
    <row r="379">
      <c r="A379" s="7" t="n">
        <v>17964</v>
      </c>
      <c r="B379" s="7" t="n">
        <v>235689</v>
      </c>
      <c r="C379" s="7" t="n">
        <v>452809</v>
      </c>
      <c r="D379" s="7" t="n">
        <v>45005</v>
      </c>
      <c r="E379" s="8" t="n">
        <v>40025</v>
      </c>
      <c r="F379" s="7" t="n">
        <v>4</v>
      </c>
      <c r="G379" s="7" t="inlineStr">
        <is>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is>
      </c>
    </row>
    <row r="380">
      <c r="A380" s="7" t="n">
        <v>7476</v>
      </c>
      <c r="B380" s="7" t="n">
        <v>700001</v>
      </c>
      <c r="C380" s="7" t="n">
        <v>59064</v>
      </c>
      <c r="D380" s="7" t="n">
        <v>263642</v>
      </c>
      <c r="E380" s="8" t="n">
        <v>39508</v>
      </c>
      <c r="F380" s="7" t="n">
        <v>4</v>
      </c>
      <c r="G380" s="7" t="inlineStr">
        <is>
          <t>I needed to use up some ricotta so this was an excellent way of quickly doing so. Enjoyed by all.</t>
        </is>
      </c>
    </row>
    <row r="381">
      <c r="A381" s="7" t="n">
        <v>44818</v>
      </c>
      <c r="B381" s="7" t="n">
        <v>632946</v>
      </c>
      <c r="C381" s="7" t="n">
        <v>2235993</v>
      </c>
      <c r="D381" s="7" t="n">
        <v>304092</v>
      </c>
      <c r="E381" s="8" t="n">
        <v>41009</v>
      </c>
      <c r="F381" s="7" t="n">
        <v>5</v>
      </c>
      <c r="G381" s="7" t="inlineStr">
        <is>
          <t>This salad is delicious.  I use a whole head of Romaine lettuce, a whole can of garbanzo beans instead of a cup, and add a tomato.  I also top it with crushed up pita chips. Yum!</t>
        </is>
      </c>
    </row>
    <row r="382">
      <c r="A382" s="7" t="n">
        <v>80015</v>
      </c>
      <c r="B382" s="7" t="n">
        <v>1015674</v>
      </c>
      <c r="C382" s="7" t="n">
        <v>366048</v>
      </c>
      <c r="D382" s="7" t="n">
        <v>133320</v>
      </c>
      <c r="E382" s="8" t="n">
        <v>39188</v>
      </c>
      <c r="F382" s="7" t="n">
        <v>5</v>
      </c>
      <c r="G382" s="7" t="inlineStr">
        <is>
          <t>This dip was also a hit at Easter. Delicious! Thanks.</t>
        </is>
      </c>
    </row>
    <row r="383">
      <c r="A383" s="7" t="n">
        <v>35143</v>
      </c>
      <c r="B383" s="7" t="n">
        <v>14544</v>
      </c>
      <c r="C383" s="7" t="n">
        <v>219411</v>
      </c>
      <c r="D383" s="7" t="n">
        <v>123835</v>
      </c>
      <c r="E383" s="8" t="n">
        <v>38503</v>
      </c>
      <c r="F383" s="7" t="n">
        <v>0</v>
      </c>
      <c r="G383" s="7" t="inlineStr">
        <is>
          <t>It is wonderful, but I added shrimp over the top, marinated in lemon juice and cilantro with a serrano finely chopped. Bon apetit!</t>
        </is>
      </c>
    </row>
    <row r="384">
      <c r="A384" s="7" t="n">
        <v>98896</v>
      </c>
      <c r="B384" s="7" t="n">
        <v>59434</v>
      </c>
      <c r="C384" s="7" t="n">
        <v>2148620</v>
      </c>
      <c r="D384" s="7" t="n">
        <v>298543</v>
      </c>
      <c r="E384" s="8" t="n">
        <v>40923</v>
      </c>
      <c r="F384" s="7" t="n">
        <v>0</v>
      </c>
      <c r="G384" s="7" t="inlineStr">
        <is>
          <t>I'm going to try it and I'll let you know what I think.  I loved this sauce so much that I used to order 2 tacos and 2 bean burritos with extra-extra wild sauce.  If they didn't put enough on it, I'd ask for more.  Surprised you didn't add cilantro and a tsp of soybean oil.  I've posted on separate wild sauce blogs, and mentioned to them that someone at Taco Bell gave me a hand written recipe of the wild sauce - but not the exact one, because they weren't permitted.  It had cilantro, green chilies and soybean oil for sure.  Until then, lets see how it goes.</t>
        </is>
      </c>
    </row>
    <row r="385">
      <c r="A385" s="7" t="n">
        <v>98026</v>
      </c>
      <c r="B385" s="7" t="n">
        <v>168896</v>
      </c>
      <c r="C385" s="7" t="n">
        <v>1696006</v>
      </c>
      <c r="D385" s="7" t="n">
        <v>101027</v>
      </c>
      <c r="E385" s="8" t="n">
        <v>41584</v>
      </c>
      <c r="F385" s="7" t="n">
        <v>5</v>
      </c>
      <c r="G385" s="7" t="inlineStr">
        <is>
          <t>these are so amazing! will make again and again!</t>
        </is>
      </c>
    </row>
    <row r="386">
      <c r="A386" s="7" t="n">
        <v>124792</v>
      </c>
      <c r="B386" s="7" t="n">
        <v>203624</v>
      </c>
      <c r="C386" s="7" t="n">
        <v>28177</v>
      </c>
      <c r="D386" s="7" t="n">
        <v>60776</v>
      </c>
      <c r="E386" s="8" t="n">
        <v>40063</v>
      </c>
      <c r="F386" s="7" t="n">
        <v>5</v>
      </c>
      <c r="G386" s="7" t="inlineStr">
        <is>
          <t>I'm so glad I found this recipe!  I was skeptical at first, but you're absolutely right; we didn't even miss the meat!  Made as directed except I left out the mushrooms because they didn't look good at the store.  We'll try them next time.  Tonight I served with a green salad &amp; cracked wheat sourdough rolls, spread with a garlic butter mixture &amp; broiled.  With ingredients that are always on hand &amp; not requiring meat, this is a definite go-to recipe for late nights or when nothing is thawed. :)  Thanks for sharing, Gapeach!  Made for Adopt-A-Tag Fall 2009.</t>
        </is>
      </c>
    </row>
    <row r="387">
      <c r="A387" s="7" t="n">
        <v>48096</v>
      </c>
      <c r="B387" s="7" t="n">
        <v>411916</v>
      </c>
      <c r="C387" s="7" t="n">
        <v>184723</v>
      </c>
      <c r="D387" s="7" t="n">
        <v>90907</v>
      </c>
      <c r="E387" s="8" t="n">
        <v>38608</v>
      </c>
      <c r="F387" s="7" t="n">
        <v>5</v>
      </c>
      <c r="G387" s="7" t="inlineStr">
        <is>
          <t>These cookies turned out PERFECT!!! I followed the recipe exactly, no alterations and could not have had better results.  Both son and husband gobbled them like they had been starving for days.  A great "put in the lunch" cookie. Thanks!</t>
        </is>
      </c>
    </row>
    <row r="388" ht="105" customHeight="1">
      <c r="A388" s="7" t="n">
        <v>81925</v>
      </c>
      <c r="B388" s="7" t="n">
        <v>493491</v>
      </c>
      <c r="C388" s="7" t="n">
        <v>347589</v>
      </c>
      <c r="D388" s="7" t="n">
        <v>71373</v>
      </c>
      <c r="E388" s="8" t="n">
        <v>39589</v>
      </c>
      <c r="F388" s="7" t="n">
        <v>5</v>
      </c>
      <c r="G388" s="9" t="inlineStr">
        <is>
          <t>i made it.. it is really wonderful_x000D_
thank you....</t>
        </is>
      </c>
    </row>
    <row r="389">
      <c r="A389" s="7" t="n">
        <v>115867</v>
      </c>
      <c r="B389" s="7" t="n">
        <v>416177</v>
      </c>
      <c r="C389" s="7" t="n">
        <v>53932</v>
      </c>
      <c r="D389" s="7" t="n">
        <v>78551</v>
      </c>
      <c r="E389" s="8" t="n">
        <v>38964</v>
      </c>
      <c r="F389" s="7" t="n">
        <v>5</v>
      </c>
      <c r="G389" s="7" t="inlineStr">
        <is>
          <t>Easy and quick as well as tasty.  I used garlic salt and a little onion powder as well.  As Gayla suggested I put them under the broiler to crisp after baking.</t>
        </is>
      </c>
    </row>
    <row r="390">
      <c r="A390" s="7" t="n">
        <v>108584</v>
      </c>
      <c r="B390" s="7" t="n">
        <v>1049267</v>
      </c>
      <c r="C390" s="7" t="n">
        <v>560491</v>
      </c>
      <c r="D390" s="7" t="n">
        <v>102274</v>
      </c>
      <c r="E390" s="8" t="n">
        <v>41445</v>
      </c>
      <c r="F390" s="7" t="n">
        <v>5</v>
      </c>
      <c r="G390" s="7" t="inlineStr">
        <is>
          <t>This is a great soup!  I have never had black bean soup so this is a great first try!  I made 1/2 the recipe since it was just me eating it (still have lots of leftovers), I used a red pepper instead of green and left out the cayenne.  Was very filling and not too spicy for me.  I topped it with cheddar cheese and green onions; will be making this in the winter time often.  Made for Name that Ingredient Tag.</t>
        </is>
      </c>
    </row>
    <row r="391">
      <c r="A391" s="7" t="n">
        <v>55512</v>
      </c>
      <c r="B391" s="7" t="n">
        <v>814733</v>
      </c>
      <c r="C391" s="7" t="n">
        <v>332820</v>
      </c>
      <c r="D391" s="7" t="n">
        <v>49125</v>
      </c>
      <c r="E391" s="8" t="n">
        <v>40234</v>
      </c>
      <c r="F391" s="7" t="n">
        <v>5</v>
      </c>
      <c r="G391" s="7" t="inlineStr">
        <is>
          <t>This was fantastic! My family said "it was a nice spin" on ordinary old corn. Will definitely make this again! Thank you for sharing.</t>
        </is>
      </c>
    </row>
    <row r="392" ht="180" customHeight="1">
      <c r="A392" s="7" t="n">
        <v>75213</v>
      </c>
      <c r="B392" s="7" t="n">
        <v>169657</v>
      </c>
      <c r="C392" s="7" t="n">
        <v>143721</v>
      </c>
      <c r="D392" s="7" t="n">
        <v>222979</v>
      </c>
      <c r="E392" s="8" t="n">
        <v>39244</v>
      </c>
      <c r="F392" s="7" t="n">
        <v>5</v>
      </c>
      <c r="G392" s="9" t="inlineStr">
        <is>
          <t>Excellent recipe.  Made these for a
family reunion and everyone enjoyed 
them.</t>
        </is>
      </c>
    </row>
    <row r="393">
      <c r="A393" s="7" t="n">
        <v>25260</v>
      </c>
      <c r="B393" s="7" t="n">
        <v>1098798</v>
      </c>
      <c r="C393" s="7" t="n">
        <v>222970</v>
      </c>
      <c r="D393" s="7" t="n">
        <v>74275</v>
      </c>
      <c r="E393" s="8" t="n">
        <v>39115</v>
      </c>
      <c r="F393" s="7" t="n">
        <v>3</v>
      </c>
      <c r="G393" s="7" t="inlineStr">
        <is>
          <t>This was a good starting potato soup recipe. It definitely needs some little additions: spices, bacon, other things like that.</t>
        </is>
      </c>
    </row>
    <row r="394">
      <c r="A394" s="7" t="n">
        <v>82914</v>
      </c>
      <c r="B394" s="7" t="n">
        <v>846883</v>
      </c>
      <c r="C394" s="7" t="n">
        <v>157425</v>
      </c>
      <c r="D394" s="7" t="n">
        <v>116812</v>
      </c>
      <c r="E394" s="8" t="n">
        <v>39812</v>
      </c>
      <c r="F394" s="7" t="n">
        <v>5</v>
      </c>
      <c r="G394" s="7" t="inlineStr">
        <is>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is>
      </c>
    </row>
    <row r="395">
      <c r="A395" s="7" t="n">
        <v>29250</v>
      </c>
      <c r="B395" s="7" t="n">
        <v>1004427</v>
      </c>
      <c r="C395" s="7" t="n">
        <v>6357</v>
      </c>
      <c r="D395" s="7" t="n">
        <v>61610</v>
      </c>
      <c r="E395" s="8" t="n">
        <v>37781</v>
      </c>
      <c r="F395" s="7" t="n">
        <v>5</v>
      </c>
      <c r="G395" s="7" t="inlineStr">
        <is>
          <t>Really Beautiful! I had this first thing this morning and it feels wonderful! Love the taste. I used Orange honey to make this. Just as a suggestion, I preferred to add the juice of the lemon instead of a slice of lemon because strands of the slice kept coming off the lemon and got irritating while drinking this. I'll let you know in a week how I feel. So far, I feel great and really fresh!</t>
        </is>
      </c>
    </row>
    <row r="396">
      <c r="A396" s="7" t="n">
        <v>21411</v>
      </c>
      <c r="B396" s="7" t="n">
        <v>1033578</v>
      </c>
      <c r="C396" s="7" t="n">
        <v>313633</v>
      </c>
      <c r="D396" s="7" t="n">
        <v>24090</v>
      </c>
      <c r="E396" s="8" t="n">
        <v>38967</v>
      </c>
      <c r="F396" s="7" t="n">
        <v>5</v>
      </c>
      <c r="G396" s="7" t="inlineStr">
        <is>
          <t>These were yummy. I gave this 5 stars for my daughter who doesn't like cucumbers ate these and requested them again. Thanks</t>
        </is>
      </c>
    </row>
    <row r="397">
      <c r="A397" s="7" t="n">
        <v>63166</v>
      </c>
      <c r="B397" s="7" t="n">
        <v>389018</v>
      </c>
      <c r="C397" s="7" t="n">
        <v>242766</v>
      </c>
      <c r="D397" s="7" t="n">
        <v>407747</v>
      </c>
      <c r="E397" s="8" t="n">
        <v>41281</v>
      </c>
      <c r="F397" s="7" t="n">
        <v>5</v>
      </c>
      <c r="G397" s="7" t="inlineStr">
        <is>
          <t>I loved this delicious spiced tea!  I cut the recipe in half for 1 serving, and I changed up the preparation a little bit.  I put the water, milk ( I used whole milk), and tea bag in a 2-cup glass measuring cup, and microwaved it until it was boiling.  I removed it from the microwave and let it steep for a couple of minutes.  I mixed in the Chinese 5-spice and put it back into the microwave for about 30 seconds.  After removing from the microwave I took out the tea bag, strained off the spices and sweetened it with a little guava nectar...yummy!!  Thank you for sharing this quick and easy recipe...it is definitely a keeper!!&lt;br/&gt;**Made for 2012 Football Pool Wildcard Week**</t>
        </is>
      </c>
    </row>
    <row r="398">
      <c r="A398" s="7" t="n">
        <v>107309</v>
      </c>
      <c r="B398" s="7" t="n">
        <v>1100841</v>
      </c>
      <c r="C398" s="7" t="n">
        <v>130819</v>
      </c>
      <c r="D398" s="7" t="n">
        <v>166370</v>
      </c>
      <c r="E398" s="8" t="n">
        <v>39629</v>
      </c>
      <c r="F398" s="7" t="n">
        <v>5</v>
      </c>
      <c r="G398" s="7" t="inlineStr">
        <is>
          <t>Made for a great side when grilling. Find brushing the veggies makes for very good tasting veggies - especially when the seasoning are of the change of pace kind, Made as posted - couldn't decide on the onions so used both red and sweet white.</t>
        </is>
      </c>
    </row>
    <row r="399">
      <c r="A399" s="7" t="n">
        <v>3661</v>
      </c>
      <c r="B399" s="7" t="n">
        <v>814773</v>
      </c>
      <c r="C399" s="7" t="n">
        <v>2025925</v>
      </c>
      <c r="D399" s="7" t="n">
        <v>173879</v>
      </c>
      <c r="E399" s="8" t="n">
        <v>40821</v>
      </c>
      <c r="F399" s="7" t="n">
        <v>3</v>
      </c>
      <c r="G399" s="7" t="inlineStr">
        <is>
          <t>I followed the recipe to the letter.  I found that cooking it on high for 5 hours was too long.  Parts of the edges were actually black!  It was also a bit dry... But good for a first try.</t>
        </is>
      </c>
    </row>
    <row r="400">
      <c r="A400" s="7" t="n">
        <v>63993</v>
      </c>
      <c r="B400" s="7" t="n">
        <v>473324</v>
      </c>
      <c r="C400" s="7" t="n">
        <v>2001498215</v>
      </c>
      <c r="D400" s="7" t="n">
        <v>223576</v>
      </c>
      <c r="E400" s="8" t="n">
        <v>42845</v>
      </c>
      <c r="F400" s="7" t="n">
        <v>0</v>
      </c>
      <c r="G400" s="7" t="inlineStr">
        <is>
          <t>This is a lousy recipe. This first time I made it I cooked the sauce for 5 minutes and it burned. Then I made another batch and cut the cooking time in half. It turned out like sugar. Don't!!! waste your ingredients on this. Very poor recipe.</t>
        </is>
      </c>
    </row>
    <row r="401">
      <c r="A401" s="7" t="n">
        <v>11409</v>
      </c>
      <c r="B401" s="7" t="n">
        <v>487500</v>
      </c>
      <c r="C401" s="7" t="n">
        <v>1446698</v>
      </c>
      <c r="D401" s="7" t="n">
        <v>402951</v>
      </c>
      <c r="E401" s="8" t="n">
        <v>40161</v>
      </c>
      <c r="F401" s="7" t="n">
        <v>0</v>
      </c>
      <c r="G401" s="7" t="inlineStr">
        <is>
          <t>The dish was VERY well received. I crisped the 5 strips of bacon, cut them in little bits, added 1/4 tsp ground pepper, and maybe as much salt.  Very good.</t>
        </is>
      </c>
    </row>
    <row r="402">
      <c r="A402" s="7" t="n">
        <v>28303</v>
      </c>
      <c r="B402" s="7" t="n">
        <v>435638</v>
      </c>
      <c r="C402" s="7" t="n">
        <v>902569</v>
      </c>
      <c r="D402" s="7" t="n">
        <v>107443</v>
      </c>
      <c r="E402" s="8" t="n">
        <v>41493</v>
      </c>
      <c r="F402" s="7" t="n">
        <v>5</v>
      </c>
      <c r="G402" s="7" t="inlineStr">
        <is>
          <t>This is the first year I&amp;#039;ve grown kale (or even tasted it). Tried this recipe first and loved it. Going to grow more now! Thanks!!</t>
        </is>
      </c>
    </row>
    <row r="403">
      <c r="A403" s="7" t="n">
        <v>85754</v>
      </c>
      <c r="B403" s="7" t="n">
        <v>402676</v>
      </c>
      <c r="C403" s="7" t="n">
        <v>641366</v>
      </c>
      <c r="D403" s="7" t="n">
        <v>333010</v>
      </c>
      <c r="E403" s="8" t="n">
        <v>40246</v>
      </c>
      <c r="F403" s="7" t="n">
        <v>0</v>
      </c>
      <c r="G403" s="7" t="inlineStr">
        <is>
          <t>I'm told that the real House Dressing only contains 3 ingredients: mayo, Boar's Head mustard, and Sharwood steak sauce. Either way, I'm excited to try this!</t>
        </is>
      </c>
    </row>
    <row r="404">
      <c r="A404" s="7" t="n">
        <v>68099</v>
      </c>
      <c r="B404" s="7" t="n">
        <v>714833</v>
      </c>
      <c r="C404" s="7" t="n">
        <v>457600</v>
      </c>
      <c r="D404" s="7" t="n">
        <v>226151</v>
      </c>
      <c r="E404" s="8" t="n">
        <v>39238</v>
      </c>
      <c r="F404" s="7" t="n">
        <v>4</v>
      </c>
      <c r="G404" s="7" t="inlineStr">
        <is>
          <t>This is a great idea and a pretty good "cheesecake".I used stevia and agave nectar for sweetening and used 1/4 c ff sour cream and 1/4 c ff plain yogurt.The lemon was very nice but I think I may use a little less potein powder next time as that is definately the dominant flavor.I baked it for 30 min. at which time the edges were puffed and browned and the center was set.I'm looking forward to making this again.Thank you!</t>
        </is>
      </c>
    </row>
    <row r="405" ht="409.5" customHeight="1">
      <c r="A405" s="7" t="n">
        <v>115217</v>
      </c>
      <c r="B405" s="7" t="n">
        <v>777118</v>
      </c>
      <c r="C405" s="7" t="n">
        <v>22973</v>
      </c>
      <c r="D405" s="7" t="n">
        <v>122050</v>
      </c>
      <c r="E405" s="8" t="n">
        <v>38910</v>
      </c>
      <c r="F405" s="7" t="n">
        <v>5</v>
      </c>
      <c r="G405" s="9" t="inlineStr">
        <is>
          <t xml:space="preserve">I can't believe nobody has tried or rated this very easy to do and wonderful tasting recipe. I usually do a spinach dip like this,but this hot dip is awesome.I still like the spinach dip too,but I love this one.Thanks for posting this dip._x000D_
Darlene  </t>
        </is>
      </c>
    </row>
    <row r="406">
      <c r="A406" s="7" t="n">
        <v>23897</v>
      </c>
      <c r="B406" s="7" t="n">
        <v>478121</v>
      </c>
      <c r="C406" s="7" t="n">
        <v>2208539</v>
      </c>
      <c r="D406" s="7" t="n">
        <v>34194</v>
      </c>
      <c r="E406" s="8" t="n">
        <v>40979</v>
      </c>
      <c r="F406" s="7" t="n">
        <v>5</v>
      </c>
      <c r="G406" s="7" t="inlineStr">
        <is>
          <t>mmmmmm</t>
        </is>
      </c>
    </row>
    <row r="407">
      <c r="A407" s="7" t="n">
        <v>84629</v>
      </c>
      <c r="B407" s="7" t="n">
        <v>521127</v>
      </c>
      <c r="C407" s="7" t="n">
        <v>35635</v>
      </c>
      <c r="D407" s="7" t="n">
        <v>79356</v>
      </c>
      <c r="E407" s="8" t="n">
        <v>39786</v>
      </c>
      <c r="F407" s="7" t="n">
        <v>5</v>
      </c>
      <c r="G407" s="7" t="inlineStr">
        <is>
          <t>Yummy!! Very easy to make. They vanish really quickly too!! I made half a recipe and used chocolate chips instead of almond bark and peanut butter instead of shortening since I didn't have those ingredients. Worked really well. Thanks for posting this - we really enjoyed and I will be making again!</t>
        </is>
      </c>
    </row>
    <row r="408">
      <c r="A408" s="7" t="n">
        <v>37844</v>
      </c>
      <c r="B408" s="7" t="n">
        <v>347497</v>
      </c>
      <c r="C408" s="7" t="n">
        <v>60260</v>
      </c>
      <c r="D408" s="7" t="n">
        <v>385071</v>
      </c>
      <c r="E408" s="8" t="n">
        <v>40751</v>
      </c>
      <c r="F408" s="7" t="n">
        <v>5</v>
      </c>
      <c r="G408" s="7" t="inlineStr">
        <is>
          <t>I made this recipe "as is" but used ramekins vs. a muffin tin.  They turned out well and is great side to just about anything.  Quick and easy.   Will do these again.</t>
        </is>
      </c>
    </row>
    <row r="409">
      <c r="A409" s="7" t="n">
        <v>63480</v>
      </c>
      <c r="B409" s="7" t="n">
        <v>952852</v>
      </c>
      <c r="C409" s="7" t="n">
        <v>2696430</v>
      </c>
      <c r="D409" s="7" t="n">
        <v>15740</v>
      </c>
      <c r="E409" s="8" t="n">
        <v>41350</v>
      </c>
      <c r="F409" s="7" t="n">
        <v>5</v>
      </c>
      <c r="G409" s="7" t="inlineStr">
        <is>
          <t>Absolutely delicious.</t>
        </is>
      </c>
    </row>
    <row r="410">
      <c r="A410" s="7" t="n">
        <v>64608</v>
      </c>
      <c r="B410" s="7" t="n">
        <v>616863</v>
      </c>
      <c r="C410" s="7" t="n">
        <v>521359</v>
      </c>
      <c r="D410" s="7" t="n">
        <v>252641</v>
      </c>
      <c r="E410" s="8" t="n">
        <v>39680</v>
      </c>
      <c r="F410" s="7" t="n">
        <v>5</v>
      </c>
      <c r="G410" s="7" t="inlineStr">
        <is>
          <t>I loved this recipe!  I'm an any time of year oatmeal eater.  And this recipe just took 1st with me!  Thanks for such a great post!</t>
        </is>
      </c>
    </row>
    <row r="411">
      <c r="A411" s="7" t="n">
        <v>52583</v>
      </c>
      <c r="B411" s="7" t="n">
        <v>688517</v>
      </c>
      <c r="C411" s="7" t="n">
        <v>54286</v>
      </c>
      <c r="D411" s="7" t="n">
        <v>21171</v>
      </c>
      <c r="E411" s="8" t="n">
        <v>37508</v>
      </c>
      <c r="F411" s="7" t="n">
        <v>5</v>
      </c>
      <c r="G411" s="7" t="inlineStr">
        <is>
          <t>Even better than my Mom's recipe!</t>
        </is>
      </c>
    </row>
    <row r="412">
      <c r="A412" s="7" t="n">
        <v>122254</v>
      </c>
      <c r="B412" s="7" t="n">
        <v>959827</v>
      </c>
      <c r="C412" s="7" t="n">
        <v>2001212117</v>
      </c>
      <c r="D412" s="7" t="n">
        <v>183262</v>
      </c>
      <c r="E412" s="8" t="n">
        <v>42662</v>
      </c>
      <c r="F412" s="7" t="n">
        <v>5</v>
      </c>
      <c r="G412" s="7" t="inlineStr">
        <is>
          <t>Great recipe. Of course my inspiration for wanting to make this dish was from Little House On The Prairie. I never have used cinnamon on a savory dish before. I did not use any cayenne pepper as an addition, though a small amount could compliment the flavor. The final product was delicious. My only tip is to brown your chicken well (as mention in the recipe). And don't put cumin anywhere near this dish.</t>
        </is>
      </c>
    </row>
    <row r="413">
      <c r="A413" s="7" t="n">
        <v>55689</v>
      </c>
      <c r="B413" s="7" t="n">
        <v>94285</v>
      </c>
      <c r="C413" s="7" t="n">
        <v>424346</v>
      </c>
      <c r="D413" s="7" t="n">
        <v>28758</v>
      </c>
      <c r="E413" s="8" t="n">
        <v>39811</v>
      </c>
      <c r="F413" s="7" t="n">
        <v>5</v>
      </c>
      <c r="G413" s="7" t="inlineStr">
        <is>
          <t>First, let me say, I am not a pumpkin pie fan.  Until now.  I told my Mom (who LOVES pumpkin) that I needed to get cloves for my pie, she said to just use the Pumpkin Pie spice.  After I told her I wanted to try this particular recipe because of the good ratings, she said SHE'D be the judge.  Well, guess what?  She loved it, said she was glad we went for the cloves.  I ate three pieces of pie since Christmas, usually I barely eat a whole piece.  This was great.  I won't be waiting on the holidays to make another pumpkie pie.  :)  Thank you so much for a great recipe.</t>
        </is>
      </c>
    </row>
    <row r="414">
      <c r="A414" s="7" t="n">
        <v>58318</v>
      </c>
      <c r="B414" s="7" t="n">
        <v>799153</v>
      </c>
      <c r="C414" s="7" t="n">
        <v>580134</v>
      </c>
      <c r="D414" s="7" t="n">
        <v>166252</v>
      </c>
      <c r="E414" s="8" t="n">
        <v>39467</v>
      </c>
      <c r="F414" s="7" t="n">
        <v>5</v>
      </c>
      <c r="G414" s="7" t="inlineStr">
        <is>
          <t>SOOO Tasty!! I used 2 cups blue berries, 1 cups blackberries and 1 cup rasberries (all frozen, but thawed)...PERFECT and could not be easier! Also we did not find it to be too sweet at all..</t>
        </is>
      </c>
    </row>
    <row r="415">
      <c r="A415" s="7" t="n">
        <v>25440</v>
      </c>
      <c r="B415" s="7" t="n">
        <v>1132170</v>
      </c>
      <c r="C415" s="7" t="n">
        <v>305531</v>
      </c>
      <c r="D415" s="7" t="n">
        <v>354610</v>
      </c>
      <c r="E415" s="8" t="n">
        <v>40757</v>
      </c>
      <c r="F415" s="7" t="n">
        <v>5</v>
      </c>
      <c r="G415" s="7" t="inlineStr">
        <is>
          <t>Great steak! I liked Ingrid's idea of pressing the garlic, so did that. I grilled a rib eye on my stove top grill and this was really easy and tasted great. Thanks diner for a nice, quick, tasty meal. Made for All You Can Cook Buffet special.</t>
        </is>
      </c>
    </row>
    <row r="416">
      <c r="A416" s="7" t="n">
        <v>21718</v>
      </c>
      <c r="B416" s="7" t="n">
        <v>1040753</v>
      </c>
      <c r="C416" s="7" t="n">
        <v>2046104</v>
      </c>
      <c r="D416" s="7" t="n">
        <v>61755</v>
      </c>
      <c r="E416" s="8" t="n">
        <v>41099</v>
      </c>
      <c r="F416" s="7" t="n">
        <v>5</v>
      </c>
      <c r="G416" s="7" t="inlineStr">
        <is>
          <t>Sooooo good!!!  I added about a teaspoon of vanilla to the sauce and used red apples as I didnt want them too tart.  Be carefull not to burn the sauce as I did with my first batch.  Ended up using it for little candies that were great!  Very fragrant.  Will make this again without a doubt.</t>
        </is>
      </c>
    </row>
    <row r="417">
      <c r="A417" s="7" t="n">
        <v>48050</v>
      </c>
      <c r="B417" s="7" t="n">
        <v>354335</v>
      </c>
      <c r="C417" s="7" t="n">
        <v>142335</v>
      </c>
      <c r="D417" s="7" t="n">
        <v>125127</v>
      </c>
      <c r="E417" s="8" t="n">
        <v>39724</v>
      </c>
      <c r="F417" s="7" t="n">
        <v>5</v>
      </c>
      <c r="G417" s="7" t="inlineStr">
        <is>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is>
      </c>
    </row>
    <row r="418">
      <c r="A418" s="7" t="n">
        <v>81988</v>
      </c>
      <c r="B418" s="7" t="n">
        <v>235304</v>
      </c>
      <c r="C418" s="7" t="n">
        <v>808027</v>
      </c>
      <c r="D418" s="7" t="n">
        <v>247414</v>
      </c>
      <c r="E418" s="8" t="n">
        <v>39873</v>
      </c>
      <c r="F418" s="7" t="n">
        <v>5</v>
      </c>
      <c r="G418" s="7" t="inlineStr">
        <is>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is>
      </c>
    </row>
    <row r="419">
      <c r="A419" s="7" t="n">
        <v>98968</v>
      </c>
      <c r="B419" s="7" t="n">
        <v>59241</v>
      </c>
      <c r="C419" s="7" t="n">
        <v>438296</v>
      </c>
      <c r="D419" s="7" t="n">
        <v>295813</v>
      </c>
      <c r="E419" s="8" t="n">
        <v>39542</v>
      </c>
      <c r="F419" s="7" t="n">
        <v>5</v>
      </c>
      <c r="G419" s="7" t="inlineStr">
        <is>
          <t>These were quite good for a healthy cookie!  DH loves them too!  Mine were a little difficult to get off the tray so next time I will spray the cookie sheet with cooking spray first.  I made them without the nuts and with extra dark chips... Delicous!</t>
        </is>
      </c>
    </row>
    <row r="420">
      <c r="A420" s="7" t="n">
        <v>2398</v>
      </c>
      <c r="B420" s="7" t="n">
        <v>982751</v>
      </c>
      <c r="C420" s="7" t="n">
        <v>601528</v>
      </c>
      <c r="D420" s="7" t="n">
        <v>75646</v>
      </c>
      <c r="E420" s="8" t="n">
        <v>39501</v>
      </c>
      <c r="F420" s="7" t="n">
        <v>3</v>
      </c>
      <c r="G420" s="7" t="inlineStr">
        <is>
          <t>Not a spectacular recipe but I had everything I needed in the pantry so that counts for something.  I had thought of adding cheese but decided against it.  I wish I had.  Nobody at the table raved about the recipe but everybody ate it without complaints.  I will make again.</t>
        </is>
      </c>
    </row>
    <row r="421">
      <c r="A421" s="7" t="n">
        <v>89897</v>
      </c>
      <c r="B421" s="7" t="n">
        <v>660672</v>
      </c>
      <c r="C421" s="7" t="n">
        <v>689332</v>
      </c>
      <c r="D421" s="7" t="n">
        <v>268208</v>
      </c>
      <c r="E421" s="8" t="n">
        <v>39855</v>
      </c>
      <c r="F421" s="7" t="n">
        <v>0</v>
      </c>
      <c r="G421" s="7" t="inlineStr">
        <is>
          <t>Maybe I just didn't have a good sauce, but this recipe didn't impress. I definitely needed extra filling and it just lacked defining taste and substance. I think if I try it again I'll use a different sauce and supliment the filling with a couple additional veggies to fill it up.</t>
        </is>
      </c>
    </row>
    <row r="422">
      <c r="A422" s="7" t="n">
        <v>98209</v>
      </c>
      <c r="B422" s="7" t="n">
        <v>588431</v>
      </c>
      <c r="C422" s="7" t="n">
        <v>446143</v>
      </c>
      <c r="D422" s="7" t="n">
        <v>384269</v>
      </c>
      <c r="E422" s="8" t="n">
        <v>40038</v>
      </c>
      <c r="F422" s="7" t="n">
        <v>5</v>
      </c>
      <c r="G422" s="7" t="inlineStr">
        <is>
          <t>I really enjoyed this.  I skipped the oil.  My husband liked it better with a dash of sugar.</t>
        </is>
      </c>
    </row>
    <row r="423">
      <c r="A423" s="7" t="n">
        <v>7624</v>
      </c>
      <c r="B423" s="7" t="n">
        <v>1004658</v>
      </c>
      <c r="C423" s="7" t="n">
        <v>2463088</v>
      </c>
      <c r="D423" s="7" t="n">
        <v>495181</v>
      </c>
      <c r="E423" s="8" t="n">
        <v>41322</v>
      </c>
      <c r="F423" s="7" t="n">
        <v>0</v>
      </c>
      <c r="G423" s="7" t="inlineStr">
        <is>
          <t>Absolutely phenomenal! It was easy to make and tasted delicious. I will definitely make this recipe again and again! (Stiletto Steel)</t>
        </is>
      </c>
    </row>
    <row r="424">
      <c r="A424" s="7" t="n">
        <v>46364</v>
      </c>
      <c r="B424" s="7" t="n">
        <v>149982</v>
      </c>
      <c r="C424" s="7" t="n">
        <v>315565</v>
      </c>
      <c r="D424" s="7" t="n">
        <v>338841</v>
      </c>
      <c r="E424" s="8" t="n">
        <v>41022</v>
      </c>
      <c r="F424" s="7" t="n">
        <v>5</v>
      </c>
      <c r="G424" s="7" t="inlineStr">
        <is>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is>
      </c>
    </row>
    <row r="425">
      <c r="A425" s="7" t="n">
        <v>77857</v>
      </c>
      <c r="B425" s="7" t="n">
        <v>138306</v>
      </c>
      <c r="C425" s="7" t="n">
        <v>121684</v>
      </c>
      <c r="D425" s="7" t="n">
        <v>34484</v>
      </c>
      <c r="E425" s="8" t="n">
        <v>39036</v>
      </c>
      <c r="F425" s="7" t="n">
        <v>5</v>
      </c>
      <c r="G425" s="7" t="inlineStr">
        <is>
          <t>This made a lovely light side-dish to serve with pork chops.  I used Paul Newman's Caesar Dressing (not the creamy one).  I sliced a large zucchini on the diagonal and let it sit for a while in the dressing, before grilling on the stove-top in a ridged grill pan.  Just delicious.  Can't wait to try it on the barbecue.</t>
        </is>
      </c>
    </row>
    <row r="426">
      <c r="A426" s="7" t="n">
        <v>101809</v>
      </c>
      <c r="B426" s="7" t="n">
        <v>373460</v>
      </c>
      <c r="C426" s="7" t="n">
        <v>808176</v>
      </c>
      <c r="D426" s="7" t="n">
        <v>247870</v>
      </c>
      <c r="E426" s="8" t="n">
        <v>39540</v>
      </c>
      <c r="F426" s="7" t="n">
        <v>5</v>
      </c>
      <c r="G426" s="7" t="inlineStr">
        <is>
          <t>This recipe was soooooo easy.  It was as easy as it sounds.  I skipped the parsley as I did not have any in the house.  It was still wonderful.  So easy.  I am going to serve this to some friends coming over this weekend.</t>
        </is>
      </c>
    </row>
    <row r="427">
      <c r="A427" s="7" t="n">
        <v>1118</v>
      </c>
      <c r="B427" s="7" t="n">
        <v>486431</v>
      </c>
      <c r="C427" s="7" t="n">
        <v>297540</v>
      </c>
      <c r="D427" s="7" t="n">
        <v>59000</v>
      </c>
      <c r="E427" s="8" t="n">
        <v>40027</v>
      </c>
      <c r="F427" s="7" t="n">
        <v>4</v>
      </c>
      <c r="G427" s="7" t="inlineStr">
        <is>
          <t>This is another delicious way to use up ripen bananas.  I followed the recipe using regular chocolate chips since that was all I had on hand.  Was quite pleased with the results.  If I were to change anything, I think I would add less chocolate chips.  Thanks for sharing a great recipe.</t>
        </is>
      </c>
    </row>
    <row r="428">
      <c r="A428" s="7" t="n">
        <v>40738</v>
      </c>
      <c r="B428" s="7" t="n">
        <v>501844</v>
      </c>
      <c r="C428" s="7" t="n">
        <v>593927</v>
      </c>
      <c r="D428" s="7" t="n">
        <v>369875</v>
      </c>
      <c r="E428" s="8" t="n">
        <v>40048</v>
      </c>
      <c r="F428" s="7" t="n">
        <v>4</v>
      </c>
      <c r="G428" s="7" t="inlineStr">
        <is>
          <t>This is exotic. I do think the rose water I used definitely did not need even half of the amount called for. I added a couple dashes of cardamom powder along with the cardamom seeds as I couldnt crush them well and I really like cardamom. I made the meringue nuggets to go in the ice cream without cream of tartar by adding a little apple cider vinegar. I think they didn't cook right (were too thinned out, therefore got dark fast) mainly because I didn't make the egg white stiff enough. I did not use chopped pistachios but they would look nice on top. However I don't really like them anyway. Made for Ramadan Tag.</t>
        </is>
      </c>
    </row>
    <row r="429">
      <c r="A429" s="7" t="n">
        <v>48359</v>
      </c>
      <c r="B429" s="7" t="n">
        <v>807309</v>
      </c>
      <c r="C429" s="7" t="n">
        <v>230102</v>
      </c>
      <c r="D429" s="7" t="n">
        <v>432654</v>
      </c>
      <c r="E429" s="8" t="n">
        <v>41116</v>
      </c>
      <c r="F429" s="7" t="n">
        <v>5</v>
      </c>
      <c r="G429" s="7" t="inlineStr">
        <is>
          <t>Delicious!!  I took advantage of this recipe to clear out the fridge.  I used celery, carrots and pan-seared tofu.  I also added a heaping spoon (didn't measure) of Thai garlic chili paste.   A keeper!  2Bleu, thanks for the recipe!</t>
        </is>
      </c>
    </row>
    <row r="430">
      <c r="A430" s="7" t="n">
        <v>77760</v>
      </c>
      <c r="B430" s="7" t="n">
        <v>971700</v>
      </c>
      <c r="C430" s="7" t="n">
        <v>157425</v>
      </c>
      <c r="D430" s="7" t="n">
        <v>63127</v>
      </c>
      <c r="E430" s="8" t="n">
        <v>39630</v>
      </c>
      <c r="F430" s="7" t="n">
        <v>4</v>
      </c>
      <c r="G430" s="7" t="inlineStr">
        <is>
          <t>Love making casseroles and this one was really good. While my rice was cooking I browned the ground round and added the soup, sour cream, and mayo. Stirred in the cooked rice, covered dutch oven,  and let heat thru. Right before serving I sprinkled cheddar cheese on top and let it melt. I think ground chicken would be very tasty too so will try that next time. Made and reviewed for ZWT 4.</t>
        </is>
      </c>
    </row>
    <row r="431">
      <c r="A431" s="7" t="n">
        <v>110421</v>
      </c>
      <c r="B431" s="7" t="n">
        <v>513099</v>
      </c>
      <c r="C431" s="7" t="n">
        <v>2597942</v>
      </c>
      <c r="D431" s="7" t="n">
        <v>406829</v>
      </c>
      <c r="E431" s="8" t="n">
        <v>41503</v>
      </c>
      <c r="F431" s="7" t="n">
        <v>5</v>
      </c>
      <c r="G431" s="7" t="inlineStr">
        <is>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is>
      </c>
    </row>
    <row r="432">
      <c r="A432" s="7" t="n">
        <v>49814</v>
      </c>
      <c r="B432" s="7" t="n">
        <v>418691</v>
      </c>
      <c r="C432" s="7" t="n">
        <v>341170</v>
      </c>
      <c r="D432" s="7" t="n">
        <v>281294</v>
      </c>
      <c r="E432" s="8" t="n">
        <v>39587</v>
      </c>
      <c r="F432" s="7" t="n">
        <v>4</v>
      </c>
      <c r="G432" s="7" t="inlineStr">
        <is>
          <t>Very good! I love the chewy bottom crust, but found the chocolate filling too sweet. However, not surprisingly, DD and DH loved all of it! We halved the recipe and used pecans instead of walnuts as that's all we had on hand. Thanks for a great recipe and sorry it's late!</t>
        </is>
      </c>
    </row>
    <row r="433" ht="409.5" customHeight="1">
      <c r="A433" s="7" t="n">
        <v>12076</v>
      </c>
      <c r="B433" s="7" t="n">
        <v>597485</v>
      </c>
      <c r="C433" s="7" t="n">
        <v>237912</v>
      </c>
      <c r="D433" s="7" t="n">
        <v>12957</v>
      </c>
      <c r="E433" s="8" t="n">
        <v>39068</v>
      </c>
      <c r="F433" s="7" t="n">
        <v>3</v>
      </c>
      <c r="G433" s="9" t="inlineStr">
        <is>
          <t>To answer BostonEgypt question on how to make basbousa less cake like is to omit the butter milk and the baking powder. i will post my recipe soon but I use 3 cups of semolina and the same amount of unsalted butter and  mix them together with the same amount of sugar. Add in a differant bowl I will mix 1 cup of plain yogurt and the same amount of baking soda until it almost doubles in size. then I will mix the two mixtures together and press down in a small jellyroll pan and bake at 375 or 400 (depending on your oven) until the its a dark golden brown. Then pour on the cold syrup on the basbousa. Oh and in our family or culture basbousa is made with coconut and this recipe is called Harissa. Maybe its just a Palestinian thing._x000D_
Hope this helps.</t>
        </is>
      </c>
    </row>
    <row r="434">
      <c r="A434" s="7" t="n">
        <v>110204</v>
      </c>
      <c r="B434" s="7" t="n">
        <v>503689</v>
      </c>
      <c r="C434" s="7" t="n">
        <v>179270</v>
      </c>
      <c r="D434" s="7" t="n">
        <v>213876</v>
      </c>
      <c r="E434" s="8" t="n">
        <v>39228</v>
      </c>
      <c r="F434" s="7" t="n">
        <v>5</v>
      </c>
      <c r="G434" s="7" t="inlineStr">
        <is>
          <t>Can't beleive no one has reviewed these yet!  I have a one year old son and he loves these!  I love them too!  We make a batch and eat a few...then freeze the rest.  They are great to pop out for breakfast or an anytime mommy or toddler snack.  Yummy and good for you, too!</t>
        </is>
      </c>
    </row>
    <row r="435">
      <c r="A435" s="7" t="n">
        <v>122572</v>
      </c>
      <c r="B435" s="7" t="n">
        <v>700359</v>
      </c>
      <c r="C435" s="7" t="n">
        <v>440324</v>
      </c>
      <c r="D435" s="7" t="n">
        <v>65765</v>
      </c>
      <c r="E435" s="8" t="n">
        <v>41412</v>
      </c>
      <c r="F435" s="7" t="n">
        <v>5</v>
      </c>
      <c r="G435" s="7" t="inlineStr">
        <is>
          <t>A wonderful vinaigrette. I did reduce the amount of sugar to 2/3 of a cup and it was perfect. Thank you.</t>
        </is>
      </c>
    </row>
    <row r="436">
      <c r="A436" s="7" t="n">
        <v>22569</v>
      </c>
      <c r="B436" s="7" t="n">
        <v>699789</v>
      </c>
      <c r="C436" s="7" t="n">
        <v>140132</v>
      </c>
      <c r="D436" s="7" t="n">
        <v>89751</v>
      </c>
      <c r="E436" s="8" t="n">
        <v>40583</v>
      </c>
      <c r="F436" s="7" t="n">
        <v>5</v>
      </c>
      <c r="G436" s="7" t="inlineStr">
        <is>
          <t>I made these last night and they are sooooo easy.  I love the one bowl thing.  These are just as easy as opening up a box of mix, yet so much better.  I frosted these with your buttercream frosting and the kids (and adults) loved them.  Thank you for such an easy cupcake recipe.</t>
        </is>
      </c>
    </row>
    <row r="437">
      <c r="A437" s="7" t="n">
        <v>10208</v>
      </c>
      <c r="B437" s="7" t="n">
        <v>661891</v>
      </c>
      <c r="C437" s="7" t="n">
        <v>618715</v>
      </c>
      <c r="D437" s="7" t="n">
        <v>372926</v>
      </c>
      <c r="E437" s="8" t="n">
        <v>39964</v>
      </c>
      <c r="F437" s="7" t="n">
        <v>5</v>
      </c>
      <c r="G437" s="7" t="inlineStr">
        <is>
          <t>My boyfriend took one bite of this and said, "Wow! This is the best gumbo I'd ever had!" I did have some Cajun seasoning and gumbo filÃ© from Penzeys. I served with this a homemade French baguette. Made for ZWT5: French/Cajun/Creole.</t>
        </is>
      </c>
    </row>
    <row r="438">
      <c r="A438" s="7" t="n">
        <v>102460</v>
      </c>
      <c r="B438" s="7" t="n">
        <v>637533</v>
      </c>
      <c r="C438" s="7" t="n">
        <v>2000992191</v>
      </c>
      <c r="D438" s="7" t="n">
        <v>78622</v>
      </c>
      <c r="E438" s="8" t="n">
        <v>42677</v>
      </c>
      <c r="F438" s="7" t="n">
        <v>5</v>
      </c>
      <c r="G438" s="7" t="inlineStr">
        <is>
          <t>I have found my stuffed cabbage recipe, no need to look at anything else. Excellent. I did them low in the crock pot and made a change due to that and only added 3/4 cup liquid to the tomato soup-and I used Imagine no chicken chicken broth. Used some dried thyme, parsley and Penzeys 4s seasoned smoky salt for the salt. Used two egg whites and 96 percent lean beef, and Savoy cabbage. Set the crock pot for 5 hours and checked on them before that and they were done, switched to keep warm. Nothing beats this traditional recipe that reminds me of the best ones I have ever had made by a family friend from Poland.</t>
        </is>
      </c>
    </row>
    <row r="439">
      <c r="A439" s="7" t="n">
        <v>54559</v>
      </c>
      <c r="B439" s="7" t="n">
        <v>101490</v>
      </c>
      <c r="C439" s="7" t="n">
        <v>360573</v>
      </c>
      <c r="D439" s="7" t="n">
        <v>193909</v>
      </c>
      <c r="E439" s="8" t="n">
        <v>39899</v>
      </c>
      <c r="F439" s="7" t="n">
        <v>5</v>
      </c>
      <c r="G439" s="7" t="inlineStr">
        <is>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is>
      </c>
    </row>
    <row r="440">
      <c r="A440" s="7" t="n">
        <v>85297</v>
      </c>
      <c r="B440" s="7" t="n">
        <v>573226</v>
      </c>
      <c r="C440" s="7" t="n">
        <v>140008</v>
      </c>
      <c r="D440" s="7" t="n">
        <v>21208</v>
      </c>
      <c r="E440" s="8" t="n">
        <v>38784</v>
      </c>
      <c r="F440" s="7" t="n">
        <v>5</v>
      </c>
      <c r="G440" s="7" t="inlineStr">
        <is>
          <t>This was wonderful!!  I've had this recipe for years in my recipe box, but had never made it.  I just made it recently and now I'm sorry I waited so long!!</t>
        </is>
      </c>
    </row>
    <row r="441">
      <c r="A441" s="7" t="n">
        <v>33268</v>
      </c>
      <c r="B441" s="7" t="n">
        <v>488040</v>
      </c>
      <c r="C441" s="7" t="n">
        <v>452451</v>
      </c>
      <c r="D441" s="7" t="n">
        <v>154996</v>
      </c>
      <c r="E441" s="8" t="n">
        <v>39402</v>
      </c>
      <c r="F441" s="7" t="n">
        <v>0</v>
      </c>
      <c r="G441" s="7" t="inlineStr">
        <is>
          <t>AMAZING!!!!!! lots of people i served it to said it was the best pie they've ever eaten!!! full of flavor!!!! really easy to make. i make five at a time.</t>
        </is>
      </c>
    </row>
    <row r="442">
      <c r="A442" s="7" t="n">
        <v>76498</v>
      </c>
      <c r="B442" s="7" t="n">
        <v>967080</v>
      </c>
      <c r="C442" s="7" t="n">
        <v>189500</v>
      </c>
      <c r="D442" s="7" t="n">
        <v>124005</v>
      </c>
      <c r="E442" s="8" t="n">
        <v>39732</v>
      </c>
      <c r="F442" s="7" t="n">
        <v>5</v>
      </c>
      <c r="G442" s="7" t="inlineStr">
        <is>
          <t>These were such an easy cookie to prepare, and my son especially enjoyed them. I'd definately make these again anytime :)</t>
        </is>
      </c>
    </row>
    <row r="443">
      <c r="A443" s="7" t="n">
        <v>90259</v>
      </c>
      <c r="B443" s="7" t="n">
        <v>172059</v>
      </c>
      <c r="C443" s="7" t="n">
        <v>130819</v>
      </c>
      <c r="D443" s="7" t="n">
        <v>54517</v>
      </c>
      <c r="E443" s="8" t="n">
        <v>39695</v>
      </c>
      <c r="F443" s="7" t="n">
        <v>5</v>
      </c>
      <c r="G443" s="7" t="inlineStr">
        <is>
          <t>DELICIOUS! Not much I can add that has not already been said - I agree an awesome cucumber filling. Made using crisp and sweet cucumbers fresh from the garden - definetely a  recipe that will be made again and again. This is one I will also  keep in mind when needing finger sandwiches or toppings for appetizers. Thank you Shawna - have added it to my favorites.</t>
        </is>
      </c>
    </row>
    <row r="444">
      <c r="A444" s="7" t="n">
        <v>44400</v>
      </c>
      <c r="B444" s="7" t="n">
        <v>344531</v>
      </c>
      <c r="C444" s="7" t="n">
        <v>449929</v>
      </c>
      <c r="D444" s="7" t="n">
        <v>222188</v>
      </c>
      <c r="E444" s="8" t="n">
        <v>41424</v>
      </c>
      <c r="F444" s="7" t="n">
        <v>5</v>
      </c>
      <c r="G444" s="7" t="inlineStr">
        <is>
          <t>Delicious!</t>
        </is>
      </c>
    </row>
    <row r="445">
      <c r="A445" s="7" t="n">
        <v>102136</v>
      </c>
      <c r="B445" s="7" t="n">
        <v>20731</v>
      </c>
      <c r="C445" s="7" t="n">
        <v>92385</v>
      </c>
      <c r="D445" s="7" t="n">
        <v>88804</v>
      </c>
      <c r="E445" s="8" t="n">
        <v>38104</v>
      </c>
      <c r="F445" s="7" t="n">
        <v>5</v>
      </c>
      <c r="G445" s="7" t="inlineStr">
        <is>
          <t>Delicious !  Only thing I'll change next time is to use less than the 1 tsp salt, the parmesan was salty enough. Husband loved it as well. Thanks for posting.</t>
        </is>
      </c>
    </row>
    <row r="446">
      <c r="A446" s="7" t="n">
        <v>57695</v>
      </c>
      <c r="B446" s="7" t="n">
        <v>895965</v>
      </c>
      <c r="C446" s="7" t="n">
        <v>27707</v>
      </c>
      <c r="D446" s="7" t="n">
        <v>42245</v>
      </c>
      <c r="E446" s="8" t="n">
        <v>37558</v>
      </c>
      <c r="F446" s="7" t="n">
        <v>5</v>
      </c>
      <c r="G446" s="7" t="inlineStr">
        <is>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is>
      </c>
    </row>
    <row r="447">
      <c r="A447" s="7" t="n">
        <v>46279</v>
      </c>
      <c r="B447" s="7" t="n">
        <v>623209</v>
      </c>
      <c r="C447" s="7" t="n">
        <v>278639</v>
      </c>
      <c r="D447" s="7" t="n">
        <v>392229</v>
      </c>
      <c r="E447" s="8" t="n">
        <v>40339</v>
      </c>
      <c r="F447" s="7" t="n">
        <v>5</v>
      </c>
      <c r="G447" s="7" t="inlineStr">
        <is>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is>
      </c>
    </row>
    <row r="448">
      <c r="A448" s="7" t="n">
        <v>6247</v>
      </c>
      <c r="B448" s="7" t="n">
        <v>444688</v>
      </c>
      <c r="C448" s="7" t="n">
        <v>424680</v>
      </c>
      <c r="D448" s="7" t="n">
        <v>369856</v>
      </c>
      <c r="E448" s="8" t="n">
        <v>39945</v>
      </c>
      <c r="F448" s="7" t="n">
        <v>5</v>
      </c>
      <c r="G448" s="7" t="inlineStr">
        <is>
          <t>This was definitely A GREAT TASTING BREAKFAST for the 2 of us with just enough left over for a nice lunch-munch! We like garlic, so the cloves I used were large! Thanks for sharing the recipe for a great meal! [Tagged, made &amp; reviewed while visiting Portugal during the ZWT5]</t>
        </is>
      </c>
    </row>
    <row r="449">
      <c r="A449" s="7" t="n">
        <v>46832</v>
      </c>
      <c r="B449" s="7" t="n">
        <v>253225</v>
      </c>
      <c r="C449" s="7" t="n">
        <v>136004</v>
      </c>
      <c r="D449" s="7" t="n">
        <v>102617</v>
      </c>
      <c r="E449" s="8" t="n">
        <v>38690</v>
      </c>
      <c r="F449" s="7" t="n">
        <v>5</v>
      </c>
      <c r="G449" s="7" t="inlineStr">
        <is>
          <t xml:space="preserve">This is fabulous coleslaw!  My husband is not a coleslaw fan and he really enjoyed it.  I doubled it for two batches and there was more than enough dressing. I can see that allowing it to refrigerate overnight is a must.  Next time I'll cut back on the sugar--I don't think 2 tblsp. of sugar is needed but if you like it with a little extra sweetness, go for it!  </t>
        </is>
      </c>
    </row>
    <row r="450">
      <c r="A450" s="7" t="n">
        <v>109344</v>
      </c>
      <c r="B450" s="7" t="n">
        <v>668409</v>
      </c>
      <c r="C450" s="7" t="n">
        <v>145352</v>
      </c>
      <c r="D450" s="7" t="n">
        <v>184128</v>
      </c>
      <c r="E450" s="8" t="n">
        <v>39604</v>
      </c>
      <c r="F450" s="7" t="n">
        <v>5</v>
      </c>
      <c r="G450" s="7" t="inlineStr">
        <is>
          <t>Great roast and soooo easy. The house smelled great all day!!!! Made for ZWT 4.</t>
        </is>
      </c>
    </row>
    <row r="451">
      <c r="A451" s="7" t="n">
        <v>120787</v>
      </c>
      <c r="B451" s="7" t="n">
        <v>178248</v>
      </c>
      <c r="C451" s="7" t="n">
        <v>60989</v>
      </c>
      <c r="D451" s="7" t="n">
        <v>22682</v>
      </c>
      <c r="E451" s="8" t="n">
        <v>37897</v>
      </c>
      <c r="F451" s="7" t="n">
        <v>4</v>
      </c>
      <c r="G451" s="7" t="inlineStr">
        <is>
          <t>Very very easy and yummy! My first attempt making pretzels. Mine were done in about 10 minutes. I made them into pretzel "ropes" since there was no way I could make the standard pretzel shape! Thanks!</t>
        </is>
      </c>
    </row>
    <row r="452">
      <c r="A452" s="7" t="n">
        <v>23656</v>
      </c>
      <c r="B452" s="7" t="n">
        <v>309346</v>
      </c>
      <c r="C452" s="7" t="n">
        <v>92921</v>
      </c>
      <c r="D452" s="7" t="n">
        <v>22691</v>
      </c>
      <c r="E452" s="8" t="n">
        <v>37808</v>
      </c>
      <c r="F452" s="7" t="n">
        <v>5</v>
      </c>
      <c r="G452" s="7" t="inlineStr">
        <is>
          <t>How can something so easy taste so good?  It is easy and tastes great.</t>
        </is>
      </c>
    </row>
    <row r="453">
      <c r="A453" s="7" t="n">
        <v>24507</v>
      </c>
      <c r="B453" s="7" t="n">
        <v>1033328</v>
      </c>
      <c r="C453" s="7" t="n">
        <v>561242</v>
      </c>
      <c r="D453" s="7" t="n">
        <v>176927</v>
      </c>
      <c r="E453" s="8" t="n">
        <v>39308</v>
      </c>
      <c r="F453" s="7" t="n">
        <v>5</v>
      </c>
      <c r="G453" s="7" t="inlineStr">
        <is>
          <t>This cake got rave reviews when I took it to work - perfectly moist, wonderful flavor and just the right amount of glaze. Thanks for sharing this recipe!</t>
        </is>
      </c>
    </row>
    <row r="454">
      <c r="A454" s="7" t="n">
        <v>18952</v>
      </c>
      <c r="B454" s="7" t="n">
        <v>1060352</v>
      </c>
      <c r="C454" s="7" t="n">
        <v>128473</v>
      </c>
      <c r="D454" s="7" t="n">
        <v>364484</v>
      </c>
      <c r="E454" s="8" t="n">
        <v>40694</v>
      </c>
      <c r="F454" s="7" t="n">
        <v>5</v>
      </c>
      <c r="G454" s="7" t="inlineStr">
        <is>
          <t>What a great recipe Lainey. Thank you so much for sharing this tasty treat.  The chicken was quick and easy to make with excellent results.  Moist, tender, juicy and very flavorful.  We enjoyed this chicken very much. Made for ZWT7 (witchin kitchen)</t>
        </is>
      </c>
    </row>
    <row r="455">
      <c r="A455" s="7" t="n">
        <v>11019</v>
      </c>
      <c r="B455" s="7" t="n">
        <v>744159</v>
      </c>
      <c r="C455" s="7" t="n">
        <v>38961</v>
      </c>
      <c r="D455" s="7" t="n">
        <v>48635</v>
      </c>
      <c r="E455" s="8" t="n">
        <v>39263</v>
      </c>
      <c r="F455" s="7" t="n">
        <v>5</v>
      </c>
      <c r="G455" s="7" t="inlineStr">
        <is>
          <t>Yay! Perfect pancakes! Thank you!!</t>
        </is>
      </c>
    </row>
    <row r="456">
      <c r="A456" s="7" t="n">
        <v>2272</v>
      </c>
      <c r="B456" s="7" t="n">
        <v>898527</v>
      </c>
      <c r="C456" s="7" t="n">
        <v>1029174</v>
      </c>
      <c r="D456" s="7" t="n">
        <v>230521</v>
      </c>
      <c r="E456" s="8" t="n">
        <v>40050</v>
      </c>
      <c r="F456" s="7" t="n">
        <v>5</v>
      </c>
      <c r="G456" s="7" t="inlineStr">
        <is>
          <t>I've been looking for this recipe for years.  Thank you for posting it.  My friend used to make it and it is very, very delicious.</t>
        </is>
      </c>
    </row>
    <row r="457">
      <c r="A457" s="7" t="n">
        <v>107904</v>
      </c>
      <c r="B457" s="7" t="n">
        <v>35171</v>
      </c>
      <c r="C457" s="7" t="n">
        <v>2000270596</v>
      </c>
      <c r="D457" s="7" t="n">
        <v>445211</v>
      </c>
      <c r="E457" s="8" t="n">
        <v>42169</v>
      </c>
      <c r="F457" s="7" t="n">
        <v>5</v>
      </c>
      <c r="G457" s="7" t="inlineStr">
        <is>
          <t>These rolls were very easy to make and turned out great.  I made sandwiches with them.  A lot of gluten free breads crumble, but these rolls held up really well.</t>
        </is>
      </c>
    </row>
    <row r="458">
      <c r="A458" s="7" t="n">
        <v>26148</v>
      </c>
      <c r="B458" s="7" t="n">
        <v>699661</v>
      </c>
      <c r="C458" s="7" t="n">
        <v>495568</v>
      </c>
      <c r="D458" s="7" t="n">
        <v>89751</v>
      </c>
      <c r="E458" s="8" t="n">
        <v>39390</v>
      </c>
      <c r="F458" s="7" t="n">
        <v>3</v>
      </c>
      <c r="G458" s="7" t="inlineStr">
        <is>
          <t>These are tasty, I made them as mini cupcakes. I wasn't overly impressed with the flavor and texture. I feel like if there was more of an actual cake texture and fluff I would have enjoyed these more. Either way--they worked. Thank you!</t>
        </is>
      </c>
    </row>
    <row r="459">
      <c r="A459" s="7" t="n">
        <v>21374</v>
      </c>
      <c r="B459" s="7" t="n">
        <v>450368</v>
      </c>
      <c r="C459" s="7" t="n">
        <v>369715</v>
      </c>
      <c r="D459" s="7" t="n">
        <v>263226</v>
      </c>
      <c r="E459" s="8" t="n">
        <v>39831</v>
      </c>
      <c r="F459" s="7" t="n">
        <v>4</v>
      </c>
      <c r="G459" s="7" t="inlineStr">
        <is>
          <t>We enjoyed this during the football game. I had precooked taco meat in the freezer, so I used that. So that made this even quicker to make. My kids thought it needed some hot sauce. This was really quick to make and we all enjoyed it.</t>
        </is>
      </c>
    </row>
    <row r="460">
      <c r="A460" s="7" t="n">
        <v>79203</v>
      </c>
      <c r="B460" s="7" t="n">
        <v>180851</v>
      </c>
      <c r="C460" s="7" t="n">
        <v>341135</v>
      </c>
      <c r="D460" s="7" t="n">
        <v>35096</v>
      </c>
      <c r="E460" s="8" t="n">
        <v>39501</v>
      </c>
      <c r="F460" s="7" t="n">
        <v>1</v>
      </c>
      <c r="G460" s="7" t="inlineStr">
        <is>
          <t>This is not a real Satay recipe that i aet it in Thailand at all Sorry to say it</t>
        </is>
      </c>
    </row>
    <row r="461">
      <c r="A461" s="7" t="n">
        <v>68905</v>
      </c>
      <c r="B461" s="7" t="n">
        <v>749633</v>
      </c>
      <c r="C461" s="7" t="n">
        <v>240552</v>
      </c>
      <c r="D461" s="7" t="n">
        <v>170013</v>
      </c>
      <c r="E461" s="8" t="n">
        <v>39193</v>
      </c>
      <c r="F461" s="7" t="n">
        <v>5</v>
      </c>
      <c r="G461" s="7" t="inlineStr">
        <is>
          <t>I made my own dough and then used the topping.  They were gobbled up!!  I did only 1/2 tsp of garlic salt, but left the rest of the seasonings as is. :)  Thank you!</t>
        </is>
      </c>
    </row>
    <row r="462">
      <c r="A462" s="7" t="n">
        <v>25594</v>
      </c>
      <c r="B462" s="7" t="n">
        <v>153926</v>
      </c>
      <c r="C462" s="7" t="n">
        <v>2201427</v>
      </c>
      <c r="D462" s="7" t="n">
        <v>497443</v>
      </c>
      <c r="E462" s="8" t="n">
        <v>41355</v>
      </c>
      <c r="F462" s="7" t="n">
        <v>5</v>
      </c>
      <c r="G462" s="7" t="inlineStr">
        <is>
          <t>Great recipe .... awesome combination of just 5 ingredients!!</t>
        </is>
      </c>
    </row>
    <row r="463">
      <c r="A463" s="7" t="n">
        <v>12525</v>
      </c>
      <c r="B463" s="7" t="n">
        <v>255134</v>
      </c>
      <c r="C463" s="7" t="n">
        <v>41799</v>
      </c>
      <c r="D463" s="7" t="n">
        <v>55796</v>
      </c>
      <c r="E463" s="8" t="n">
        <v>38397</v>
      </c>
      <c r="F463" s="7" t="n">
        <v>5</v>
      </c>
      <c r="G463" s="7" t="inlineStr">
        <is>
          <t>GREAT SOUP and healthy too! I used 1 15 oz. can of diced tomatoes with basil, garlic and oregano (drained)and 2 10 oz. cans of Rotel and green chilies.  I did not add the Italian herb seasonings becasue I had all those flavorings in the tomatoes already.  I used chicken broth.  The Rotel really gave it ZIP and an excellent tasting bean soup!  Thanks for sharing Barbara.  Tweeky</t>
        </is>
      </c>
    </row>
    <row r="464" ht="409.5" customHeight="1">
      <c r="A464" s="7" t="n">
        <v>88587</v>
      </c>
      <c r="B464" s="7" t="n">
        <v>163928</v>
      </c>
      <c r="C464" s="7" t="n">
        <v>1056537</v>
      </c>
      <c r="D464" s="7" t="n">
        <v>201000</v>
      </c>
      <c r="E464" s="8" t="n">
        <v>39990</v>
      </c>
      <c r="F464" s="7" t="n">
        <v>5</v>
      </c>
      <c r="G464" s="9" t="inlineStr">
        <is>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is>
      </c>
    </row>
    <row r="465">
      <c r="A465" s="7" t="n">
        <v>116573</v>
      </c>
      <c r="B465" s="7" t="n">
        <v>738681</v>
      </c>
      <c r="C465" s="7" t="n">
        <v>306469</v>
      </c>
      <c r="D465" s="7" t="n">
        <v>29365</v>
      </c>
      <c r="E465" s="8" t="n">
        <v>39431</v>
      </c>
      <c r="F465" s="7" t="n">
        <v>4</v>
      </c>
      <c r="G465" s="7" t="inlineStr">
        <is>
          <t>This is very tasty. If you already like regular peanut butter and jelly then you will LOVE this. I love the buttery toasted bread and the warm filling. It's definite comfort food.</t>
        </is>
      </c>
    </row>
    <row r="466">
      <c r="A466" s="7" t="n">
        <v>96146</v>
      </c>
      <c r="B466" s="7" t="n">
        <v>977371</v>
      </c>
      <c r="C466" s="7" t="n">
        <v>4439</v>
      </c>
      <c r="D466" s="7" t="n">
        <v>210416</v>
      </c>
      <c r="E466" s="8" t="n">
        <v>39245</v>
      </c>
      <c r="F466" s="7" t="n">
        <v>5</v>
      </c>
      <c r="G466" s="7" t="inlineStr">
        <is>
          <t>very sweet, and delicious. i used low fat condensed milk, lite cool whip but made no other changes. easy to make with a great presentation. thanks vseward.</t>
        </is>
      </c>
    </row>
    <row r="467">
      <c r="A467" t="n">
        <v>2309</v>
      </c>
      <c r="B467" t="n">
        <v>312528</v>
      </c>
      <c r="C467" t="n">
        <v>2001985050</v>
      </c>
      <c r="D467" t="n">
        <v>168758</v>
      </c>
      <c r="E467" s="1" t="n">
        <v>43142</v>
      </c>
      <c r="F467" t="n">
        <v>5</v>
      </c>
      <c r="G467" t="inlineStr">
        <is>
          <t>We had a Chicken Scarpariello dish at Rao's Las Vegas that we loved, so I searched the internet for a recipe. This country style version is perfect for us -- love it! I do not add the thickening at the end, and I'm quite generous with the cherry peppers (love the heat!). I also use hot sausage and a sauvignon blanc or Chenin blanc for the wine. I serve with a side of green peas, and we usually start out with a small Caesar salad. Great recipe!</t>
        </is>
      </c>
    </row>
    <row r="468">
      <c r="A468" s="7" t="n">
        <v>62484</v>
      </c>
      <c r="B468" s="7" t="n">
        <v>960007</v>
      </c>
      <c r="C468" s="7" t="n">
        <v>183964</v>
      </c>
      <c r="D468" s="7" t="n">
        <v>138754</v>
      </c>
      <c r="E468" s="8" t="n">
        <v>38629</v>
      </c>
      <c r="F468" s="7" t="n">
        <v>5</v>
      </c>
      <c r="G468" s="7" t="inlineStr">
        <is>
          <t>My first try at making tortillas was a huge success. Thanks, Cheryl. I served these using Knorr Red Bell Pepper Pesto and look forward to trying the other flavors. I served these with Aztec Guacamole recipe #123915 for Dugan's poker party where five hungry men became five angry men after they inhaled them and had none left and I made a double batch. I only used 1 tsp of baking powder because I prefer a very thin tortilla and will use even less next time.</t>
        </is>
      </c>
    </row>
    <row r="469">
      <c r="A469" s="7" t="n">
        <v>46223</v>
      </c>
      <c r="B469" s="7" t="n">
        <v>319183</v>
      </c>
      <c r="C469" s="7" t="n">
        <v>1802593948</v>
      </c>
      <c r="D469" s="7" t="n">
        <v>294059</v>
      </c>
      <c r="E469" s="8" t="n">
        <v>42245</v>
      </c>
      <c r="F469" s="7" t="n">
        <v>4</v>
      </c>
      <c r="G469" s="7" t="inlineStr">
        <is>
          <t>This is a good recipe for low-carb. I used Splenda cup for cup and two ounces of chocolate and they were rich but flat and had a wang from the sweetener. I think I wails rather have a rich but not as sweet dessert due to the flavor, but they were good with peanut butter.</t>
        </is>
      </c>
    </row>
    <row r="470">
      <c r="A470" s="7" t="n">
        <v>59642</v>
      </c>
      <c r="B470" s="7" t="n">
        <v>664577</v>
      </c>
      <c r="C470" s="7" t="n">
        <v>239758</v>
      </c>
      <c r="D470" s="7" t="n">
        <v>152860</v>
      </c>
      <c r="E470" s="8" t="n">
        <v>40340</v>
      </c>
      <c r="F470" s="7" t="n">
        <v>4</v>
      </c>
      <c r="G470" s="7" t="inlineStr">
        <is>
          <t>Great dip. I made half a batch, using the full amount of onion and a little over 4 ounces of fresh baby spinach. The mixture was extremely thick so I added four extra tablespoons of lemon juice. Served with celery and lebanese bread. Thanks for posting.</t>
        </is>
      </c>
    </row>
    <row r="471">
      <c r="A471" s="7" t="n">
        <v>109431</v>
      </c>
      <c r="B471" s="7" t="n">
        <v>737322</v>
      </c>
      <c r="C471" s="7" t="n">
        <v>481092</v>
      </c>
      <c r="D471" s="7" t="n">
        <v>190661</v>
      </c>
      <c r="E471" s="8" t="n">
        <v>39626</v>
      </c>
      <c r="F471" s="7" t="n">
        <v>4</v>
      </c>
      <c r="G471" s="7" t="inlineStr">
        <is>
          <t>These were a great change of pace.  We did find them quite sweet, duh, of course with maple syrup AND brown sugar.  The glaze of the sugar combination was really nice.  For ZWT.</t>
        </is>
      </c>
    </row>
    <row r="472">
      <c r="A472" s="7" t="n">
        <v>46976</v>
      </c>
      <c r="B472" s="7" t="n">
        <v>734604</v>
      </c>
      <c r="C472" s="7" t="n">
        <v>542159</v>
      </c>
      <c r="D472" s="7" t="n">
        <v>337637</v>
      </c>
      <c r="E472" s="8" t="n">
        <v>40538</v>
      </c>
      <c r="F472" s="7" t="n">
        <v>4</v>
      </c>
      <c r="G472" s="7" t="inlineStr">
        <is>
          <t>These taste great! My crispy parmesan cups were filled with sautéed garlic spinach for a nice simple little appetizer.  While these are easy to make it does take a few tries to get your technique down. I started with 1 tablespoon piled up to maintain the size of a quarter as directed which did not work at all, then took a tablespoon and spread out to about a one inch circle with much better results. Used a nonstick pan with medium heat for cooking and then had to work very quickly to try and mold as they started to cool almost before I could get them onto the mini muffin tin. Again they taste great just takes more practice and talent then I seem to have, no fault of the recipe. Thanks for the post.</t>
        </is>
      </c>
    </row>
    <row r="473">
      <c r="A473" s="7" t="n">
        <v>123870</v>
      </c>
      <c r="B473" s="7" t="n">
        <v>1102731</v>
      </c>
      <c r="C473" s="7" t="n">
        <v>2000954707</v>
      </c>
      <c r="D473" s="7" t="n">
        <v>234344</v>
      </c>
      <c r="E473" s="8" t="n">
        <v>42463</v>
      </c>
      <c r="F473" s="7" t="n">
        <v>3</v>
      </c>
      <c r="G473" s="7" t="inlineStr">
        <is>
          <t>I couldn&amp;#039;t get past the strong whiskey smell. I&amp;#039;ve never tasted whiskey before, and now I know why I avoided it. Another reviewer suggested adding more honey. That made it better.</t>
        </is>
      </c>
    </row>
    <row r="474">
      <c r="A474" s="7" t="n">
        <v>28319</v>
      </c>
      <c r="B474" s="7" t="n">
        <v>794347</v>
      </c>
      <c r="C474" s="7" t="n">
        <v>69838</v>
      </c>
      <c r="D474" s="7" t="n">
        <v>39745</v>
      </c>
      <c r="E474" s="8" t="n">
        <v>38061</v>
      </c>
      <c r="F474" s="7" t="n">
        <v>5</v>
      </c>
      <c r="G474" s="7" t="inlineStr">
        <is>
          <t xml:space="preserve">These were VERY good. I really love old bay seasoning hehe.  I did everything as stated except I used fresh parsley and I too used hellmans mayo instead of miracle whip, because I cant stand MW lol :) I agree with Rita; definitely a keeper!!!!!  Cant wait to have these again.  We're doing all veggie and seafood only for lent, so this was definitely a change from what we've been having! Thank you SO MUCH! :) </t>
        </is>
      </c>
    </row>
    <row r="475">
      <c r="A475" s="7" t="n">
        <v>56227</v>
      </c>
      <c r="B475" s="7" t="n">
        <v>349104</v>
      </c>
      <c r="C475" s="7" t="n">
        <v>2001166753</v>
      </c>
      <c r="D475" s="7" t="n">
        <v>50719</v>
      </c>
      <c r="E475" s="8" t="n">
        <v>42626</v>
      </c>
      <c r="F475" s="7" t="n">
        <v>5</v>
      </c>
      <c r="G475" s="7" t="inlineStr">
        <is>
          <t>Yum, thank you for this recipe. These muffins are so moist and fluffy. I halved the recipe and it made 8 big muffins. I have a fanforced oven so i turned it down it 165 degrees celcius. i definately will continue using this recipe in the future.</t>
        </is>
      </c>
    </row>
    <row r="476">
      <c r="A476" t="n">
        <v>68387</v>
      </c>
      <c r="B476" t="n">
        <v>667719</v>
      </c>
      <c r="C476" t="n">
        <v>574716</v>
      </c>
      <c r="D476" t="n">
        <v>916</v>
      </c>
      <c r="E476" s="1" t="n">
        <v>39324</v>
      </c>
      <c r="F476" t="n">
        <v>5</v>
      </c>
      <c r="G476" t="inlineStr">
        <is>
          <t>excellent</t>
        </is>
      </c>
    </row>
    <row r="477">
      <c r="A477" s="7" t="n">
        <v>41981</v>
      </c>
      <c r="B477" s="7" t="n">
        <v>52913</v>
      </c>
      <c r="C477" s="7" t="n">
        <v>1802652222</v>
      </c>
      <c r="D477" s="7" t="n">
        <v>515167</v>
      </c>
      <c r="E477" s="8" t="n">
        <v>41737</v>
      </c>
      <c r="F477" s="7" t="n">
        <v>5</v>
      </c>
      <c r="G477" s="7" t="inlineStr">
        <is>
          <t>Amazing flavor!</t>
        </is>
      </c>
    </row>
    <row r="478">
      <c r="A478" s="7" t="n">
        <v>48558</v>
      </c>
      <c r="B478" s="7" t="n">
        <v>985048</v>
      </c>
      <c r="C478" s="7" t="n">
        <v>294000</v>
      </c>
      <c r="D478" s="7" t="n">
        <v>103243</v>
      </c>
      <c r="E478" s="8" t="n">
        <v>38981</v>
      </c>
      <c r="F478" s="7" t="n">
        <v>5</v>
      </c>
      <c r="G478" s="7" t="inlineStr">
        <is>
          <t>This is so easy and tastes great!  My toddler hasn't been touching broccoli for months but she did tonight...thanks!</t>
        </is>
      </c>
    </row>
    <row r="479">
      <c r="A479" s="7" t="n">
        <v>30595</v>
      </c>
      <c r="B479" s="7" t="n">
        <v>493454</v>
      </c>
      <c r="C479" s="7" t="n">
        <v>391666</v>
      </c>
      <c r="D479" s="7" t="n">
        <v>71373</v>
      </c>
      <c r="E479" s="8" t="n">
        <v>39449</v>
      </c>
      <c r="F479" s="7" t="n">
        <v>5</v>
      </c>
      <c r="G479" s="7" t="inlineStr">
        <is>
          <t>YUM!  I've made this recipe both as a loaf and dinner rolls.  My family agrees that this is the best white bread recipe.  Thanks for sharing it!</t>
        </is>
      </c>
    </row>
    <row r="480">
      <c r="A480" s="7" t="n">
        <v>44659</v>
      </c>
      <c r="B480" s="7" t="n">
        <v>861127</v>
      </c>
      <c r="C480" s="7" t="n">
        <v>450004</v>
      </c>
      <c r="D480" s="7" t="n">
        <v>458158</v>
      </c>
      <c r="E480" s="8" t="n">
        <v>40781</v>
      </c>
      <c r="F480" s="7" t="n">
        <v>5</v>
      </c>
      <c r="G480" s="7" t="inlineStr">
        <is>
          <t>My kids loved this, and they both gave it 5 stars!  They have had it twice now (the second time by request!) and I think it will be something they will ask for a lot in the future.  My only alteration was to use a multi-seed ploughmans bread as that is what we had at the time.  [Made for Aus/NZ Swap]</t>
        </is>
      </c>
    </row>
    <row r="481">
      <c r="A481" s="7" t="n">
        <v>35190</v>
      </c>
      <c r="B481" s="7" t="n">
        <v>758460</v>
      </c>
      <c r="C481" s="7" t="n">
        <v>22973</v>
      </c>
      <c r="D481" s="7" t="n">
        <v>76865</v>
      </c>
      <c r="E481" s="8" t="n">
        <v>38162</v>
      </c>
      <c r="F481" s="7" t="n">
        <v>5</v>
      </c>
      <c r="G481" s="7" t="inlineStr">
        <is>
          <t>Celeste,When I find a low carb recipe I always print it for my daughter Erica who is on the curves diet and exercise program,she can only have 20 carbs a day on this diet.She really loved this recipe,and told me to give you a 5 star rating.And to say THANKS so much.Darlene</t>
        </is>
      </c>
    </row>
    <row r="482">
      <c r="A482" s="7" t="n">
        <v>72414</v>
      </c>
      <c r="B482" s="7" t="n">
        <v>542938</v>
      </c>
      <c r="C482" s="7" t="n">
        <v>172369</v>
      </c>
      <c r="D482" s="7" t="n">
        <v>71873</v>
      </c>
      <c r="E482" s="8" t="n">
        <v>38637</v>
      </c>
      <c r="F482" s="7" t="n">
        <v>5</v>
      </c>
      <c r="G482" s="7" t="inlineStr">
        <is>
          <t>Love This, great summertime drink. Thanks for a great recipe.</t>
        </is>
      </c>
    </row>
    <row r="483">
      <c r="A483" s="7" t="n">
        <v>102602</v>
      </c>
      <c r="B483" s="7" t="n">
        <v>378606</v>
      </c>
      <c r="C483" s="7" t="n">
        <v>53959</v>
      </c>
      <c r="D483" s="7" t="n">
        <v>385190</v>
      </c>
      <c r="E483" s="8" t="n">
        <v>40083</v>
      </c>
      <c r="F483" s="7" t="n">
        <v>5</v>
      </c>
      <c r="G483" s="7" t="inlineStr">
        <is>
          <t>Yumm, this was very easy to make and tasted great.</t>
        </is>
      </c>
    </row>
    <row r="484">
      <c r="A484" s="7" t="n">
        <v>25875</v>
      </c>
      <c r="B484" s="7" t="n">
        <v>588375</v>
      </c>
      <c r="C484" s="7" t="n">
        <v>242729</v>
      </c>
      <c r="D484" s="7" t="n">
        <v>226062</v>
      </c>
      <c r="E484" s="8" t="n">
        <v>39248</v>
      </c>
      <c r="F484" s="7" t="n">
        <v>5</v>
      </c>
      <c r="G484" s="7" t="inlineStr">
        <is>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is>
      </c>
    </row>
    <row r="485" ht="409.5" customHeight="1">
      <c r="A485" s="7" t="n">
        <v>66886</v>
      </c>
      <c r="B485" s="7" t="n">
        <v>1047913</v>
      </c>
      <c r="C485" s="7" t="n">
        <v>316765</v>
      </c>
      <c r="D485" s="7" t="n">
        <v>102002</v>
      </c>
      <c r="E485" s="8" t="n">
        <v>40087</v>
      </c>
      <c r="F485" s="7" t="n">
        <v>5</v>
      </c>
      <c r="G485" s="9" t="inlineStr">
        <is>
          <t>Very good, simply recipe. I was able to find some pre-cooked, low-fat chicken sausages at my grocery store. They had a bunch of flavors, but I made this with the Ginger Teriyaki flavor. Good choice!_x000D_
_x000D_
NOTE: We've also gotten creative and used other sweet Asian-style sauces to mix things up. This is very versatile.</t>
        </is>
      </c>
    </row>
    <row r="486">
      <c r="A486" s="7" t="n">
        <v>68086</v>
      </c>
      <c r="B486" s="7" t="n">
        <v>38147</v>
      </c>
      <c r="C486" s="7" t="n">
        <v>2001710204</v>
      </c>
      <c r="D486" s="7" t="n">
        <v>502197</v>
      </c>
      <c r="E486" s="8" t="n">
        <v>42989</v>
      </c>
      <c r="F486" s="7" t="n">
        <v>0</v>
      </c>
      <c r="G486" s="7" t="inlineStr">
        <is>
          <t>A girl made this for a work party on time. Since work was shut down today, due to the storm surges from Irma, I decided to give it a go. Followed the recipe exactly and it came out just like the one at the party. The only thing I will do different next time is probably use more cookies to make more of a crust. Either that, or just have a box graham crackers on hand to make more of a dip.</t>
        </is>
      </c>
    </row>
    <row r="487">
      <c r="A487" s="7" t="n">
        <v>28616</v>
      </c>
      <c r="B487" s="7" t="n">
        <v>541484</v>
      </c>
      <c r="C487" s="7" t="n">
        <v>85714</v>
      </c>
      <c r="D487" s="7" t="n">
        <v>16575</v>
      </c>
      <c r="E487" s="8" t="n">
        <v>38929</v>
      </c>
      <c r="F487" s="7" t="n">
        <v>5</v>
      </c>
      <c r="G487" s="7" t="inlineStr">
        <is>
          <t>Thought I'd review this again as I've made it too many times to count!  I often have a bottle of this stored in the fridge now, it's practically a staple.  I like it with a little extra ginger and garlic for a more kicky bbq sauce.  It's perfect on everything!  Porkchops, chicken, ribs...it's alllll good baby.</t>
        </is>
      </c>
    </row>
    <row r="488">
      <c r="A488" s="7" t="n">
        <v>55541</v>
      </c>
      <c r="B488" s="7" t="n">
        <v>295410</v>
      </c>
      <c r="C488" s="7" t="n">
        <v>57222</v>
      </c>
      <c r="D488" s="7" t="n">
        <v>239487</v>
      </c>
      <c r="E488" s="8" t="n">
        <v>39670</v>
      </c>
      <c r="F488" s="7" t="n">
        <v>4</v>
      </c>
      <c r="G488" s="7" t="inlineStr">
        <is>
          <t>Easy, tasty and light! The sour cream and brown sugar make such a lovely sauce - I'm sure it would go well with lots of other fruit too! Thanks for sharing!</t>
        </is>
      </c>
    </row>
    <row r="489" ht="409.5" customHeight="1">
      <c r="A489" s="7" t="n">
        <v>73587</v>
      </c>
      <c r="B489" s="7" t="n">
        <v>712788</v>
      </c>
      <c r="C489" s="7" t="n">
        <v>351536</v>
      </c>
      <c r="D489" s="7" t="n">
        <v>51209</v>
      </c>
      <c r="E489" s="8" t="n">
        <v>39312</v>
      </c>
      <c r="F489" s="7" t="n">
        <v>5</v>
      </c>
      <c r="G489" s="9" t="inlineStr">
        <is>
          <t>As some one like myself who used to work at pizza hut, I must say that this recipe is probably the closest thing to  the real thing, that i've ever tasted!!  _x000D_
I love it , thank you for puting this recipe on here! I've always wanted to know where to find their dough recipe and now I have!  _x000D_
Again, thank you!!</t>
        </is>
      </c>
    </row>
    <row r="490">
      <c r="A490" s="7" t="n">
        <v>760</v>
      </c>
      <c r="B490" s="7" t="n">
        <v>1098535</v>
      </c>
      <c r="C490" s="7" t="n">
        <v>365429</v>
      </c>
      <c r="D490" s="7" t="n">
        <v>53520</v>
      </c>
      <c r="E490" s="8" t="n">
        <v>39462</v>
      </c>
      <c r="F490" s="7" t="n">
        <v>5</v>
      </c>
      <c r="G490" s="7" t="inlineStr">
        <is>
          <t>Mine always turns out a different color than the picture - more brown. But it is truly delicious with either shallots or onions, and even in a pinch I just used garlic &amp; it was great.</t>
        </is>
      </c>
    </row>
    <row r="491">
      <c r="A491" s="7" t="n">
        <v>29674</v>
      </c>
      <c r="B491" s="7" t="n">
        <v>738221</v>
      </c>
      <c r="C491" s="7" t="n">
        <v>795833</v>
      </c>
      <c r="D491" s="7" t="n">
        <v>339569</v>
      </c>
      <c r="E491" s="8" t="n">
        <v>39780</v>
      </c>
      <c r="F491" s="7" t="n">
        <v>3</v>
      </c>
      <c r="G491" s="7" t="inlineStr">
        <is>
          <t>This is a good recipe.  My family enjoyed it.  I added a few seasonings to the meat for a little more flavor.</t>
        </is>
      </c>
    </row>
    <row r="492">
      <c r="A492" s="7" t="n">
        <v>60201</v>
      </c>
      <c r="B492" s="7" t="n">
        <v>656253</v>
      </c>
      <c r="C492" s="7" t="n">
        <v>10320</v>
      </c>
      <c r="D492" s="7" t="n">
        <v>27208</v>
      </c>
      <c r="E492" s="8" t="n">
        <v>38184</v>
      </c>
      <c r="F492" s="7" t="n">
        <v>5</v>
      </c>
      <c r="G492" s="7" t="inlineStr">
        <is>
          <t xml:space="preserve">This recipe was excellent. After reading the reviews I decided to try it first as is. I used .7 oz of italian mix (found in the packs of five) and .75 oz of brown gray mix. .4 oz of ranch dressing and 1 cup of water. My roast was 2 lbs. I was very careful not to lift the lid as with any crockpot recipe becuase the moisture escapes. The roast was perfect as a result. Hope that helps. Also, I did use the seasoning as a rub first. </t>
        </is>
      </c>
    </row>
    <row r="493">
      <c r="A493" t="n">
        <v>26369</v>
      </c>
      <c r="B493" t="n">
        <v>155397</v>
      </c>
      <c r="C493" t="n">
        <v>37449</v>
      </c>
      <c r="D493" t="n">
        <v>377604</v>
      </c>
      <c r="E493" s="1" t="n">
        <v>39989</v>
      </c>
      <c r="F493" t="n">
        <v>5</v>
      </c>
      <c r="G493" t="inlineStr">
        <is>
          <t>This was really good! I used it on a veggie hot dog! :) Made for New Kids on the Block game.</t>
        </is>
      </c>
    </row>
    <row r="494">
      <c r="A494" s="7" t="n">
        <v>76184</v>
      </c>
      <c r="B494" s="7" t="n">
        <v>581111</v>
      </c>
      <c r="C494" s="7" t="n">
        <v>1582524</v>
      </c>
      <c r="D494" s="7" t="n">
        <v>413443</v>
      </c>
      <c r="E494" s="8" t="n">
        <v>40259</v>
      </c>
      <c r="F494" s="7" t="n">
        <v>5</v>
      </c>
      <c r="G494" s="7" t="inlineStr">
        <is>
          <t>My toddler can't get enough of this one.  We made it with pork and added carrots.</t>
        </is>
      </c>
    </row>
    <row r="495">
      <c r="A495" s="7" t="n">
        <v>64521</v>
      </c>
      <c r="B495" s="7" t="n">
        <v>865509</v>
      </c>
      <c r="C495" s="7" t="n">
        <v>17803</v>
      </c>
      <c r="D495" s="7" t="n">
        <v>424382</v>
      </c>
      <c r="E495" s="8" t="n">
        <v>41507</v>
      </c>
      <c r="F495" s="7" t="n">
        <v>5</v>
      </c>
      <c r="G495" s="7" t="inlineStr">
        <is>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is>
      </c>
    </row>
    <row r="496">
      <c r="A496" s="7" t="n">
        <v>48987</v>
      </c>
      <c r="B496" s="7" t="n">
        <v>349848</v>
      </c>
      <c r="C496" s="7" t="n">
        <v>449929</v>
      </c>
      <c r="D496" s="7" t="n">
        <v>307905</v>
      </c>
      <c r="E496" s="8" t="n">
        <v>40016</v>
      </c>
      <c r="F496" s="7" t="n">
        <v>5</v>
      </c>
      <c r="G496" s="7" t="inlineStr">
        <is>
          <t>This was terrific!  Very refreshing and really easy to make.</t>
        </is>
      </c>
    </row>
    <row r="497">
      <c r="A497" s="7" t="n">
        <v>30854</v>
      </c>
      <c r="B497" s="7" t="n">
        <v>815810</v>
      </c>
      <c r="C497" s="7" t="n">
        <v>199020</v>
      </c>
      <c r="D497" s="7" t="n">
        <v>149734</v>
      </c>
      <c r="E497" s="8" t="n">
        <v>39230</v>
      </c>
      <c r="F497" s="7" t="n">
        <v>5</v>
      </c>
      <c r="G497" s="7" t="inlineStr">
        <is>
          <t>These were delish! And so easy!  I used dark chocolate fudge cake mix instead of german chocolate just because I like it better.  I bet the coconut/sweetened condensed milk/nut/chocolate chip topping would be great on brownies!  Thanks for the recipe.  I am sure I will make this again.</t>
        </is>
      </c>
    </row>
    <row r="498">
      <c r="A498" s="7" t="n">
        <v>25192</v>
      </c>
      <c r="B498" s="7" t="n">
        <v>1015784</v>
      </c>
      <c r="C498" s="7" t="n">
        <v>131126</v>
      </c>
      <c r="D498" s="7" t="n">
        <v>92022</v>
      </c>
      <c r="E498" s="8" t="n">
        <v>38196</v>
      </c>
      <c r="F498" s="7" t="n">
        <v>4</v>
      </c>
      <c r="G498" s="7" t="inlineStr">
        <is>
          <t>These are really tasty!! I added italian seasoning and followed the recipe otherwise. A+</t>
        </is>
      </c>
    </row>
    <row r="499">
      <c r="A499" s="7" t="n">
        <v>6385</v>
      </c>
      <c r="B499" s="7" t="n">
        <v>591257</v>
      </c>
      <c r="C499" s="7" t="n">
        <v>136761</v>
      </c>
      <c r="D499" s="7" t="n">
        <v>71161</v>
      </c>
      <c r="E499" s="8" t="n">
        <v>39903</v>
      </c>
      <c r="F499" s="7" t="n">
        <v>5</v>
      </c>
      <c r="G499" s="7" t="inlineStr">
        <is>
          <t>Best lemon bars I've ever tasted, just melted in my mouth.  Like the others, I used butter flavored Crisco shortening along with the butter, added an extra tablespoon of flour and 7 tablespoons of lemon juice and added 2 teaspoons lemon zest.    Would give this 10 stars if I could.......Thank you!</t>
        </is>
      </c>
    </row>
    <row r="500">
      <c r="A500" s="7" t="n">
        <v>88850</v>
      </c>
      <c r="B500" s="7" t="n">
        <v>1130020</v>
      </c>
      <c r="C500" s="7" t="n">
        <v>98812</v>
      </c>
      <c r="D500" s="7" t="n">
        <v>137575</v>
      </c>
      <c r="E500" s="8" t="n">
        <v>38993</v>
      </c>
      <c r="F500" s="7" t="n">
        <v>5</v>
      </c>
      <c r="G500" s="7" t="inlineStr">
        <is>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is>
      </c>
    </row>
    <row r="501">
      <c r="A501" s="7" t="n">
        <v>56626</v>
      </c>
      <c r="B501" s="7" t="n">
        <v>895489</v>
      </c>
      <c r="C501" s="7" t="n">
        <v>618715</v>
      </c>
      <c r="D501" s="7" t="n">
        <v>146709</v>
      </c>
      <c r="E501" s="8" t="n">
        <v>39954</v>
      </c>
      <c r="F501" s="7" t="n">
        <v>5</v>
      </c>
      <c r="G501" s="7" t="inlineStr">
        <is>
          <t>Fantastic! Very easy and the flavor was perfect. Made for the Epicurean Queens ZWT5: Australia/New Zealand.</t>
        </is>
      </c>
    </row>
    <row r="502">
      <c r="A502" s="7" t="n">
        <v>82118</v>
      </c>
      <c r="B502" s="7" t="n">
        <v>658701</v>
      </c>
      <c r="C502" s="7" t="n">
        <v>164669</v>
      </c>
      <c r="D502" s="7" t="n">
        <v>64533</v>
      </c>
      <c r="E502" s="8" t="n">
        <v>38347</v>
      </c>
      <c r="F502" s="7" t="n">
        <v>2</v>
      </c>
      <c r="G502" s="7" t="inlineStr">
        <is>
          <t>This recipe was a huge disappointment after reading all the rave reviews.  It looked gorgeous - white and frothy - but tasted like vanilla flavoured watery-milk.</t>
        </is>
      </c>
    </row>
    <row r="503">
      <c r="A503" s="7" t="n">
        <v>65753</v>
      </c>
      <c r="B503" s="7" t="n">
        <v>248012</v>
      </c>
      <c r="C503" s="7" t="n">
        <v>2102425</v>
      </c>
      <c r="D503" s="7" t="n">
        <v>215414</v>
      </c>
      <c r="E503" s="8" t="n">
        <v>40898</v>
      </c>
      <c r="F503" s="7" t="n">
        <v>4</v>
      </c>
      <c r="G503" s="7" t="inlineStr">
        <is>
          <t>Very nice way to combine scalloped potatoes and ground beef.  The dish is creamy and very hearty on a cold evening.  The only changes I made while putting this together were to add a little extra pepper and I was without garlic powder so a little extra clove of garlic to make up for it.  My partner and I loooooved it!!</t>
        </is>
      </c>
    </row>
    <row r="504">
      <c r="A504" t="n">
        <v>37795</v>
      </c>
      <c r="B504" t="n">
        <v>549016</v>
      </c>
      <c r="C504" t="n">
        <v>160977</v>
      </c>
      <c r="D504" t="n">
        <v>384237</v>
      </c>
      <c r="E504" s="1" t="n">
        <v>40047</v>
      </c>
      <c r="F504" t="n">
        <v>4</v>
      </c>
      <c r="G504" t="inlineStr">
        <is>
          <t>Fast and easy. The only "change" I made was to use more garlic than stated (two large cloves).  We enjoyed it with a green salad and definitely did not miss any kind of meat. A pity the fat content is so high, that is the only drawback. Made for RSC# 14. Thanks for creating and posting.</t>
        </is>
      </c>
    </row>
    <row r="505">
      <c r="A505" s="7" t="n">
        <v>44522</v>
      </c>
      <c r="B505" s="7" t="n">
        <v>299009</v>
      </c>
      <c r="C505" s="7" t="n">
        <v>68075</v>
      </c>
      <c r="D505" s="7" t="n">
        <v>75758</v>
      </c>
      <c r="E505" s="8" t="n">
        <v>37948</v>
      </c>
      <c r="F505" s="7" t="n">
        <v>5</v>
      </c>
      <c r="G505" s="7" t="inlineStr">
        <is>
          <t>I've tried other recipes for Enchilada's and they were awful.  This one was GREAT!  I used ground beef and flour tortilla's, and it was wonderful.  The green enchilada sauce is so flavorful and worked great.  I'll DEFINITELY make these again...and again!</t>
        </is>
      </c>
    </row>
    <row r="506">
      <c r="A506" s="7" t="n">
        <v>42745</v>
      </c>
      <c r="B506" s="7" t="n">
        <v>511455</v>
      </c>
      <c r="C506" s="7" t="n">
        <v>482376</v>
      </c>
      <c r="D506" s="7" t="n">
        <v>44240</v>
      </c>
      <c r="E506" s="8" t="n">
        <v>39458</v>
      </c>
      <c r="F506" s="7" t="n">
        <v>5</v>
      </c>
      <c r="G506" s="7" t="inlineStr">
        <is>
          <t>JUST like the restaurant, is right! These were very yummy and really very simple to make. Nice recipe for an appetizer or as a prelude to a Chinese meal. Thank you!</t>
        </is>
      </c>
    </row>
    <row r="507">
      <c r="A507" s="7" t="n">
        <v>88349</v>
      </c>
      <c r="B507" s="7" t="n">
        <v>150821</v>
      </c>
      <c r="C507" s="7" t="n">
        <v>231053</v>
      </c>
      <c r="D507" s="7" t="n">
        <v>98446</v>
      </c>
      <c r="E507" s="8" t="n">
        <v>38561</v>
      </c>
      <c r="F507" s="7" t="n">
        <v>4</v>
      </c>
      <c r="G507" s="7" t="inlineStr">
        <is>
          <t xml:space="preserve">Very easy.  This was the first peach pie I ever made. I thought that I was not going to have enough filling, but it turned out great.  The only thing I might do different is not add so much ginger -it added a very strong flavor.  It was wonderful served warm with vanilla icecream.  </t>
        </is>
      </c>
    </row>
    <row r="508">
      <c r="A508" s="7" t="n">
        <v>74123</v>
      </c>
      <c r="B508" s="7" t="n">
        <v>966175</v>
      </c>
      <c r="C508" s="7" t="n">
        <v>1095042</v>
      </c>
      <c r="D508" s="7" t="n">
        <v>82770</v>
      </c>
      <c r="E508" s="8" t="n">
        <v>40008</v>
      </c>
      <c r="F508" s="7" t="n">
        <v>5</v>
      </c>
      <c r="G508" s="7" t="inlineStr">
        <is>
          <t>Terrific blend! Right on the mark and so much better than store bought..this is a keeper =)</t>
        </is>
      </c>
    </row>
    <row r="509">
      <c r="A509" s="7" t="n">
        <v>88158</v>
      </c>
      <c r="B509" s="7" t="n">
        <v>498988</v>
      </c>
      <c r="C509" s="7" t="n">
        <v>29196</v>
      </c>
      <c r="D509" s="7" t="n">
        <v>21880</v>
      </c>
      <c r="E509" s="8" t="n">
        <v>37328</v>
      </c>
      <c r="F509" s="7" t="n">
        <v>4</v>
      </c>
      <c r="G509" s="7" t="inlineStr">
        <is>
          <t>This was such a quick meal to prepare, quicker than going out to buy take-aways! It was a good family meal that I plan to make again. I added 2 crushed garlic cloves with the onion, substituted 1/2 cup of wine for broth and threw in 1/4 cup of olives that needed to be used.</t>
        </is>
      </c>
    </row>
    <row r="510">
      <c r="A510" s="7" t="n">
        <v>42688</v>
      </c>
      <c r="B510" s="7" t="n">
        <v>176723</v>
      </c>
      <c r="C510" s="7" t="n">
        <v>199198</v>
      </c>
      <c r="D510" s="7" t="n">
        <v>94609</v>
      </c>
      <c r="E510" s="8" t="n">
        <v>39587</v>
      </c>
      <c r="F510" s="7" t="n">
        <v>5</v>
      </c>
      <c r="G510" s="7" t="inlineStr">
        <is>
          <t>These are wonderful, fudgey cupcakes! I made these for my grandson's 4th birthday party. I frosted with a buttercream frosting and sprinkles. They were gobbled up! Thanks!</t>
        </is>
      </c>
    </row>
    <row r="511">
      <c r="A511" s="7" t="n">
        <v>102332</v>
      </c>
      <c r="B511" s="7" t="n">
        <v>913257</v>
      </c>
      <c r="C511" s="7" t="n">
        <v>128473</v>
      </c>
      <c r="D511" s="7" t="n">
        <v>246922</v>
      </c>
      <c r="E511" s="8" t="n">
        <v>40890</v>
      </c>
      <c r="F511" s="7" t="n">
        <v>5</v>
      </c>
      <c r="G511" s="7" t="inlineStr">
        <is>
          <t>Delcious, delicious, delicious, made exactly as written.  I substituted green onions for the chives.  What a lovely breakfast, I went with the bacon version and used a nice apple smoked bacon, it worked beautifully in this treat.  Really enjoyed the herbes de provence in this dish. Thanks for sharing JoyfulCook.</t>
        </is>
      </c>
    </row>
    <row r="512">
      <c r="A512" s="7" t="n">
        <v>36798</v>
      </c>
      <c r="B512" s="7" t="n">
        <v>390938</v>
      </c>
      <c r="C512" s="7" t="n">
        <v>337399</v>
      </c>
      <c r="D512" s="7" t="n">
        <v>176376</v>
      </c>
      <c r="E512" s="8" t="n">
        <v>40355</v>
      </c>
      <c r="F512" s="7" t="n">
        <v>5</v>
      </c>
      <c r="G512" s="7" t="inlineStr">
        <is>
          <t>My Mom is Filipina and makes her lumpia very similar!  I tried these yesterday and it was sooooooo good!   Probably the closest to moms!  Definitly a keeper here!  Oh, and half of the batch I tried shredded cabbage, super yum as well!  Thanks for sharing!!</t>
        </is>
      </c>
    </row>
    <row r="513">
      <c r="A513" s="7" t="n">
        <v>2573</v>
      </c>
      <c r="B513" s="7" t="n">
        <v>290767</v>
      </c>
      <c r="C513" s="7" t="n">
        <v>888035</v>
      </c>
      <c r="D513" s="7" t="n">
        <v>337545</v>
      </c>
      <c r="E513" s="8" t="n">
        <v>39790</v>
      </c>
      <c r="F513" s="7" t="n">
        <v>5</v>
      </c>
      <c r="G513" s="7" t="inlineStr">
        <is>
          <t>I first found out about Snickerdoodles from the Recipezaar Christmas cookie special so I looked for a recipe with ingredients I had on hand. These were so easy to make and absolutely delicious. Amazing how delicious considering they are so simple and don't contain chocolate.</t>
        </is>
      </c>
    </row>
    <row r="514">
      <c r="A514" s="7" t="n">
        <v>89395</v>
      </c>
      <c r="B514" s="7" t="n">
        <v>54803</v>
      </c>
      <c r="C514" s="7" t="n">
        <v>1503794</v>
      </c>
      <c r="D514" s="7" t="n">
        <v>52035</v>
      </c>
      <c r="E514" s="8" t="n">
        <v>40177</v>
      </c>
      <c r="F514" s="7" t="n">
        <v>5</v>
      </c>
      <c r="G514" s="7" t="inlineStr">
        <is>
          <t>My sister made these for Christmas, AMAZING!  Gone in less than an hour.</t>
        </is>
      </c>
    </row>
    <row r="515">
      <c r="A515" s="7" t="n">
        <v>115793</v>
      </c>
      <c r="B515" s="7" t="n">
        <v>812040</v>
      </c>
      <c r="C515" s="7" t="n">
        <v>204024</v>
      </c>
      <c r="D515" s="7" t="n">
        <v>468258</v>
      </c>
      <c r="E515" s="8" t="n">
        <v>41144</v>
      </c>
      <c r="F515" s="7" t="n">
        <v>5</v>
      </c>
      <c r="G515" s="7" t="inlineStr">
        <is>
          <t>Great wonderful dinner tonight.  We all loved this dish.  Made for ZWT8.</t>
        </is>
      </c>
    </row>
    <row r="516">
      <c r="A516" s="7" t="n">
        <v>36562</v>
      </c>
      <c r="B516" s="7" t="n">
        <v>689753</v>
      </c>
      <c r="C516" s="7" t="n">
        <v>2000909527</v>
      </c>
      <c r="D516" s="7" t="n">
        <v>170480</v>
      </c>
      <c r="E516" s="8" t="n">
        <v>42487</v>
      </c>
      <c r="F516" s="7" t="n">
        <v>5</v>
      </c>
      <c r="G516" s="7" t="inlineStr">
        <is>
          <t>All I can say is wow what flavor!! And now the grandkids as t these every cookout</t>
        </is>
      </c>
    </row>
    <row r="517">
      <c r="A517" t="n">
        <v>82426</v>
      </c>
      <c r="B517" t="n">
        <v>903754</v>
      </c>
      <c r="C517" t="n">
        <v>226863</v>
      </c>
      <c r="D517" t="n">
        <v>445091</v>
      </c>
      <c r="E517" s="1" t="n">
        <v>40621</v>
      </c>
      <c r="F517" t="n">
        <v>5</v>
      </c>
      <c r="G517" t="inlineStr">
        <is>
          <t>I was so tempted to do this the way mama smurf did, and roll them up, but decided to do it as the recipe specified.  It is delicious!  I did use a small tomato, so added 4 slices instead of 3 to the top.  This is just fabulous....thanks so much for sharing such a beautiful recipe!</t>
        </is>
      </c>
    </row>
    <row r="518">
      <c r="A518" s="7" t="n">
        <v>69483</v>
      </c>
      <c r="B518" s="7" t="n">
        <v>444284</v>
      </c>
      <c r="C518" s="7" t="n">
        <v>27643</v>
      </c>
      <c r="D518" s="7" t="n">
        <v>12033</v>
      </c>
      <c r="E518" s="8" t="n">
        <v>37503</v>
      </c>
      <c r="F518" s="7" t="n">
        <v>5</v>
      </c>
      <c r="G518" s="7" t="inlineStr">
        <is>
          <t>I kept this recipe on my refrigerator for months waiting to get the tomatoes from the garden. I made 14 quarts of this and will make more soon. It really is good! My husband said he liked it better that the store bought! The flavor is teriffic! Thanks Di!!</t>
        </is>
      </c>
    </row>
    <row r="519">
      <c r="A519" s="7" t="n">
        <v>48370</v>
      </c>
      <c r="B519" s="7" t="n">
        <v>900546</v>
      </c>
      <c r="C519" s="7" t="n">
        <v>2680030</v>
      </c>
      <c r="D519" s="7" t="n">
        <v>21745</v>
      </c>
      <c r="E519" s="8" t="n">
        <v>41311</v>
      </c>
      <c r="F519" s="7" t="n">
        <v>5</v>
      </c>
      <c r="G519" s="7" t="inlineStr">
        <is>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is>
      </c>
    </row>
    <row r="520">
      <c r="A520" s="7" t="n">
        <v>104285</v>
      </c>
      <c r="B520" s="7" t="n">
        <v>738696</v>
      </c>
      <c r="C520" s="7" t="n">
        <v>569632</v>
      </c>
      <c r="D520" s="7" t="n">
        <v>29365</v>
      </c>
      <c r="E520" s="8" t="n">
        <v>39746</v>
      </c>
      <c r="F520" s="7" t="n">
        <v>5</v>
      </c>
      <c r="G520" s="7" t="inlineStr">
        <is>
          <t>Soooo Good.  I actually only made it with penut butter, just because I read through the recipe really fast and didn't even see the jelly part! DUH. But my kids loved it!!! Next time I will add the jelly too!</t>
        </is>
      </c>
    </row>
    <row r="521">
      <c r="A521" s="7" t="n">
        <v>76543</v>
      </c>
      <c r="B521" s="7" t="n">
        <v>588664</v>
      </c>
      <c r="C521" s="7" t="n">
        <v>1244302</v>
      </c>
      <c r="D521" s="7" t="n">
        <v>263672</v>
      </c>
      <c r="E521" s="8" t="n">
        <v>39927</v>
      </c>
      <c r="F521" s="7" t="n">
        <v>5</v>
      </c>
      <c r="G521" s="7" t="inlineStr">
        <is>
          <t>My boyfriend thinks this is the best thing I've ever made off this site...first try at cooking eggplant too.  It was fantastic and had great juicy gravy.  The only two things are (1) that I will probably take the advice of another review and scoop out as much of the eggplant as possible next time as the part that makes it in the filling is great, but the stuff left attached to the skin gets a bit tough and rubbery and (2) the tomatoes had such a great flavor I'll probably put them throughout the filling next time instead of just on top.  Also, I only cooked for 50 minutes because the cheese was getting brown enough I wasn't sure 10 minutes more was a good idea.</t>
        </is>
      </c>
    </row>
    <row r="522">
      <c r="A522" s="7" t="n">
        <v>113339</v>
      </c>
      <c r="B522" s="7" t="n">
        <v>1059944</v>
      </c>
      <c r="C522" s="7" t="n">
        <v>1800039415</v>
      </c>
      <c r="D522" s="7" t="n">
        <v>132469</v>
      </c>
      <c r="E522" s="8" t="n">
        <v>41517</v>
      </c>
      <c r="F522" s="7" t="n">
        <v>5</v>
      </c>
      <c r="G522" s="7" t="inlineStr">
        <is>
          <t>This salsa recipe is DELISH!  I love it! I tweaked it just a bit, i added a healthy dose of cilantro because we love cilantro in our family.  Thank you so much for sharing your recipe, it is great.  I really cannot say enough good about it.</t>
        </is>
      </c>
    </row>
    <row r="523">
      <c r="A523" s="7" t="n">
        <v>16861</v>
      </c>
      <c r="B523" s="7" t="n">
        <v>958794</v>
      </c>
      <c r="C523" s="7" t="n">
        <v>58104</v>
      </c>
      <c r="D523" s="7" t="n">
        <v>427563</v>
      </c>
      <c r="E523" s="8" t="n">
        <v>40339</v>
      </c>
      <c r="F523" s="7" t="n">
        <v>5</v>
      </c>
      <c r="G523" s="7" t="inlineStr">
        <is>
          <t>I mixed the honey with the lemon to dissolve then added the water and orange blossom water. Do be sure to use just a touch. A little goes a long way! Made for ZWT 6 Thanks!</t>
        </is>
      </c>
    </row>
    <row r="524">
      <c r="A524" s="7" t="n">
        <v>80689</v>
      </c>
      <c r="B524" s="7" t="n">
        <v>468296</v>
      </c>
      <c r="C524" s="7" t="n">
        <v>344231</v>
      </c>
      <c r="D524" s="7" t="n">
        <v>138173</v>
      </c>
      <c r="E524" s="8" t="n">
        <v>39951</v>
      </c>
      <c r="F524" s="7" t="n">
        <v>5</v>
      </c>
      <c r="G524" s="7" t="inlineStr">
        <is>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is>
      </c>
    </row>
    <row r="525">
      <c r="A525" s="7" t="n">
        <v>26374</v>
      </c>
      <c r="B525" s="7" t="n">
        <v>483445</v>
      </c>
      <c r="C525" s="7" t="n">
        <v>41799</v>
      </c>
      <c r="D525" s="7" t="n">
        <v>37252</v>
      </c>
      <c r="E525" s="8" t="n">
        <v>38217</v>
      </c>
      <c r="F525" s="7" t="n">
        <v>5</v>
      </c>
      <c r="G525" s="7" t="inlineStr">
        <is>
          <t>Delicious! Yummy! Fantastic! I could go on and on.  Loved also the simplicity of putting this dessert together. Thanks Lorac for sharing this great recipe.</t>
        </is>
      </c>
    </row>
    <row r="526">
      <c r="A526" s="7" t="n">
        <v>86503</v>
      </c>
      <c r="B526" s="7" t="n">
        <v>189897</v>
      </c>
      <c r="C526" s="7" t="n">
        <v>67708</v>
      </c>
      <c r="D526" s="7" t="n">
        <v>17524</v>
      </c>
      <c r="E526" s="8" t="n">
        <v>37723</v>
      </c>
      <c r="F526" s="7" t="n">
        <v>1</v>
      </c>
      <c r="G526" s="7" t="inlineStr">
        <is>
          <t xml:space="preserve">Not to offend the creator of the recipe, but I agree that the meal was bland. I was disappointed since the name was "Best Casserole Ever". I followed the recipe to the letter, but  my wife and I just didn't care for it. </t>
        </is>
      </c>
    </row>
    <row r="527">
      <c r="A527" s="7" t="n">
        <v>115881</v>
      </c>
      <c r="B527" s="7" t="n">
        <v>337829</v>
      </c>
      <c r="C527" s="7" t="n">
        <v>88390</v>
      </c>
      <c r="D527" s="7" t="n">
        <v>61275</v>
      </c>
      <c r="E527" s="8" t="n">
        <v>38135</v>
      </c>
      <c r="F527" s="7" t="n">
        <v>5</v>
      </c>
      <c r="G527" s="7" t="inlineStr">
        <is>
          <t xml:space="preserve">Just made this for dinner and it was wonderful. Used pollock 'coz i didn't have any cod. I will try tilapia or cod next time. Oh and i only had Keebler Club crackers they worked fine. I definitely will be making this again. :) </t>
        </is>
      </c>
    </row>
    <row r="528">
      <c r="A528" s="7" t="n">
        <v>13524</v>
      </c>
      <c r="B528" s="7" t="n">
        <v>595513</v>
      </c>
      <c r="C528" s="7" t="n">
        <v>884411</v>
      </c>
      <c r="D528" s="7" t="n">
        <v>45502</v>
      </c>
      <c r="E528" s="8" t="n">
        <v>39750</v>
      </c>
      <c r="F528" s="7" t="n">
        <v>4</v>
      </c>
      <c r="G528" s="7" t="inlineStr">
        <is>
          <t>The flavor of the sauce was good.  The directions were difficult for me to follow.  I fried white potatoes in oil with onion, then added peppers and meat, when potatoes were done I added broth, sauce and broccoli for 3 minutes.  Turned out good.</t>
        </is>
      </c>
    </row>
    <row r="529">
      <c r="A529" s="7" t="n">
        <v>39814</v>
      </c>
      <c r="B529" s="7" t="n">
        <v>53381</v>
      </c>
      <c r="C529" s="7" t="n">
        <v>527607</v>
      </c>
      <c r="D529" s="7" t="n">
        <v>196336</v>
      </c>
      <c r="E529" s="8" t="n">
        <v>40935</v>
      </c>
      <c r="F529" s="7" t="n">
        <v>5</v>
      </c>
      <c r="G529" s="7" t="inlineStr">
        <is>
          <t>What a delicious dish for a diabetic.  Thank you so much Annacia, made a lovely lunch.</t>
        </is>
      </c>
    </row>
    <row r="530">
      <c r="A530" s="7" t="n">
        <v>106433</v>
      </c>
      <c r="B530" s="7" t="n">
        <v>287666</v>
      </c>
      <c r="C530" s="7" t="n">
        <v>428885</v>
      </c>
      <c r="D530" s="7" t="n">
        <v>343767</v>
      </c>
      <c r="E530" s="8" t="n">
        <v>39810</v>
      </c>
      <c r="F530" s="7" t="n">
        <v>5</v>
      </c>
      <c r="G530" s="7" t="inlineStr">
        <is>
          <t>A very simple salad dish that was just yummy! Instead of grape tomatoes, I used a larger tomato cut into quarters. I tossed in a wooden salad bowl, added the cheese, basil (used 2 larger basil leaves) and added oil and vinegar. I used garlic powder - just a dash. Next time I can see adding some thinly sliced onions. Thanks Lainey! Made for *New Kids on the Block*</t>
        </is>
      </c>
    </row>
    <row r="531">
      <c r="A531" s="7" t="n">
        <v>80348</v>
      </c>
      <c r="B531" s="7" t="n">
        <v>828641</v>
      </c>
      <c r="C531" s="7" t="n">
        <v>614471</v>
      </c>
      <c r="D531" s="7" t="n">
        <v>81008</v>
      </c>
      <c r="E531" s="8" t="n">
        <v>40170</v>
      </c>
      <c r="F531" s="7" t="n">
        <v>3</v>
      </c>
      <c r="G531" s="7" t="inlineStr">
        <is>
          <t>These cookies were best when they were fresh out of the oven and the chocolate in the middle was melted.  We did not enjoy them as much the next day when they were on the holiday cookie tray.  My cookies were really crumbly and didn't hold their round shape very well.  Thank you for sharing the recipe.  I enjoyed trying something new on my Christmas cookie tray this year!</t>
        </is>
      </c>
    </row>
    <row r="532">
      <c r="A532" s="7" t="n">
        <v>88906</v>
      </c>
      <c r="B532" s="7" t="n">
        <v>770541</v>
      </c>
      <c r="C532" s="7" t="n">
        <v>1141523</v>
      </c>
      <c r="D532" s="7" t="n">
        <v>141047</v>
      </c>
      <c r="E532" s="8" t="n">
        <v>40256</v>
      </c>
      <c r="F532" s="7" t="n">
        <v>5</v>
      </c>
      <c r="G532" s="7" t="inlineStr">
        <is>
          <t>DELICIOUS!  For those who are looking for a truly delicious and healthy muffin, this is it.  It is not very sweet, but just enough to bring out the blueberry flavor.  I made a few changes.  I used 3/4 cup wheat germ and 3/4 cup rolled oats in place of the 1 1/2 cups cereal.  Also, instead of using only white flour I used 3/4 cup whole wheat and 3/4 cup white.  Also, I used melted butter instead of veggie oil and I never use baking powder so I just put in 1 1/2 teaspoons baking soda and skipped the powder.  And last of all, I used real buttermilk instead of making a substitute w/ vinegar.  Cooking time was right on target.  Will make again!!!!</t>
        </is>
      </c>
    </row>
    <row r="533">
      <c r="A533" s="7" t="n">
        <v>5763</v>
      </c>
      <c r="B533" s="7" t="n">
        <v>1074997</v>
      </c>
      <c r="C533" s="7" t="n">
        <v>163112</v>
      </c>
      <c r="D533" s="7" t="n">
        <v>173580</v>
      </c>
      <c r="E533" s="8" t="n">
        <v>39607</v>
      </c>
      <c r="F533" s="7" t="n">
        <v>4</v>
      </c>
      <c r="G533" s="7" t="inlineStr">
        <is>
          <t>Wonderful salad &amp; fabulous dressing!  BUT, I would use more bacon!  The dressing, in our opinion was wayyyy too sweet and a bit too thick.  I used about 1/2c vinegar &amp; we loved it!  Thanks, Sue!  Made for My 3 Chefs 6/08.</t>
        </is>
      </c>
    </row>
    <row r="534">
      <c r="A534" s="7" t="n">
        <v>125638</v>
      </c>
      <c r="B534" s="7" t="n">
        <v>1085957</v>
      </c>
      <c r="C534" s="7" t="n">
        <v>29063</v>
      </c>
      <c r="D534" s="7" t="n">
        <v>95569</v>
      </c>
      <c r="E534" s="8" t="n">
        <v>38316</v>
      </c>
      <c r="F534" s="7" t="n">
        <v>5</v>
      </c>
      <c r="G534" s="7" t="inlineStr">
        <is>
          <t>What a simple but delicious dinner! I didn't change a thing except I cooked it on high for 3 hours and still came out wonderful. It got rave reviews from my family and when I told them the how-to they were taking notes. Thanks!</t>
        </is>
      </c>
    </row>
    <row r="535">
      <c r="A535" s="7" t="n">
        <v>120714</v>
      </c>
      <c r="B535" s="7" t="n">
        <v>363768</v>
      </c>
      <c r="C535" s="7" t="n">
        <v>209441</v>
      </c>
      <c r="D535" s="7" t="n">
        <v>331376</v>
      </c>
      <c r="E535" s="8" t="n">
        <v>39780</v>
      </c>
      <c r="F535" s="7" t="n">
        <v>5</v>
      </c>
      <c r="G535" s="7" t="inlineStr">
        <is>
          <t>DEEEEEEEELICIOUS chicken!!!!!!! Kitten this is such a great recipe the chicken was so good tender inside and crispy wonderful on the outside, this coating is fabulous, I am making it again very soon, thank you Kitten your recipe are the best!</t>
        </is>
      </c>
    </row>
    <row r="536">
      <c r="A536" s="7" t="n">
        <v>100459</v>
      </c>
      <c r="B536" s="7" t="n">
        <v>850166</v>
      </c>
      <c r="C536" s="7" t="n">
        <v>1437570</v>
      </c>
      <c r="D536" s="7" t="n">
        <v>436638</v>
      </c>
      <c r="E536" s="8" t="n">
        <v>40634</v>
      </c>
      <c r="F536" s="7" t="n">
        <v>3</v>
      </c>
      <c r="G536" s="7" t="inlineStr">
        <is>
          <t>I loved the concept of the recipe, who could not!! However after making for DH and myself it was just too much hot sauce. I may make again and add cream cheese to the 1st batch of hot sauce which is spread on the crust to give more of a creamy flavor not just hot sauce and chicken.</t>
        </is>
      </c>
    </row>
    <row r="537" ht="409.5" customHeight="1">
      <c r="A537" t="n">
        <v>126502</v>
      </c>
      <c r="B537" t="n">
        <v>434710</v>
      </c>
      <c r="C537" t="n">
        <v>52607</v>
      </c>
      <c r="D537" t="n">
        <v>34335</v>
      </c>
      <c r="E537" s="1" t="n">
        <v>37680</v>
      </c>
      <c r="F537" t="n">
        <v>5</v>
      </c>
      <c r="G537" s="2" t="inlineStr">
        <is>
          <t xml:space="preserve">The meat did come out yummy and juicy.I omitted the rosemary,but used all the other ingredients._x000D_
I am going to fix this Pork Tenderloin again,and use my Showtime Rotisserie._x000D_
Thanks for sharing your recipe,it will be used many times :0) </t>
        </is>
      </c>
    </row>
    <row r="538">
      <c r="A538" s="7" t="n">
        <v>89164</v>
      </c>
      <c r="B538" s="7" t="n">
        <v>861437</v>
      </c>
      <c r="C538" s="7" t="n">
        <v>2426491</v>
      </c>
      <c r="D538" s="7" t="n">
        <v>6442</v>
      </c>
      <c r="E538" s="8" t="n">
        <v>41987</v>
      </c>
      <c r="F538" s="7" t="n">
        <v>5</v>
      </c>
      <c r="G538" s="7" t="inlineStr">
        <is>
          <t>Delicious - will put this into regular rotation!</t>
        </is>
      </c>
    </row>
    <row r="539">
      <c r="A539" s="7" t="n">
        <v>66422</v>
      </c>
      <c r="B539" s="7" t="n">
        <v>112925</v>
      </c>
      <c r="C539" s="7" t="n">
        <v>2810048</v>
      </c>
      <c r="D539" s="7" t="n">
        <v>305784</v>
      </c>
      <c r="E539" s="8" t="n">
        <v>41396</v>
      </c>
      <c r="F539" s="7" t="n">
        <v>4</v>
      </c>
      <c r="G539" s="7" t="inlineStr">
        <is>
          <t>I made this recipe (you can see my photo on the front page). It was absolutely delicious. I did have to add quite a bit more milk to get it to the right consistency, but otherwise it was spot on. You can see how I made it (through photographs) at http://soprettyisasprettydoes.com/2013/05/02/banana-walnut-pancakes/</t>
        </is>
      </c>
    </row>
    <row r="540">
      <c r="A540" s="7" t="n">
        <v>11195</v>
      </c>
      <c r="B540" s="7" t="n">
        <v>44502</v>
      </c>
      <c r="C540" s="7" t="n">
        <v>226066</v>
      </c>
      <c r="D540" s="7" t="n">
        <v>64632</v>
      </c>
      <c r="E540" s="8" t="n">
        <v>39152</v>
      </c>
      <c r="F540" s="7" t="n">
        <v>5</v>
      </c>
      <c r="G540" s="7" t="inlineStr">
        <is>
          <t>Delicious and easy muffins!!  Added chocolate chips... for color!!  Nice tall moist muffins with a crunchy exterior.  Put them in a 375F oven for 20 minutes.  thanks Charlotte!!</t>
        </is>
      </c>
    </row>
    <row r="541">
      <c r="A541" s="7" t="n">
        <v>19688</v>
      </c>
      <c r="B541" s="7" t="n">
        <v>679028</v>
      </c>
      <c r="C541" s="7" t="n">
        <v>60260</v>
      </c>
      <c r="D541" s="7" t="n">
        <v>87713</v>
      </c>
      <c r="E541" s="8" t="n">
        <v>40141</v>
      </c>
      <c r="F541" s="7" t="n">
        <v>5</v>
      </c>
      <c r="G541" s="7" t="inlineStr">
        <is>
          <t>Great sauce!  I tried this recipe because it used staple items and didn't need evaporated milk like a lot of others do.  Like the taste and not super sweet.  Will make again!</t>
        </is>
      </c>
    </row>
    <row r="542">
      <c r="A542" s="7" t="n">
        <v>73526</v>
      </c>
      <c r="B542" s="7" t="n">
        <v>120802</v>
      </c>
      <c r="C542" s="7" t="n">
        <v>163112</v>
      </c>
      <c r="D542" s="7" t="n">
        <v>290159</v>
      </c>
      <c r="E542" s="8" t="n">
        <v>40205</v>
      </c>
      <c r="F542" s="7" t="n">
        <v>5</v>
      </c>
      <c r="G542" s="7" t="inlineStr">
        <is>
          <t>Well, no pomegranate powder here nor dried limes so like 2Bleu, I added some lime zest. This is a delicious, well balanced spice mix.  I sprinkled it over chicken &amp; pan fried in cast iron.  YUM!  Thank you, FT &amp; congratulations on being the VIP of the Veggie Swap 1/10!!!</t>
        </is>
      </c>
    </row>
    <row r="543">
      <c r="A543" s="7" t="n">
        <v>55614</v>
      </c>
      <c r="B543" s="7" t="n">
        <v>66958</v>
      </c>
      <c r="C543" s="7" t="n">
        <v>397769</v>
      </c>
      <c r="D543" s="7" t="n">
        <v>104703</v>
      </c>
      <c r="E543" s="8" t="n">
        <v>39536</v>
      </c>
      <c r="F543" s="7" t="n">
        <v>2</v>
      </c>
      <c r="G543" s="7" t="inlineStr">
        <is>
          <t>I didn't have much luck with these.  They weren't as flavorful as I had hoped they would be.  I probably won't be making these again.</t>
        </is>
      </c>
    </row>
    <row r="544">
      <c r="A544" s="7" t="n">
        <v>113198</v>
      </c>
      <c r="B544" s="7" t="n">
        <v>510137</v>
      </c>
      <c r="C544" s="7" t="n">
        <v>222139</v>
      </c>
      <c r="D544" s="7" t="n">
        <v>89207</v>
      </c>
      <c r="E544" s="8" t="n">
        <v>39714</v>
      </c>
      <c r="F544" s="7" t="n">
        <v>5</v>
      </c>
      <c r="G544" s="7" t="inlineStr">
        <is>
          <t>My DH chose to make this recipe for kittencal Recipe #116989.  For him he thought this was so easy to make and also so much better than can.  Does not get any better than that!</t>
        </is>
      </c>
    </row>
    <row r="545">
      <c r="A545" s="7" t="n">
        <v>21456</v>
      </c>
      <c r="B545" s="7" t="n">
        <v>567616</v>
      </c>
      <c r="C545" s="7" t="n">
        <v>590909</v>
      </c>
      <c r="D545" s="7" t="n">
        <v>100117</v>
      </c>
      <c r="E545" s="8" t="n">
        <v>40148</v>
      </c>
      <c r="F545" s="7" t="n">
        <v>0</v>
      </c>
      <c r="G545" s="7" t="inlineStr">
        <is>
          <t>I made this sauce simmered it a little while....added my cleaned shrimp and simmered a bit more....cooked pasta stirred it all together and served it with toasted bread. My family LOVED it!!!!</t>
        </is>
      </c>
    </row>
    <row r="546">
      <c r="A546" s="7" t="n">
        <v>63341</v>
      </c>
      <c r="B546" s="7" t="n">
        <v>322772</v>
      </c>
      <c r="C546" s="7" t="n">
        <v>655199</v>
      </c>
      <c r="D546" s="7" t="n">
        <v>268289</v>
      </c>
      <c r="E546" s="8" t="n">
        <v>41801</v>
      </c>
      <c r="F546" s="7" t="n">
        <v>5</v>
      </c>
      <c r="G546" s="7" t="inlineStr">
        <is>
          <t>Made this for supper tonight &amp;amp; was NOT disappointed. This is true comfort food. Didn&amp;#039;t have any crackers, so used cracker meal instead...also added some Gravy Master to the gravy. Will most definitely be making this again...THANKS for sharing!!! :P</t>
        </is>
      </c>
    </row>
    <row r="547" ht="409.5" customHeight="1">
      <c r="A547" s="7" t="n">
        <v>11521</v>
      </c>
      <c r="B547" s="7" t="n">
        <v>964702</v>
      </c>
      <c r="C547" s="7" t="n">
        <v>160974</v>
      </c>
      <c r="D547" s="7" t="n">
        <v>113164</v>
      </c>
      <c r="E547" s="8" t="n">
        <v>38424</v>
      </c>
      <c r="F547" s="7" t="n">
        <v>5</v>
      </c>
      <c r="G547" s="9" t="inlineStr">
        <is>
          <t>This is such a fabulous potato salad. I've made it several times over the years. I love the flavor combination of the  grated carrot, fresh dill, and caraway seed. I use the red potatoes as recommended, since they hold their texture nicely. I'm so glad you posted the recipe, Rochsann!_x000D_
_x000D_
Roxygirl in Colo.</t>
        </is>
      </c>
    </row>
    <row r="548">
      <c r="A548" s="7" t="n">
        <v>98770</v>
      </c>
      <c r="B548" s="7" t="n">
        <v>244588</v>
      </c>
      <c r="C548" s="7" t="n">
        <v>126440</v>
      </c>
      <c r="D548" s="7" t="n">
        <v>41337</v>
      </c>
      <c r="E548" s="8" t="n">
        <v>40326</v>
      </c>
      <c r="F548" s="7" t="n">
        <v>5</v>
      </c>
      <c r="G548" s="7" t="inlineStr">
        <is>
          <t>Served with Recipe #16397 and it was the perfect compliment.  I made the dressing ahead of time to chill and then added the coleslaw mix just before serving.</t>
        </is>
      </c>
    </row>
    <row r="549">
      <c r="A549" s="7" t="n">
        <v>55998</v>
      </c>
      <c r="B549" s="7" t="n">
        <v>340228</v>
      </c>
      <c r="C549" s="7" t="n">
        <v>185684</v>
      </c>
      <c r="D549" s="7" t="n">
        <v>132301</v>
      </c>
      <c r="E549" s="8" t="n">
        <v>39558</v>
      </c>
      <c r="F549" s="7" t="n">
        <v>5</v>
      </c>
      <c r="G549" s="7" t="inlineStr">
        <is>
          <t>I loved it! If you are tired of the same ole tuna casserole or just want to try something different then you need to try this. It is very rich and delicious, the addition of zucchini is great, I could put more in it. A very nice blend of flavors. I used a deep casserole dish (pictured), so I did have to cook a bit longer to get the middle done, I used a meat thermometer to test,  thanks Kitten, you outdid yourself again!</t>
        </is>
      </c>
    </row>
    <row r="550">
      <c r="A550" s="7" t="n">
        <v>19278</v>
      </c>
      <c r="B550" s="7" t="n">
        <v>428506</v>
      </c>
      <c r="C550" s="7" t="n">
        <v>2597942</v>
      </c>
      <c r="D550" s="7" t="n">
        <v>263512</v>
      </c>
      <c r="E550" s="8" t="n">
        <v>41289</v>
      </c>
      <c r="F550" s="7" t="n">
        <v>5</v>
      </c>
      <c r="G550" s="7" t="inlineStr">
        <is>
          <t>I realized how this could make a perfect chili or taco bowl... cut to size &amp; bake in a muffin tin! (Who needs to buy those ones on t.v). This will be perfect when I take a crockpot of chili to the neighborhood Super Bowl bowl party next month. Bake up some mini shells to fill with the chili. No more buying paper bowls or Fritos to serve along side! Thanks for the idea :-)</t>
        </is>
      </c>
    </row>
    <row r="551">
      <c r="A551" s="7" t="n">
        <v>74479</v>
      </c>
      <c r="B551" s="7" t="n">
        <v>925185</v>
      </c>
      <c r="C551" s="7" t="n">
        <v>1076345</v>
      </c>
      <c r="D551" s="7" t="n">
        <v>26339</v>
      </c>
      <c r="E551" s="8" t="n">
        <v>39820</v>
      </c>
      <c r="F551" s="7" t="n">
        <v>5</v>
      </c>
      <c r="G551" s="7" t="inlineStr">
        <is>
          <t>Great! I grilled the chicken on the Foreman grill. I put BBQ sauce on it, grated some cheddar cheese on it, sprinkled some real bacon pieces on it and microwaved it til cheese melted. Very Tasty! Thanks Wende for the recipe!</t>
        </is>
      </c>
    </row>
    <row r="552">
      <c r="A552" s="7" t="n">
        <v>15246</v>
      </c>
      <c r="B552" s="7" t="n">
        <v>883597</v>
      </c>
      <c r="C552" s="7" t="n">
        <v>2001162443</v>
      </c>
      <c r="D552" s="7" t="n">
        <v>114557</v>
      </c>
      <c r="E552" s="8" t="n">
        <v>42623</v>
      </c>
      <c r="F552" s="7" t="n">
        <v>5</v>
      </c>
      <c r="G552" s="7" t="inlineStr">
        <is>
          <t>Made the filling only! Omg! 10 stars! Put in mini pie shells and mini graham cracker shells- fabulous!!!!!</t>
        </is>
      </c>
    </row>
    <row r="553">
      <c r="A553" s="7" t="n">
        <v>33746</v>
      </c>
      <c r="B553" s="7" t="n">
        <v>459043</v>
      </c>
      <c r="C553" s="7" t="n">
        <v>266635</v>
      </c>
      <c r="D553" s="7" t="n">
        <v>264539</v>
      </c>
      <c r="E553" s="8" t="n">
        <v>40847</v>
      </c>
      <c r="F553" s="7" t="n">
        <v>5</v>
      </c>
      <c r="G553" s="7" t="inlineStr">
        <is>
          <t>These mushroom pancakes were really tasty -- a great savory addition to any main course.  I added some garlic to the batter and we topped them with a dollop of light sour cream.  I will be making this dish again as it is a nice change of pace.  Thanks for the post.  Made for AUS/NZ Make My Recipe Tag, October, 2011.</t>
        </is>
      </c>
    </row>
    <row r="554">
      <c r="A554" s="7" t="n">
        <v>121538</v>
      </c>
      <c r="B554" s="7" t="n">
        <v>528153</v>
      </c>
      <c r="C554" s="7" t="n">
        <v>1086107</v>
      </c>
      <c r="D554" s="7" t="n">
        <v>357493</v>
      </c>
      <c r="E554" s="8" t="n">
        <v>40331</v>
      </c>
      <c r="F554" s="7" t="n">
        <v>5</v>
      </c>
      <c r="G554" s="7" t="inlineStr">
        <is>
          <t>This is now one of my favorite recipes.  It is quick and easy to make and very nutritious.   When I didn't have corn on hand I added diced carrots and shelled edamame or even chopped kale.  The flavor is always satisfying.  It does seem to expand no matter how much broth you add but I love it as a soup.</t>
        </is>
      </c>
    </row>
    <row r="555">
      <c r="A555" s="7" t="n">
        <v>117207</v>
      </c>
      <c r="B555" s="7" t="n">
        <v>363603</v>
      </c>
      <c r="C555" s="7" t="n">
        <v>851841</v>
      </c>
      <c r="D555" s="7" t="n">
        <v>338146</v>
      </c>
      <c r="E555" s="8" t="n">
        <v>41749</v>
      </c>
      <c r="F555" s="7" t="n">
        <v>0</v>
      </c>
      <c r="G555" s="7" t="inlineStr">
        <is>
          <t>I didn&amp;#039;t have any yogurt so substituted my FF sour cream.  Didn&amp;#039;t have the cranberry sauce either so substituted 2 cans, (20 0z each) of Wilderness Cherry Pie filling.  It smelt SO good while baking and was a very pretty presentation.   I followed everything else to the tee!   The taste was WONDERFUL.  Can&amp;#039;t wait to try some variations of this same theme of coffeecake.  Well done kittycatmom !  Thanks for posting !</t>
        </is>
      </c>
    </row>
    <row r="556">
      <c r="A556" s="7" t="n">
        <v>105479</v>
      </c>
      <c r="B556" s="7" t="n">
        <v>203836</v>
      </c>
      <c r="C556" s="7" t="n">
        <v>49304</v>
      </c>
      <c r="D556" s="7" t="n">
        <v>103954</v>
      </c>
      <c r="E556" s="8" t="n">
        <v>38315</v>
      </c>
      <c r="F556" s="7" t="n">
        <v>5</v>
      </c>
      <c r="G556" s="7" t="inlineStr">
        <is>
          <t>DElicious, I really wasn't sure about the tea. The results was yummy. I made it just like the recipe said, Except made it for 2. Used golden delicious apples, used both walnuts and raisins, YUMMY. This will now be our favorite baked apples recipe. Thank you Sharon.</t>
        </is>
      </c>
    </row>
    <row r="557">
      <c r="A557" s="7" t="n">
        <v>61876</v>
      </c>
      <c r="B557" s="7" t="n">
        <v>692924</v>
      </c>
      <c r="C557" s="7" t="n">
        <v>450571</v>
      </c>
      <c r="D557" s="7" t="n">
        <v>257836</v>
      </c>
      <c r="E557" s="8" t="n">
        <v>39452</v>
      </c>
      <c r="F557" s="7" t="n">
        <v>3</v>
      </c>
      <c r="G557" s="7" t="inlineStr">
        <is>
          <t>I followed this recipe exactly except I left out the mint leaves because we don't like fresh mint.  I was so excited when I first starting filling the phyllo pastry with the filling because having tasted the filling it was really really good. The problem is that the one sheet of phyllo pastry folded over and wrapped around the mashed potato mixture was too thin, and the part of the pastry that had contact with the potatoes didn't cook very well even though I used the maximum suggested cooking time.  What resulted was a samosa that was so delicate that we couldn't pick them up to eat, there needed to be a much much more substantial amount of dough or pastry around it to hold it together properly.  Again, the mixute was fantastic, and I could have eaten that by itself, but if I were to make this recipe again I would not use phyllo pastry.</t>
        </is>
      </c>
    </row>
    <row r="558">
      <c r="A558" s="7" t="n">
        <v>12740</v>
      </c>
      <c r="B558" s="7" t="n">
        <v>16217</v>
      </c>
      <c r="C558" s="7" t="n">
        <v>169969</v>
      </c>
      <c r="D558" s="7" t="n">
        <v>150736</v>
      </c>
      <c r="E558" s="8" t="n">
        <v>39661</v>
      </c>
      <c r="F558" s="7" t="n">
        <v>5</v>
      </c>
      <c r="G558" s="7" t="inlineStr">
        <is>
          <t>We LOVE this bread!!! This bread has the best texture and the crust is so nice and crusty when it comes out of the oven. Made beautiful sandwiches! Everyone loved it! I will make this one again and again! Thanks Pan Nan! MADE THIS AGAIN today and tried to do the first part in the bread machine. It did not work out very well. The bread did not rise enough so the loaves were very dense. Live and Learn. Next time I will pull the mixer out! :)</t>
        </is>
      </c>
    </row>
    <row r="559">
      <c r="A559" s="7" t="n">
        <v>64535</v>
      </c>
      <c r="B559" s="7" t="n">
        <v>157349</v>
      </c>
      <c r="C559" s="7" t="n">
        <v>232037</v>
      </c>
      <c r="D559" s="7" t="n">
        <v>179101</v>
      </c>
      <c r="E559" s="8" t="n">
        <v>39392</v>
      </c>
      <c r="F559" s="7" t="n">
        <v>5</v>
      </c>
      <c r="G559" s="7" t="inlineStr">
        <is>
          <t>When my, now, fiancee came back from Germany she told me the Nutella Gelato was the best gelato she's ever had. So I made this recipe on the day I proposed to her. We were also visited by family who just came back from Italy and enjoyed a lot of gelato there. Everyone loved this recipe!</t>
        </is>
      </c>
    </row>
    <row r="560">
      <c r="A560" s="7" t="n">
        <v>40975</v>
      </c>
      <c r="B560" s="7" t="n">
        <v>883598</v>
      </c>
      <c r="C560" s="7" t="n">
        <v>42116377</v>
      </c>
      <c r="D560" s="7" t="n">
        <v>114557</v>
      </c>
      <c r="E560" s="8" t="n">
        <v>42865</v>
      </c>
      <c r="F560" s="7" t="n">
        <v>5</v>
      </c>
      <c r="G560" s="7" t="inlineStr">
        <is>
          <t>I used the filling for my own recipe lemon cake and then used an American buttercream frosting YUMMY</t>
        </is>
      </c>
    </row>
    <row r="561">
      <c r="A561" s="7" t="n">
        <v>103055</v>
      </c>
      <c r="B561" s="7" t="n">
        <v>213151</v>
      </c>
      <c r="C561" s="7" t="n">
        <v>1175362</v>
      </c>
      <c r="D561" s="7" t="n">
        <v>36627</v>
      </c>
      <c r="E561" s="8" t="n">
        <v>41773</v>
      </c>
      <c r="F561" s="7" t="n">
        <v>4</v>
      </c>
      <c r="G561" s="7" t="inlineStr">
        <is>
          <t>These were good.  Make sure you note that they should be baked COVERED with foil.  I almost missed that -- very different.  They&amp;#039;re very moist but I would describe them more as almost spongey than dense.  I think next time I might also add some chocolate chips into the cream cheese layer.  DH loved them more than I did but they were truly very good.</t>
        </is>
      </c>
    </row>
    <row r="562">
      <c r="A562" s="7" t="n">
        <v>53119</v>
      </c>
      <c r="B562" s="7" t="n">
        <v>242868</v>
      </c>
      <c r="C562" s="7" t="n">
        <v>130819</v>
      </c>
      <c r="D562" s="7" t="n">
        <v>236483</v>
      </c>
      <c r="E562" s="8" t="n">
        <v>39300</v>
      </c>
      <c r="F562" s="7" t="n">
        <v>5</v>
      </c>
      <c r="G562" s="7" t="inlineStr">
        <is>
          <t>Excellent! Could be said that I have a good eye for recipes that are winners at our house - have to admit I hesitated on this one. Happy I gave this Hall's Cookbook recipe a second look! In gleaning for some new ideas for those lovely new potatoes from the garden  - wanting both something 'new' as well as recipes that freed up time when having guests ... made note of your 'Crusty New Potatoes' and made as posted ... we loved them and can't wait to serve to family and friends. In the words of PrimQuilter - make a bunch!</t>
        </is>
      </c>
    </row>
    <row r="563" ht="409.5" customHeight="1">
      <c r="A563" s="7" t="n">
        <v>38595</v>
      </c>
      <c r="B563" s="7" t="n">
        <v>532840</v>
      </c>
      <c r="C563" s="7" t="n">
        <v>65197</v>
      </c>
      <c r="D563" s="7" t="n">
        <v>138716</v>
      </c>
      <c r="E563" s="8" t="n">
        <v>38653</v>
      </c>
      <c r="F563" s="7" t="n">
        <v>5</v>
      </c>
      <c r="G563" s="9" t="inlineStr">
        <is>
          <t>We love eggplant and this recipe has fantastic flavors! I roasted several garlic cloves with eggplant (in the oven)._x000D_
The skin was quite tender, so I left it on._x000D_
We ate it with toasted pita chips._x000D_
_x000D_
Thank you!!</t>
        </is>
      </c>
    </row>
    <row r="564">
      <c r="A564" s="7" t="n">
        <v>39836</v>
      </c>
      <c r="B564" s="7" t="n">
        <v>700916</v>
      </c>
      <c r="C564" s="7" t="n">
        <v>397272</v>
      </c>
      <c r="D564" s="7" t="n">
        <v>91423</v>
      </c>
      <c r="E564" s="8" t="n">
        <v>39190</v>
      </c>
      <c r="F564" s="7" t="n">
        <v>5</v>
      </c>
      <c r="G564" s="7" t="inlineStr">
        <is>
          <t>On a scale of 1 to 10 with 1 being nasty and 10 fantastic....I give this a 42!! Easy to make, and delicious. For presentation I drizzled caramel rum sauce over the top...I had to print the recipe for guests...thanks for sharing.</t>
        </is>
      </c>
    </row>
    <row r="565">
      <c r="A565" s="7" t="n">
        <v>1972</v>
      </c>
      <c r="B565" s="7" t="n">
        <v>25453</v>
      </c>
      <c r="C565" s="7" t="n">
        <v>1608676</v>
      </c>
      <c r="D565" s="7" t="n">
        <v>13181</v>
      </c>
      <c r="E565" s="8" t="n">
        <v>41001</v>
      </c>
      <c r="F565" s="7" t="n">
        <v>5</v>
      </c>
      <c r="G565" s="7" t="inlineStr">
        <is>
          <t>I was itching to try out my new slow cooker, and this recipe seemed easy, so I decided to give it a shot.  Put everything in to cook when I went to work this morning.  As the day went on I started wondering what I had been thinking.  Coke??  Mustard AND ketchup??  How in the world was this going to come together?  Very well, it turns out!  The brisket is tender and tasty.  Just the meat with a little sauce and yum!  Highly recommended!</t>
        </is>
      </c>
    </row>
    <row r="566">
      <c r="A566" s="7" t="n">
        <v>91893</v>
      </c>
      <c r="B566" s="7" t="n">
        <v>916333</v>
      </c>
      <c r="C566" s="7" t="n">
        <v>1376400</v>
      </c>
      <c r="D566" s="7" t="n">
        <v>88489</v>
      </c>
      <c r="E566" s="8" t="n">
        <v>40125</v>
      </c>
      <c r="F566" s="7" t="n">
        <v>4</v>
      </c>
      <c r="G566" s="7" t="inlineStr">
        <is>
          <t>Guess I didn't work with the batter quick enough. It turns more chewy and less crispy than I would like. I reduced the sugar by 2 Tbsp. Nice recipe!</t>
        </is>
      </c>
    </row>
    <row r="567" ht="195" customHeight="1">
      <c r="A567" s="7" t="n">
        <v>33172</v>
      </c>
      <c r="B567" s="7" t="n">
        <v>706729</v>
      </c>
      <c r="C567" s="7" t="n">
        <v>893095</v>
      </c>
      <c r="D567" s="7" t="n">
        <v>318185</v>
      </c>
      <c r="E567" s="8" t="n">
        <v>39790</v>
      </c>
      <c r="F567" s="7" t="n">
        <v>5</v>
      </c>
      <c r="G567" s="9" t="inlineStr">
        <is>
          <t>Fantastic recipe, so worth the effort, i really enjoyed preparing this._x000D_
The kids really enjoyed it.</t>
        </is>
      </c>
    </row>
    <row r="568">
      <c r="A568" s="7" t="n">
        <v>10912</v>
      </c>
      <c r="B568" s="7" t="n">
        <v>729762</v>
      </c>
      <c r="C568" s="7" t="n">
        <v>346344</v>
      </c>
      <c r="D568" s="7" t="n">
        <v>60799</v>
      </c>
      <c r="E568" s="8" t="n">
        <v>39021</v>
      </c>
      <c r="F568" s="7" t="n">
        <v>5</v>
      </c>
      <c r="G568" s="7" t="inlineStr">
        <is>
          <t>I made this with the turkey pepperoni...and added some italian seasoning &amp; garlic salt to it.  It was very good and quite tastey - not exactly gourmet, something to cook for a fancy dinner, but for a quick, easy, and inexpensive dinner (with lots of leftovers), it completely hit the spot!  Thanks for posting, I will be making this one again.</t>
        </is>
      </c>
    </row>
    <row r="569">
      <c r="A569" s="7" t="n">
        <v>54348</v>
      </c>
      <c r="B569" s="7" t="n">
        <v>33699</v>
      </c>
      <c r="C569" s="7" t="n">
        <v>1629974</v>
      </c>
      <c r="D569" s="7" t="n">
        <v>376414</v>
      </c>
      <c r="E569" s="8" t="n">
        <v>40517</v>
      </c>
      <c r="F569" s="7" t="n">
        <v>5</v>
      </c>
      <c r="G569" s="7" t="inlineStr">
        <is>
          <t>Comfort food at it's best. The only change I made was to add one large chopped onion with the peppers. Served over spaghetti this is a wonderful meal. I usually double the receipe and freeze half-perfect for nights when there's little time to cook, but you still want a gourmet meal.</t>
        </is>
      </c>
    </row>
    <row r="570">
      <c r="A570" s="7" t="n">
        <v>93315</v>
      </c>
      <c r="B570" s="7" t="n">
        <v>578246</v>
      </c>
      <c r="C570" s="7" t="n">
        <v>37449</v>
      </c>
      <c r="D570" s="7" t="n">
        <v>112180</v>
      </c>
      <c r="E570" s="8" t="n">
        <v>38412</v>
      </c>
      <c r="F570" s="7" t="n">
        <v>5</v>
      </c>
      <c r="G570" s="7" t="inlineStr">
        <is>
          <t>Delicious! I did substitute bacon bits for the bacon. I just put some in with the garlic and onions. I halved the recipe and it turned out fabulous! I served this with Salmon with Ginger Glaze and Spicy Onion Rings. Thanks Barb!</t>
        </is>
      </c>
    </row>
    <row r="571">
      <c r="A571" s="7" t="n">
        <v>20140</v>
      </c>
      <c r="B571" s="7" t="n">
        <v>956386</v>
      </c>
      <c r="C571" s="7" t="n">
        <v>1151687</v>
      </c>
      <c r="D571" s="7" t="n">
        <v>87683</v>
      </c>
      <c r="E571" s="8" t="n">
        <v>40075</v>
      </c>
      <c r="F571" s="7" t="n">
        <v>5</v>
      </c>
      <c r="G571" s="7" t="inlineStr">
        <is>
          <t>OMG, this icing just made my day!!! i spread it on the chocolate tres leches cake i made (thanks, PaulaG!!!) and it is fantastic, easily the best cake i've ever made! thank you so much for sharing this recipe!</t>
        </is>
      </c>
    </row>
    <row r="572">
      <c r="A572" s="7" t="n">
        <v>78706</v>
      </c>
      <c r="B572" s="7" t="n">
        <v>704376</v>
      </c>
      <c r="C572" s="7" t="n">
        <v>461834</v>
      </c>
      <c r="D572" s="7" t="n">
        <v>328632</v>
      </c>
      <c r="E572" s="8" t="n">
        <v>40535</v>
      </c>
      <c r="F572" s="7" t="n">
        <v>5</v>
      </c>
      <c r="G572" s="7" t="inlineStr">
        <is>
          <t>I made this as a side dish to go along with your Marinated Pork Steak last night.  I just love corn and this was a great way to get a quick creamy corn dish.  I feel the cream actually sweetens the corn (not too sweet)and adds to the overall flavor!!!  Thanks for sharing the recipe.  Congrats on your win in the football pool!!!!:)</t>
        </is>
      </c>
    </row>
    <row r="573">
      <c r="A573" s="7" t="n">
        <v>97697</v>
      </c>
      <c r="B573" s="7" t="n">
        <v>810316</v>
      </c>
      <c r="C573" s="7" t="n">
        <v>55221</v>
      </c>
      <c r="D573" s="7" t="n">
        <v>78897</v>
      </c>
      <c r="E573" s="8" t="n">
        <v>39315</v>
      </c>
      <c r="F573" s="7" t="n">
        <v>4</v>
      </c>
      <c r="G573" s="7" t="inlineStr">
        <is>
          <t>My family really enjoyed this quick and easy-to-make recipe! I used a 15-ounce can of small red beans, an 8.5-ounce box of Jiffy corn muffin mix, and Recipe #154235. Next time I think I'll increase the water to 2/3s cup for a moister meat layer. Thanks!</t>
        </is>
      </c>
    </row>
    <row r="574">
      <c r="A574" s="7" t="n">
        <v>61372</v>
      </c>
      <c r="B574" s="7" t="n">
        <v>190518</v>
      </c>
      <c r="C574" s="7" t="n">
        <v>960625</v>
      </c>
      <c r="D574" s="7" t="n">
        <v>131354</v>
      </c>
      <c r="E574" s="8" t="n">
        <v>39859</v>
      </c>
      <c r="F574" s="7" t="n">
        <v>5</v>
      </c>
      <c r="G574" s="7" t="inlineStr">
        <is>
          <t>This turned out very good. It makes plenty for everyone to get their fill !  It helps to let the ingredients "meld" at least a few hours or even overnight.</t>
        </is>
      </c>
    </row>
    <row r="575">
      <c r="A575" s="7" t="n">
        <v>73029</v>
      </c>
      <c r="B575" s="7" t="n">
        <v>741810</v>
      </c>
      <c r="C575" s="7" t="n">
        <v>208455</v>
      </c>
      <c r="D575" s="7" t="n">
        <v>3441</v>
      </c>
      <c r="E575" s="8" t="n">
        <v>38769</v>
      </c>
      <c r="F575" s="7" t="n">
        <v>5</v>
      </c>
      <c r="G575" s="7" t="inlineStr">
        <is>
          <t xml:space="preserve">Great weeknight dinner. Everyone loved it. Lot's of flavor. </t>
        </is>
      </c>
    </row>
    <row r="576">
      <c r="A576" s="7" t="n">
        <v>115511</v>
      </c>
      <c r="B576" s="7" t="n">
        <v>776248</v>
      </c>
      <c r="C576" s="7" t="n">
        <v>67495</v>
      </c>
      <c r="D576" s="7" t="n">
        <v>489916</v>
      </c>
      <c r="E576" s="8" t="n">
        <v>42070</v>
      </c>
      <c r="F576" s="7" t="n">
        <v>5</v>
      </c>
      <c r="G576" s="7" t="inlineStr">
        <is>
          <t>Super fun and fairly easy! I needed some awesome cookies for a baby boy shower. I mixed the white candy melts with the royal blue (two blue to one white). Altogether I used 20 white and 40 royal blue to coat 1 - 16oz package of Nutter Butters. I also bought bright white for the face, shaved off the melting nub off the top to let it lay flatter. And lastly, I only coated the top of each as the one I did totally coated/dunked seemed a little much. They taste great though, I was surprised. I will definitely not be scared to do this again and now I am familiar with candy melts, who knows what might happen! I&amp;#039;ll try to upload a pic. Thanks for the timely and cute recipe!</t>
        </is>
      </c>
    </row>
    <row r="577">
      <c r="A577" s="7" t="n">
        <v>55123</v>
      </c>
      <c r="B577" s="7" t="n">
        <v>177947</v>
      </c>
      <c r="C577" s="7" t="n">
        <v>1988760</v>
      </c>
      <c r="D577" s="7" t="n">
        <v>103281</v>
      </c>
      <c r="E577" s="8" t="n">
        <v>40777</v>
      </c>
      <c r="F577" s="7" t="n">
        <v>3</v>
      </c>
      <c r="G577" s="7" t="inlineStr">
        <is>
          <t>Substitute BACON GREASE for the OIL, and add crumbles of bacon...&lt;br/&gt;APPLE CIDER VINEGAR instead of white vinegar... &lt;br/&gt;and BROWN SUGAR instead of plain sugar...&lt;br/&gt;Better flavor and more authentic</t>
        </is>
      </c>
    </row>
    <row r="578">
      <c r="A578" s="7" t="n">
        <v>117165</v>
      </c>
      <c r="B578" s="7" t="n">
        <v>216508</v>
      </c>
      <c r="C578" s="7" t="n">
        <v>37449</v>
      </c>
      <c r="D578" s="7" t="n">
        <v>27699</v>
      </c>
      <c r="E578" s="8" t="n">
        <v>39754</v>
      </c>
      <c r="F578" s="7" t="n">
        <v>5</v>
      </c>
      <c r="G578" s="7" t="inlineStr">
        <is>
          <t>I really enjoyed this tea! I simmered the ginger and cloves in water for about 10 minutes, then poured into my mug and added the cinnamon, nutmeg and lemon slice. I also added about a tsp. of lemon juice. Thanks for a healthy, delicious tea! Made for the My Three Chefs event.</t>
        </is>
      </c>
    </row>
    <row r="579">
      <c r="A579" s="7" t="n">
        <v>82405</v>
      </c>
      <c r="B579" s="7" t="n">
        <v>294186</v>
      </c>
      <c r="C579" s="7" t="n">
        <v>7308</v>
      </c>
      <c r="D579" s="7" t="n">
        <v>9978</v>
      </c>
      <c r="E579" s="8" t="n">
        <v>37102</v>
      </c>
      <c r="F579" s="7" t="n">
        <v>0</v>
      </c>
      <c r="G579" s="7" t="inlineStr">
        <is>
          <t>Let the slush sit for a couple minutes before serving.  The slush will become very thick and smooth.</t>
        </is>
      </c>
    </row>
    <row r="580">
      <c r="A580" s="7" t="n">
        <v>31032</v>
      </c>
      <c r="B580" s="7" t="n">
        <v>158090</v>
      </c>
      <c r="C580" s="7" t="n">
        <v>1803078982</v>
      </c>
      <c r="D580" s="7" t="n">
        <v>378374</v>
      </c>
      <c r="E580" s="8" t="n">
        <v>41879</v>
      </c>
      <c r="F580" s="7" t="n">
        <v>5</v>
      </c>
      <c r="G580" s="7" t="inlineStr">
        <is>
          <t>This was a super easy recipe that doesn&amp;#039;t call for beer, seltzer water, or buttermilk. I prepared the batter right before use which is key! Delicious!</t>
        </is>
      </c>
    </row>
    <row r="581">
      <c r="A581" s="7" t="n">
        <v>26347</v>
      </c>
      <c r="B581" s="7" t="n">
        <v>349845</v>
      </c>
      <c r="C581" s="7" t="n">
        <v>527886</v>
      </c>
      <c r="D581" s="7" t="n">
        <v>307905</v>
      </c>
      <c r="E581" s="8" t="n">
        <v>39627</v>
      </c>
      <c r="F581" s="7" t="n">
        <v>4</v>
      </c>
      <c r="G581" s="7" t="inlineStr">
        <is>
          <t>Sweet, cold, and refreshing. I used just a cup of sugar, which was plenty sweet and still held the freezing point down.</t>
        </is>
      </c>
    </row>
    <row r="582">
      <c r="A582" s="7" t="n">
        <v>27710</v>
      </c>
      <c r="B582" s="7" t="n">
        <v>291798</v>
      </c>
      <c r="C582" s="7" t="n">
        <v>8629</v>
      </c>
      <c r="D582" s="7" t="n">
        <v>20689</v>
      </c>
      <c r="E582" s="8" t="n">
        <v>38624</v>
      </c>
      <c r="F582" s="7" t="n">
        <v>4</v>
      </c>
      <c r="G582" s="7" t="inlineStr">
        <is>
          <t>Very good. I prepared it as directed and was very pleased with the results.</t>
        </is>
      </c>
    </row>
    <row r="583">
      <c r="A583" s="7" t="n">
        <v>62941</v>
      </c>
      <c r="B583" s="7" t="n">
        <v>459317</v>
      </c>
      <c r="C583" s="7" t="n">
        <v>124449</v>
      </c>
      <c r="D583" s="7" t="n">
        <v>102524</v>
      </c>
      <c r="E583" s="8" t="n">
        <v>39586</v>
      </c>
      <c r="F583" s="7" t="n">
        <v>4</v>
      </c>
      <c r="G583" s="7" t="inlineStr">
        <is>
          <t>This was a very good recipe.  I've made it before and really liked it, but this time I added about 1T Balsamic Vinegar when I added the worcestershire sauce.  That addition put it right over the top!  Thanks so much for posting, Hey Jude!</t>
        </is>
      </c>
    </row>
    <row r="584">
      <c r="A584" s="7" t="n">
        <v>106213</v>
      </c>
      <c r="B584" s="7" t="n">
        <v>592694</v>
      </c>
      <c r="C584" s="7" t="n">
        <v>142464</v>
      </c>
      <c r="D584" s="7" t="n">
        <v>252350</v>
      </c>
      <c r="E584" s="8" t="n">
        <v>39842</v>
      </c>
      <c r="F584" s="7" t="n">
        <v>5</v>
      </c>
      <c r="G584" s="7" t="inlineStr">
        <is>
          <t>I used to make another WW tea biscuit but now having baked and experienced your recipe for Low Fat Biscuits...well I now have a new favorite.  Not only can they be put together quickly, but the finished product also have a nice texture.   No one would even guess that they are low fat.  Definitely deserving of 5 stars and my thanks to you for sharing this simple but taste pleasing recipe.</t>
        </is>
      </c>
    </row>
    <row r="585">
      <c r="A585" s="7" t="n">
        <v>89796</v>
      </c>
      <c r="B585" s="7" t="n">
        <v>1074535</v>
      </c>
      <c r="C585" s="7" t="n">
        <v>243711</v>
      </c>
      <c r="D585" s="7" t="n">
        <v>135350</v>
      </c>
      <c r="E585" s="8" t="n">
        <v>40358</v>
      </c>
      <c r="F585" s="7" t="n">
        <v>5</v>
      </c>
      <c r="G585" s="7" t="inlineStr">
        <is>
          <t>I can't imagine not loving this.  It's the best!</t>
        </is>
      </c>
    </row>
    <row r="586">
      <c r="A586" s="7" t="n">
        <v>59135</v>
      </c>
      <c r="B586" s="7" t="n">
        <v>422858</v>
      </c>
      <c r="C586" s="7" t="n">
        <v>653438</v>
      </c>
      <c r="D586" s="7" t="n">
        <v>249878</v>
      </c>
      <c r="E586" s="8" t="n">
        <v>41315</v>
      </c>
      <c r="F586" s="7" t="n">
        <v>5</v>
      </c>
      <c r="G586" s="7" t="inlineStr">
        <is>
          <t>Delicious!  I cut the recipe down for DH and I and added a few more onions but otherwise followed the recipe...definately a keeper and going into my Favorites of 2013.  Thank you for posting.  Made for Zaar Cookbook tag game.</t>
        </is>
      </c>
    </row>
    <row r="587">
      <c r="A587" s="7" t="n">
        <v>65427</v>
      </c>
      <c r="B587" s="7" t="n">
        <v>386969</v>
      </c>
      <c r="C587" s="7" t="n">
        <v>180898</v>
      </c>
      <c r="D587" s="7" t="n">
        <v>59386</v>
      </c>
      <c r="E587" s="8" t="n">
        <v>38906</v>
      </c>
      <c r="F587" s="7" t="n">
        <v>5</v>
      </c>
      <c r="G587" s="7" t="inlineStr">
        <is>
          <t xml:space="preserve">This was wonderfull. Made the dressing as stated but use extra virgin olive oil and had no coriander so left it out. The rice was still warm when I used it. I left out the apricots and pecans because I had none but I added cucumber and spinach leaves which was wonderful. As well as some chopped onion and some blanched mushroom slices which I had to use before they went bad. I diced the avocado and folded them into the salad as well and just placed scoops on a plate rather than making little bowls. All in all this was a great dish. I loved my addition of cucumber and recomend trying it as it was very refreshing and, I think, goes well with the other ingredients. Next time I will try using come cashews, since they are the only nut my DH really likes and I think it would be nice in here. He, btw, took seconds and thirds (piled high on his plate). I served this along side of grilled steaks. I think it would also be nice with grilled or baked chicken and either one (chicken or steak) cut into pieces and placed on top of the salad would be a nice variation. I also thought that craisins (dried cranberries)would be nice (especially in the fall). It really is a wonderful dish that you can have lots of fun with. I am sure I will be making this often. It would be great for a potluck and I have been looking for something to take on hiking picnics with us and I think this would be great for that. Oh, and it was very good in a sandwich wrap for lunch today as well. Thanks for a great recipe. </t>
        </is>
      </c>
    </row>
    <row r="588">
      <c r="A588" s="7" t="n">
        <v>73468</v>
      </c>
      <c r="B588" s="7" t="n">
        <v>687237</v>
      </c>
      <c r="C588" s="7" t="n">
        <v>537937</v>
      </c>
      <c r="D588" s="7" t="n">
        <v>258308</v>
      </c>
      <c r="E588" s="8" t="n">
        <v>39503</v>
      </c>
      <c r="F588" s="7" t="n">
        <v>4</v>
      </c>
      <c r="G588" s="7" t="inlineStr">
        <is>
          <t>This was quite good, but I feel it didn't have enough punch.  I guess that's my fault as it is a sourcream substitute and nothing more.  I thought w/the added limejuice and hotsauce it would kick it up a bit.  My bad:-(....this is perfect for me, but my DH and DS's would have liked it a bit more HOT...Thanks Sally~</t>
        </is>
      </c>
    </row>
    <row r="589">
      <c r="A589" s="7" t="n">
        <v>77257</v>
      </c>
      <c r="B589" s="7" t="n">
        <v>24742</v>
      </c>
      <c r="C589" s="7" t="n">
        <v>437294</v>
      </c>
      <c r="D589" s="7" t="n">
        <v>62391</v>
      </c>
      <c r="E589" s="8" t="n">
        <v>40735</v>
      </c>
      <c r="F589" s="7" t="n">
        <v>4</v>
      </c>
      <c r="G589" s="7" t="inlineStr">
        <is>
          <t>Very basic. If you don't have a good sauce... it lacks a lot of flavor. I recommend My Mama Iuliucci's "Don't Skip a Step" Spaghetti Sauce&lt;br/&gt;&lt;br/&gt;&lt;br/&gt;Read more: http://www.food.com/recipe/my-mama-iuliuccis-dont-skip-a-step-spaghetti-sauce-26947#ixzz1Rqk0EXmQ</t>
        </is>
      </c>
    </row>
    <row r="590">
      <c r="A590" s="7" t="n">
        <v>71993</v>
      </c>
      <c r="B590" s="7" t="n">
        <v>583679</v>
      </c>
      <c r="C590" s="7" t="n">
        <v>112760</v>
      </c>
      <c r="D590" s="7" t="n">
        <v>56301</v>
      </c>
      <c r="E590" s="8" t="n">
        <v>38118</v>
      </c>
      <c r="F590" s="7" t="n">
        <v>1</v>
      </c>
      <c r="G590" s="7" t="inlineStr">
        <is>
          <t>I don't know what I did wrong,but after creaming the butter and sugar together,I noticed that it wasn't something I could "press" into a pan,yet I carried on,and sure enough,the butter melted with the sugar and seperated.Since I had already made the filling,I carried on,after pouring out the butter,but retaining the sugar,and they turned out all right.Will not try these again.</t>
        </is>
      </c>
    </row>
    <row r="591">
      <c r="A591" s="7" t="n">
        <v>95318</v>
      </c>
      <c r="B591" s="7" t="n">
        <v>706059</v>
      </c>
      <c r="C591" s="7" t="n">
        <v>151445</v>
      </c>
      <c r="D591" s="7" t="n">
        <v>78068</v>
      </c>
      <c r="E591" s="8" t="n">
        <v>38400</v>
      </c>
      <c r="F591" s="7" t="n">
        <v>5</v>
      </c>
      <c r="G591" s="7" t="inlineStr">
        <is>
          <t>What great flavor and oh-so-juicy! Used skinless, boneless thighs and pan fried them in a bit of olive oil. The honey really helped to caramelize the chicken. Thanks for a great recipe!</t>
        </is>
      </c>
    </row>
    <row r="592">
      <c r="A592" s="7" t="n">
        <v>15685</v>
      </c>
      <c r="B592" s="7" t="n">
        <v>323647</v>
      </c>
      <c r="C592" s="7" t="n">
        <v>619733</v>
      </c>
      <c r="D592" s="7" t="n">
        <v>294908</v>
      </c>
      <c r="E592" s="8" t="n">
        <v>39763</v>
      </c>
      <c r="F592" s="7" t="n">
        <v>5</v>
      </c>
      <c r="G592" s="7" t="inlineStr">
        <is>
          <t>Very good, I put pepper and salt on the tilapia first then coated with flour to add a nice crisp to the fish.  For the sauce I added about a TBSP of butter to thicken a bit.  I also did not have any tomatoes or green onion, and it still came out great.</t>
        </is>
      </c>
    </row>
    <row r="593">
      <c r="A593" s="7" t="n">
        <v>59331</v>
      </c>
      <c r="B593" s="7" t="n">
        <v>1103915</v>
      </c>
      <c r="C593" s="7" t="n">
        <v>182010</v>
      </c>
      <c r="D593" s="7" t="n">
        <v>187751</v>
      </c>
      <c r="E593" s="8" t="n">
        <v>38995</v>
      </c>
      <c r="F593" s="7" t="n">
        <v>5</v>
      </c>
      <c r="G593" s="7" t="inlineStr">
        <is>
          <t>Another GREAT cupcake!  These are a bit sweet, but with such a luscious flavor that one cupcake is really a splendid dessert.  And they freeze, even frosted.  An excellent recipe to make and have on hand in the freezer for an impromptu  elegant dessert.  Thanks, Evelyn!</t>
        </is>
      </c>
    </row>
    <row r="594">
      <c r="A594" s="7" t="n">
        <v>114076</v>
      </c>
      <c r="B594" s="7" t="n">
        <v>324113</v>
      </c>
      <c r="C594" s="7" t="n">
        <v>573772</v>
      </c>
      <c r="D594" s="7" t="n">
        <v>80118</v>
      </c>
      <c r="E594" s="8" t="n">
        <v>40170</v>
      </c>
      <c r="F594" s="7" t="n">
        <v>5</v>
      </c>
      <c r="G594" s="7" t="inlineStr">
        <is>
          <t>Delicious and easy to decorate with! I didn't think it would taste very good because of the shortening and I didn't think it would hold it's shape because of the butter, but I was wrong on both counts. I can't believe it's being compared to canned frosting. This is a hundred times better - there is no comparison.</t>
        </is>
      </c>
    </row>
    <row r="595">
      <c r="A595" s="7" t="n">
        <v>7459</v>
      </c>
      <c r="B595" s="7" t="n">
        <v>672277</v>
      </c>
      <c r="C595" s="7" t="n">
        <v>216460</v>
      </c>
      <c r="D595" s="7" t="n">
        <v>26172</v>
      </c>
      <c r="E595" s="8" t="n">
        <v>38495</v>
      </c>
      <c r="F595" s="7" t="n">
        <v>5</v>
      </c>
      <c r="G595" s="7" t="inlineStr">
        <is>
          <t>I can only comment on the sauce, because I paired it up with the marinated chicken from #11422.  It was great sauce...just perfect.  The meal was grilled chicken (marinated with recipe #11422), the sauce from above, steamed broccoli, and steamed rice.  Yummy!  :)  Thanks for sharing this recipe...and I'll have to try this entire recipe when I've got time.</t>
        </is>
      </c>
    </row>
    <row r="596">
      <c r="A596" s="7" t="n">
        <v>5180</v>
      </c>
      <c r="B596" s="7" t="n">
        <v>541702</v>
      </c>
      <c r="C596" s="7" t="n">
        <v>542159</v>
      </c>
      <c r="D596" s="7" t="n">
        <v>278753</v>
      </c>
      <c r="E596" s="8" t="n">
        <v>40026</v>
      </c>
      <c r="F596" s="7" t="n">
        <v>4</v>
      </c>
      <c r="G596" s="7" t="inlineStr">
        <is>
          <t>This is tasty. Made using chili pepper and was still a little sweet for our taste. It grills up nicely and has good flavor. May be cut the brown sugar in half. Thanks for the post.</t>
        </is>
      </c>
    </row>
    <row r="597">
      <c r="A597" s="7" t="n">
        <v>104336</v>
      </c>
      <c r="B597" s="7" t="n">
        <v>589033</v>
      </c>
      <c r="C597" s="7" t="n">
        <v>60992</v>
      </c>
      <c r="D597" s="7" t="n">
        <v>89210</v>
      </c>
      <c r="E597" s="8" t="n">
        <v>40041</v>
      </c>
      <c r="F597" s="7" t="n">
        <v>5</v>
      </c>
      <c r="G597" s="7" t="inlineStr">
        <is>
          <t>This is an amazing little muffin! The texture is sublime and the buttery crunch of the cinnamon and sugar on the outside put these in a class all by themselves. The nutmeg in the muffin is absolutely a delicious addition. I think my husband nearly devoured the entire batch himself. I think these are going to requested often here.</t>
        </is>
      </c>
    </row>
    <row r="598">
      <c r="A598" t="n">
        <v>120650</v>
      </c>
      <c r="B598" t="n">
        <v>937833</v>
      </c>
      <c r="C598" t="n">
        <v>128447</v>
      </c>
      <c r="D598" t="n">
        <v>82102</v>
      </c>
      <c r="E598" s="1" t="n">
        <v>38253</v>
      </c>
      <c r="F598" t="n">
        <v>5</v>
      </c>
      <c r="G598" t="inlineStr">
        <is>
          <t>Thank you so much for a great recipe.  It was moist and so flavorful.  Not too garlicky at all.  My family gave it 2 thumbs up and I know I'll make this again.</t>
        </is>
      </c>
    </row>
    <row r="599">
      <c r="A599" s="7" t="n">
        <v>56725</v>
      </c>
      <c r="B599" s="7" t="n">
        <v>662842</v>
      </c>
      <c r="C599" s="7" t="n">
        <v>452940</v>
      </c>
      <c r="D599" s="7" t="n">
        <v>266128</v>
      </c>
      <c r="E599" s="8" t="n">
        <v>39446</v>
      </c>
      <c r="F599" s="7" t="n">
        <v>4</v>
      </c>
      <c r="G599" s="7" t="inlineStr">
        <is>
          <t>This was a nice simple recipe with a mild flavor, and surprisingly no sugar in it (other than the powdered sugar on top). We halved the recipe using 2 ounces of cream cheese and baked it in an 8x8 pan. A very nice light dessert. The texture is similar to a custard. Thanks for sharing this one.</t>
        </is>
      </c>
    </row>
    <row r="600">
      <c r="A600" s="7" t="n">
        <v>58422</v>
      </c>
      <c r="B600" s="7" t="n">
        <v>1105598</v>
      </c>
      <c r="C600" s="7" t="n">
        <v>1179225</v>
      </c>
      <c r="D600" s="7" t="n">
        <v>110848</v>
      </c>
      <c r="E600" s="8" t="n">
        <v>41700</v>
      </c>
      <c r="F600" s="7" t="n">
        <v>4</v>
      </c>
      <c r="G600" s="7" t="inlineStr">
        <is>
          <t>Really great comfort food. I did alter the recipe some, using suggestions from other reviewers and adding my own spin. But, I&amp;#039;m sure the recipe is delicious as written. I add veggies to most of my cooking any time I can, so that was my twist. This recipe seemed to lend itself to it. I added fresh sauteed mushroom, asparagus and a bit of minced red bell pepper. I think the veggies really added visually, as well as adding flavor, and texture. Then, as per other reviewers, I skipped the bullion, and added some cayenne. This recipe is so flexible and I&amp;#039;m looking forward to making it again with other add-ins. Thanks for sharing!</t>
        </is>
      </c>
    </row>
    <row r="601" ht="409.5" customHeight="1">
      <c r="A601" s="7" t="n">
        <v>9</v>
      </c>
      <c r="B601" s="7" t="n">
        <v>1023302</v>
      </c>
      <c r="C601" s="7" t="n">
        <v>308434</v>
      </c>
      <c r="D601" s="7" t="n">
        <v>11252</v>
      </c>
      <c r="E601" s="8" t="n">
        <v>39796</v>
      </c>
      <c r="F601" s="7" t="n">
        <v>5</v>
      </c>
      <c r="G601" s="9" t="inlineStr">
        <is>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salt!_x000D_
I made tartar sauce to go with it (56860)._x000D_
Thank you for sharing this great recipe!</t>
        </is>
      </c>
    </row>
    <row r="602">
      <c r="A602" s="7" t="n">
        <v>111373</v>
      </c>
      <c r="B602" s="7" t="n">
        <v>291133</v>
      </c>
      <c r="C602" s="7" t="n">
        <v>916740</v>
      </c>
      <c r="D602" s="7" t="n">
        <v>50767</v>
      </c>
      <c r="E602" s="8" t="n">
        <v>40079</v>
      </c>
      <c r="F602" s="7" t="n">
        <v>5</v>
      </c>
      <c r="G602" s="7" t="inlineStr">
        <is>
          <t>This is always a part of every OAMC day for me--my kids love these in their lunchbags--they actually prefer them cold.  I leave off the rolling in butter and croutons to save on a few calories and they are still yummy yummy.</t>
        </is>
      </c>
    </row>
    <row r="603">
      <c r="A603" s="7" t="n">
        <v>42602</v>
      </c>
      <c r="B603" s="7" t="n">
        <v>697813</v>
      </c>
      <c r="C603" s="7" t="n">
        <v>310822</v>
      </c>
      <c r="D603" s="7" t="n">
        <v>22889</v>
      </c>
      <c r="E603" s="8" t="n">
        <v>39111</v>
      </c>
      <c r="F603" s="7" t="n">
        <v>5</v>
      </c>
      <c r="G603" s="7" t="inlineStr">
        <is>
          <t>Pretty tasty the first day, and excellent the next.  Only change was sweet potato instead of carrot.  I did have to bake it a little longer to cook the rutabaga through.</t>
        </is>
      </c>
    </row>
    <row r="604" ht="409.5" customHeight="1">
      <c r="A604" s="7" t="n">
        <v>100592</v>
      </c>
      <c r="B604" s="7" t="n">
        <v>666520</v>
      </c>
      <c r="C604" s="7" t="n">
        <v>302502</v>
      </c>
      <c r="D604" s="7" t="n">
        <v>157161</v>
      </c>
      <c r="E604" s="8" t="n">
        <v>39565</v>
      </c>
      <c r="F604" s="7" t="n">
        <v>0</v>
      </c>
      <c r="G604" s="9" t="inlineStr">
        <is>
          <t>Instead of margarine or shortening--both of which are full of free radicals due to their hydrogenation--use plain, old butter in this recipe. I also substituted turbinado, raw sugar for the brown (which is white sugar that is flavored with molasses). Ahhh--now that's a healthy bread.
This recipe works great in a bread cooker. I was concerned that one cup milk would not be enough, because of the added bran and oats, but it was just fine.</t>
        </is>
      </c>
    </row>
    <row r="605">
      <c r="A605" s="7" t="n">
        <v>86748</v>
      </c>
      <c r="B605" s="7" t="n">
        <v>874621</v>
      </c>
      <c r="C605" s="7" t="n">
        <v>88099</v>
      </c>
      <c r="D605" s="7" t="n">
        <v>389577</v>
      </c>
      <c r="E605" s="8" t="n">
        <v>40524</v>
      </c>
      <c r="F605" s="7" t="n">
        <v>4</v>
      </c>
      <c r="G605" s="7" t="inlineStr">
        <is>
          <t>These were easy to make and made for a nice cookie.  Mine didn't turn out like the photo shows.  My cookie was thinner and a little on the crumble side.  But DH liked them.  Thanks for sharing.  :)</t>
        </is>
      </c>
    </row>
    <row r="606">
      <c r="A606" s="7" t="n">
        <v>112172</v>
      </c>
      <c r="B606" s="7" t="n">
        <v>636972</v>
      </c>
      <c r="C606" s="7" t="n">
        <v>452940</v>
      </c>
      <c r="D606" s="7" t="n">
        <v>101601</v>
      </c>
      <c r="E606" s="8" t="n">
        <v>40215</v>
      </c>
      <c r="F606" s="7" t="n">
        <v>5</v>
      </c>
      <c r="G606" s="7" t="inlineStr">
        <is>
          <t>This was our first time making tortillas. These are very easy to make and have an authentic flavor.</t>
        </is>
      </c>
    </row>
    <row r="607">
      <c r="A607" s="7" t="n">
        <v>18025</v>
      </c>
      <c r="B607" s="7" t="n">
        <v>45681</v>
      </c>
      <c r="C607" s="7" t="n">
        <v>191050</v>
      </c>
      <c r="D607" s="7" t="n">
        <v>152705</v>
      </c>
      <c r="E607" s="8" t="n">
        <v>39592</v>
      </c>
      <c r="F607" s="7" t="n">
        <v>5</v>
      </c>
      <c r="G607" s="7" t="inlineStr">
        <is>
          <t>Loved it!  Had a great coffee and chocolate flavor and was nice and sweet!  Thank you for sharing this!  My picture isn't that great because I wanted to hurry and drink it, but hopefully you can see that it's nice and thick!  ;)</t>
        </is>
      </c>
    </row>
    <row r="608">
      <c r="A608" s="7" t="n">
        <v>41057</v>
      </c>
      <c r="B608" s="7" t="n">
        <v>715161</v>
      </c>
      <c r="C608" s="7" t="n">
        <v>868637</v>
      </c>
      <c r="D608" s="7" t="n">
        <v>138239</v>
      </c>
      <c r="E608" s="8" t="n">
        <v>40050</v>
      </c>
      <c r="F608" s="7" t="n">
        <v>5</v>
      </c>
      <c r="G608" s="7" t="inlineStr">
        <is>
          <t>I made to have over some leftover garlic mashed potatoes that I had in the fridge.  The beef was tender and the flavor from the gravy was outstanding!</t>
        </is>
      </c>
    </row>
    <row r="609">
      <c r="A609" s="7" t="n">
        <v>14976</v>
      </c>
      <c r="B609" s="7" t="n">
        <v>68355</v>
      </c>
      <c r="C609" s="7" t="n">
        <v>333017</v>
      </c>
      <c r="D609" s="7" t="n">
        <v>66928</v>
      </c>
      <c r="E609" s="8" t="n">
        <v>39998</v>
      </c>
      <c r="F609" s="7" t="n">
        <v>5</v>
      </c>
      <c r="G609" s="7" t="inlineStr">
        <is>
          <t>Way to easy...so delicious!!!  I used my recipe #375626 for the chutney.  As I was only serving for 4, I got a small round of brie and skipped the apples and bread.   I would definately do this one again!!!  Thanks, Erin!!</t>
        </is>
      </c>
    </row>
    <row r="610">
      <c r="A610" s="7" t="n">
        <v>34919</v>
      </c>
      <c r="B610" s="7" t="n">
        <v>326958</v>
      </c>
      <c r="C610" s="7" t="n">
        <v>372019</v>
      </c>
      <c r="D610" s="7" t="n">
        <v>37548</v>
      </c>
      <c r="E610" s="8" t="n">
        <v>39018</v>
      </c>
      <c r="F610" s="7" t="n">
        <v>5</v>
      </c>
      <c r="G610" s="7" t="inlineStr">
        <is>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is>
      </c>
    </row>
    <row r="611">
      <c r="A611" s="7" t="n">
        <v>56953</v>
      </c>
      <c r="B611" s="7" t="n">
        <v>1024260</v>
      </c>
      <c r="C611" s="7" t="n">
        <v>88099</v>
      </c>
      <c r="D611" s="7" t="n">
        <v>111777</v>
      </c>
      <c r="E611" s="8" t="n">
        <v>39327</v>
      </c>
      <c r="F611" s="7" t="n">
        <v>5</v>
      </c>
      <c r="G611" s="7" t="inlineStr">
        <is>
          <t>I'll add my 5 star to this.  Easy, simple and absolutely delicious.  Exactly what you would expect from a chicken pot pie.  thanks</t>
        </is>
      </c>
    </row>
    <row r="612" ht="409.5" customHeight="1">
      <c r="A612" s="7" t="n">
        <v>101303</v>
      </c>
      <c r="B612" s="7" t="n">
        <v>1074210</v>
      </c>
      <c r="C612" s="7" t="n">
        <v>124945</v>
      </c>
      <c r="D612" s="7" t="n">
        <v>135350</v>
      </c>
      <c r="E612" s="8" t="n">
        <v>39297</v>
      </c>
      <c r="F612" s="7" t="n">
        <v>5</v>
      </c>
      <c r="G612" s="9" t="inlineStr">
        <is>
          <t>We loved this! I never thought of making a cheese sauce for macaroni! I have always made scallop potatoes this way. I doubled the recipe, and froze half._x000D_
This is basically a med. white sauce w/cheese. There is no need to cook the sauce as long as stated. Cook the flour and butter for 1 min, add milk &amp; cream boil for 1-2 min. more until thick. Stir in cheese until melted then add to noodles._x000D_
I used allot of fresh ground pepper and added granulated garlic to taste after adding the cheese._x000D_
Thanks for posting!</t>
        </is>
      </c>
    </row>
    <row r="613">
      <c r="A613" s="7" t="n">
        <v>26263</v>
      </c>
      <c r="B613" s="7" t="n">
        <v>797906</v>
      </c>
      <c r="C613" s="7" t="n">
        <v>226863</v>
      </c>
      <c r="D613" s="7" t="n">
        <v>216658</v>
      </c>
      <c r="E613" s="8" t="n">
        <v>40068</v>
      </c>
      <c r="F613" s="7" t="n">
        <v>5</v>
      </c>
      <c r="G613" s="7" t="inlineStr">
        <is>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is>
      </c>
    </row>
    <row r="614">
      <c r="A614" s="7" t="n">
        <v>121683</v>
      </c>
      <c r="B614" s="7" t="n">
        <v>275835</v>
      </c>
      <c r="C614" s="7" t="n">
        <v>171790</v>
      </c>
      <c r="D614" s="7" t="n">
        <v>137188</v>
      </c>
      <c r="E614" s="8" t="n">
        <v>39420</v>
      </c>
      <c r="F614" s="7" t="n">
        <v>5</v>
      </c>
      <c r="G614" s="7" t="inlineStr">
        <is>
          <t>Yum! These are good! I used homemade chicken broth and long grain rice. When I got the mozzarella out of the fridge it didn't look good so I subbed old cheddar. I also sprinkled some cheddar on top before baking. Thanks for posting.</t>
        </is>
      </c>
    </row>
    <row r="615">
      <c r="A615" s="7" t="n">
        <v>123084</v>
      </c>
      <c r="B615" s="7" t="n">
        <v>36451</v>
      </c>
      <c r="C615" s="7" t="n">
        <v>50555</v>
      </c>
      <c r="D615" s="7" t="n">
        <v>57763</v>
      </c>
      <c r="E615" s="8" t="n">
        <v>37933</v>
      </c>
      <c r="F615" s="7" t="n">
        <v>5</v>
      </c>
      <c r="G615" s="7" t="inlineStr">
        <is>
          <t>Delicious!   Only change was to up the sugar a bit and double the cinnamon because we love it so.  Everyone loved it.  Thanks!</t>
        </is>
      </c>
    </row>
    <row r="616">
      <c r="A616" s="7" t="n">
        <v>40801</v>
      </c>
      <c r="B616" s="7" t="n">
        <v>442481</v>
      </c>
      <c r="C616" s="7" t="n">
        <v>174096</v>
      </c>
      <c r="D616" s="7" t="n">
        <v>483000</v>
      </c>
      <c r="E616" s="8" t="n">
        <v>41139</v>
      </c>
      <c r="F616" s="7" t="n">
        <v>5</v>
      </c>
      <c r="G616" s="7" t="inlineStr">
        <is>
          <t>So refreshing!  I used mango, lowfat yogurt, and less sugar since the mango was extremely sweet and juicy.  It was delicious and perfect for a warm afternoon.  Thanks for sharing!  ZWT8</t>
        </is>
      </c>
    </row>
    <row r="617">
      <c r="A617" s="7" t="n">
        <v>88588</v>
      </c>
      <c r="B617" s="7" t="n">
        <v>642804</v>
      </c>
      <c r="C617" s="7" t="n">
        <v>2000906708</v>
      </c>
      <c r="D617" s="7" t="n">
        <v>35988</v>
      </c>
      <c r="E617" s="8" t="n">
        <v>42436</v>
      </c>
      <c r="F617" s="7" t="n">
        <v>5</v>
      </c>
      <c r="G617" s="7" t="inlineStr">
        <is>
          <t>This recipe was quick and easy.  I used tri-color tortellini to give it a more hearty look and pinch of hot peppers for spice.  Love it!</t>
        </is>
      </c>
    </row>
    <row r="618">
      <c r="A618" s="7" t="n">
        <v>47587</v>
      </c>
      <c r="B618" s="7" t="n">
        <v>498432</v>
      </c>
      <c r="C618" s="7" t="n">
        <v>384088</v>
      </c>
      <c r="D618" s="7" t="n">
        <v>34909</v>
      </c>
      <c r="E618" s="8" t="n">
        <v>39796</v>
      </c>
      <c r="F618" s="7" t="n">
        <v>5</v>
      </c>
      <c r="G618" s="7" t="inlineStr">
        <is>
          <t>I made this recipe tonight and it is definately a new family favorite! We practically inhaled the entire batch!</t>
        </is>
      </c>
    </row>
    <row r="619">
      <c r="A619" s="7" t="n">
        <v>83286</v>
      </c>
      <c r="B619" s="7" t="n">
        <v>159216</v>
      </c>
      <c r="C619" s="7" t="n">
        <v>705251</v>
      </c>
      <c r="D619" s="7" t="n">
        <v>391028</v>
      </c>
      <c r="E619" s="8" t="n">
        <v>40231</v>
      </c>
      <c r="F619" s="7" t="n">
        <v>5</v>
      </c>
      <c r="G619" s="7" t="inlineStr">
        <is>
          <t>Boy what a nice dipping sauce.  I made it for my hubby as he tires of the normal BBQ or honey mustard.  He loved this sauce...he said he enjoyed the tang that is lightly hidden the the flavors.  Served with Recipe #257404 and it was very complimentary!  Thanks for sharing this dipping sauce recipe!  Tagged you in the Potluck Tag game! :)</t>
        </is>
      </c>
    </row>
    <row r="620">
      <c r="A620" s="7" t="n">
        <v>123098</v>
      </c>
      <c r="B620" s="7" t="n">
        <v>1011894</v>
      </c>
      <c r="C620" s="7" t="n">
        <v>135863</v>
      </c>
      <c r="D620" s="7" t="n">
        <v>135753</v>
      </c>
      <c r="E620" s="8" t="n">
        <v>38755</v>
      </c>
      <c r="F620" s="7" t="n">
        <v>5</v>
      </c>
      <c r="G620" s="7" t="inlineStr">
        <is>
          <t>This has become a favorite recipe :)  Using chicken legs only, I baked them on a rimmed, foil-lined, lightly-oiled baking sheet. And I'm glad I did because the chicken has a tendency to stick to the pan.  I really like the marinade flavors and the fact that leftover cold chicken remains flavorful.  Thank you, Andria!  Lynnie</t>
        </is>
      </c>
    </row>
    <row r="621">
      <c r="A621" s="7" t="n">
        <v>60757</v>
      </c>
      <c r="B621" s="7" t="n">
        <v>208896</v>
      </c>
      <c r="C621" s="7" t="n">
        <v>106212</v>
      </c>
      <c r="D621" s="7" t="n">
        <v>209398</v>
      </c>
      <c r="E621" s="8" t="n">
        <v>39166</v>
      </c>
      <c r="F621" s="7" t="n">
        <v>5</v>
      </c>
      <c r="G621" s="7" t="inlineStr">
        <is>
          <t>This was simply outstanding!!!!  Made exactly as posted.  I too did not add any seasonings and it came out wonderful.  My whole family devoured this happily.  VERY, VERY easy to make.  This makes plenty of gravy, you could probably even go to a 4 pound roast.</t>
        </is>
      </c>
    </row>
    <row r="622">
      <c r="A622" s="7" t="n">
        <v>51694</v>
      </c>
      <c r="B622" s="7" t="n">
        <v>681042</v>
      </c>
      <c r="C622" s="7" t="n">
        <v>184469</v>
      </c>
      <c r="D622" s="7" t="n">
        <v>108248</v>
      </c>
      <c r="E622" s="8" t="n">
        <v>39500</v>
      </c>
      <c r="F622" s="7" t="n">
        <v>5</v>
      </c>
      <c r="G622" s="7" t="inlineStr">
        <is>
          <t>Mmm...these are very good. I used half semisweet chips and half M&amp;Ms, half butter and half Smart Balance, and a 9x13 pan. Good cold, good warmed, perfect thickness, and pretty with the M&amp;Ms. My kids enjoy them and I do too!</t>
        </is>
      </c>
    </row>
    <row r="623">
      <c r="A623" s="7" t="n">
        <v>4984</v>
      </c>
      <c r="B623" s="7" t="n">
        <v>984293</v>
      </c>
      <c r="C623" s="7" t="n">
        <v>171303</v>
      </c>
      <c r="D623" s="7" t="n">
        <v>9272</v>
      </c>
      <c r="E623" s="8" t="n">
        <v>38979</v>
      </c>
      <c r="F623" s="7" t="n">
        <v>5</v>
      </c>
      <c r="G623" s="7" t="inlineStr">
        <is>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is>
      </c>
    </row>
    <row r="624" ht="409.5" customHeight="1">
      <c r="A624" s="7" t="n">
        <v>93513</v>
      </c>
      <c r="B624" s="7" t="n">
        <v>246628</v>
      </c>
      <c r="C624" s="7" t="n">
        <v>1575360</v>
      </c>
      <c r="D624" s="7" t="n">
        <v>115110</v>
      </c>
      <c r="E624" s="8" t="n">
        <v>40304</v>
      </c>
      <c r="F624" s="7" t="n">
        <v>5</v>
      </c>
      <c r="G624" s="9" t="inlineStr">
        <is>
          <t>This was delicious fresh, but even better the next day! I forgot the tortilla wraps when I went grocery shopping, so I used this recipe to make pie crust: http://smittenkitchen.com/2008/11/pie-crust-102-all-butter-really-flaky-pie-dough/
Other mods: regular pepper instead of lemon pepper, and no bacon to make it Kosher.</t>
        </is>
      </c>
    </row>
    <row r="625">
      <c r="A625" s="7" t="n">
        <v>19569</v>
      </c>
      <c r="B625" s="7" t="n">
        <v>344219</v>
      </c>
      <c r="C625" s="7" t="n">
        <v>222696</v>
      </c>
      <c r="D625" s="7" t="n">
        <v>222188</v>
      </c>
      <c r="E625" s="8" t="n">
        <v>39449</v>
      </c>
      <c r="F625" s="7" t="n">
        <v>5</v>
      </c>
      <c r="G625" s="7" t="inlineStr">
        <is>
          <t>This is the best buttercream frosting I have ever made or tried. I made it to top vanilla and cookies-and-cream cupcakes, and it was perfect. Lovely, and so easy to whip together! This is now my go-to vanilla frosting recipe for sure. Thanks for sharing!</t>
        </is>
      </c>
    </row>
    <row r="626">
      <c r="A626" s="7" t="n">
        <v>107798</v>
      </c>
      <c r="B626" s="7" t="n">
        <v>1016747</v>
      </c>
      <c r="C626" s="7" t="n">
        <v>2000461678</v>
      </c>
      <c r="D626" s="7" t="n">
        <v>349246</v>
      </c>
      <c r="E626" s="8" t="n">
        <v>42255</v>
      </c>
      <c r="F626" s="7" t="n">
        <v>4</v>
      </c>
      <c r="G626" s="7" t="inlineStr">
        <is>
          <t>It tastes much better if you switch out water for milk and only use 2 T of flour. Nonetheless, this recipe is perfect for anyone in need of a chocolate fix, and it is easily affordable to make on a college budget.</t>
        </is>
      </c>
    </row>
    <row r="627">
      <c r="A627" s="7" t="n">
        <v>104869</v>
      </c>
      <c r="B627" s="7" t="n">
        <v>401068</v>
      </c>
      <c r="C627" s="7" t="n">
        <v>378624</v>
      </c>
      <c r="D627" s="7" t="n">
        <v>222844</v>
      </c>
      <c r="E627" s="8" t="n">
        <v>39260</v>
      </c>
      <c r="F627" s="7" t="n">
        <v>5</v>
      </c>
      <c r="G627" s="7" t="inlineStr">
        <is>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is>
      </c>
    </row>
    <row r="628">
      <c r="A628" s="7" t="n">
        <v>95222</v>
      </c>
      <c r="B628" s="7" t="n">
        <v>907097</v>
      </c>
      <c r="C628" s="7" t="n">
        <v>426903</v>
      </c>
      <c r="D628" s="7" t="n">
        <v>10445</v>
      </c>
      <c r="E628" s="8" t="n">
        <v>39125</v>
      </c>
      <c r="F628" s="7" t="n">
        <v>4</v>
      </c>
      <c r="G628" s="7" t="inlineStr">
        <is>
          <t>Very tasty. Will try again.</t>
        </is>
      </c>
    </row>
    <row r="629">
      <c r="A629" s="7" t="n">
        <v>9952</v>
      </c>
      <c r="B629" s="7" t="n">
        <v>154203</v>
      </c>
      <c r="C629" s="7" t="n">
        <v>494867</v>
      </c>
      <c r="D629" s="7" t="n">
        <v>402393</v>
      </c>
      <c r="E629" s="8" t="n">
        <v>40160</v>
      </c>
      <c r="F629" s="7" t="n">
        <v>5</v>
      </c>
      <c r="G629" s="7" t="inlineStr">
        <is>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is>
      </c>
    </row>
    <row r="630">
      <c r="A630" s="7" t="n">
        <v>70186</v>
      </c>
      <c r="B630" s="7" t="n">
        <v>984254</v>
      </c>
      <c r="C630" s="7" t="n">
        <v>108043</v>
      </c>
      <c r="D630" s="7" t="n">
        <v>9272</v>
      </c>
      <c r="E630" s="8" t="n">
        <v>38354</v>
      </c>
      <c r="F630" s="7" t="n">
        <v>5</v>
      </c>
      <c r="G630" s="7" t="inlineStr">
        <is>
          <t>Thanks for the great recipe.  This is the absolute best salsa.  I will no longer buy salsa and have had several compliments from this recipe.  It has great flavor and is easy to make.  If you are going to can it, make sure you make plenty as it does not last long!!!</t>
        </is>
      </c>
    </row>
    <row r="631">
      <c r="A631" s="7" t="n">
        <v>70831</v>
      </c>
      <c r="B631" s="7" t="n">
        <v>1001548</v>
      </c>
      <c r="C631" s="7" t="n">
        <v>464080</v>
      </c>
      <c r="D631" s="7" t="n">
        <v>279907</v>
      </c>
      <c r="E631" s="8" t="n">
        <v>40322</v>
      </c>
      <c r="F631" s="7" t="n">
        <v>4</v>
      </c>
      <c r="G631" s="7" t="inlineStr">
        <is>
          <t>Very mild Indian flavors. . .great starter recipe for those wanting to try these types of dishes.  I made mine into kebobs and they were tender after being grilled.  Like I would have liked a bit more flavor to the chicken.  I allowed mine to marinate for over 24 hours.  Thanks for posting, Boomie!  Made for ZWT for Team SSaSSy.</t>
        </is>
      </c>
    </row>
    <row r="632">
      <c r="A632" s="7" t="n">
        <v>123839</v>
      </c>
      <c r="B632" s="7" t="n">
        <v>920703</v>
      </c>
      <c r="C632" s="7" t="n">
        <v>305531</v>
      </c>
      <c r="D632" s="7" t="n">
        <v>204803</v>
      </c>
      <c r="E632" s="8" t="n">
        <v>39393</v>
      </c>
      <c r="F632" s="7" t="n">
        <v>5</v>
      </c>
      <c r="G632" s="7" t="inlineStr">
        <is>
          <t>Very simple and so delicious. We really liked the balsamic vinegar tang to this. Thanks TraceyMae for sharing your Mom's recipe.</t>
        </is>
      </c>
    </row>
    <row r="633">
      <c r="A633" s="7" t="n">
        <v>91464</v>
      </c>
      <c r="B633" s="7" t="n">
        <v>723477</v>
      </c>
      <c r="C633" s="7" t="n">
        <v>226863</v>
      </c>
      <c r="D633" s="7" t="n">
        <v>263428</v>
      </c>
      <c r="E633" s="8" t="n">
        <v>40496</v>
      </c>
      <c r="F633" s="7" t="n">
        <v>5</v>
      </c>
      <c r="G633" s="7" t="inlineStr">
        <is>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is>
      </c>
    </row>
    <row r="634" ht="409.5" customHeight="1">
      <c r="A634" s="7" t="n">
        <v>7531</v>
      </c>
      <c r="B634" s="7" t="n">
        <v>468295</v>
      </c>
      <c r="C634" s="7" t="n">
        <v>616082</v>
      </c>
      <c r="D634" s="7" t="n">
        <v>138173</v>
      </c>
      <c r="E634" s="8" t="n">
        <v>39944</v>
      </c>
      <c r="F634" s="7" t="n">
        <v>5</v>
      </c>
      <c r="G634" s="9" t="inlineStr">
        <is>
          <t>OMG!
These are way crispier and tastier than any potato latke I've ever made. 
I used brown rice flour, 1/2 teaspoon of guar gum, 1 tablespoon of sugar, no green onion, cashew milk and an egg and they were absolute perfection.
I would think, if you're not successful with them, your pan isn't hot enough.
Thanks for sharing Kitten!</t>
        </is>
      </c>
    </row>
    <row r="635">
      <c r="A635" s="7" t="n">
        <v>58775</v>
      </c>
      <c r="B635" s="7" t="n">
        <v>795155</v>
      </c>
      <c r="C635" s="7" t="n">
        <v>20754</v>
      </c>
      <c r="D635" s="7" t="n">
        <v>67422</v>
      </c>
      <c r="E635" s="8" t="n">
        <v>37896</v>
      </c>
      <c r="F635" s="7" t="n">
        <v>5</v>
      </c>
      <c r="G635" s="7" t="inlineStr">
        <is>
          <t>This was absolutely delicious!  Everyone in this house loved it! Followed the recipe exactly and it was so easy.  Thanks so much Beka ; )</t>
        </is>
      </c>
    </row>
    <row r="636">
      <c r="A636" s="7" t="n">
        <v>120688</v>
      </c>
      <c r="B636" s="7" t="n">
        <v>263158</v>
      </c>
      <c r="C636" s="7" t="n">
        <v>129577</v>
      </c>
      <c r="D636" s="7" t="n">
        <v>91419</v>
      </c>
      <c r="E636" s="8" t="n">
        <v>38172</v>
      </c>
      <c r="F636" s="7" t="n">
        <v>4</v>
      </c>
      <c r="G636" s="7" t="inlineStr">
        <is>
          <t>This was a simple and delicious drink to make.  A great way to cool down during the summer.  Thank you for the recipe!</t>
        </is>
      </c>
    </row>
    <row r="637">
      <c r="A637" s="7" t="n">
        <v>57862</v>
      </c>
      <c r="B637" s="7" t="n">
        <v>440586</v>
      </c>
      <c r="C637" s="7" t="n">
        <v>280271</v>
      </c>
      <c r="D637" s="7" t="n">
        <v>249976</v>
      </c>
      <c r="E637" s="8" t="n">
        <v>39931</v>
      </c>
      <c r="F637" s="7" t="n">
        <v>5</v>
      </c>
      <c r="G637" s="7" t="inlineStr">
        <is>
          <t>Yep! DH wanted to know what the wonderful smell was. He really isn't a beer drinker although I did have some left over from a "Guy thing", which I used. He loved the sauce. I did simmer it till it thicken. About 2 hours. It has a wonderful spicy flavor with a bite. I served mine over grilled chicken breast and also along side of it. Yum! Thanks for posting. :)</t>
        </is>
      </c>
    </row>
    <row r="638">
      <c r="A638" s="7" t="n">
        <v>80053</v>
      </c>
      <c r="B638" s="7" t="n">
        <v>148538</v>
      </c>
      <c r="C638" s="7" t="n">
        <v>1365025</v>
      </c>
      <c r="D638" s="7" t="n">
        <v>58705</v>
      </c>
      <c r="E638" s="8" t="n">
        <v>40781</v>
      </c>
      <c r="F638" s="7" t="n">
        <v>4</v>
      </c>
      <c r="G638" s="7" t="inlineStr">
        <is>
          <t>Simple and fast. They look very nice in the jar can't wait to try them. Thanks for the recipe.</t>
        </is>
      </c>
    </row>
    <row r="639">
      <c r="A639" s="7" t="n">
        <v>18008</v>
      </c>
      <c r="B639" s="7" t="n">
        <v>730983</v>
      </c>
      <c r="C639" s="7" t="n">
        <v>140132</v>
      </c>
      <c r="D639" s="7" t="n">
        <v>206594</v>
      </c>
      <c r="E639" s="8" t="n">
        <v>41403</v>
      </c>
      <c r="F639" s="7" t="n">
        <v>5</v>
      </c>
      <c r="G639" s="7" t="inlineStr">
        <is>
          <t>These were really good.  I served them with a pork tenderloin and a veggie.  I didn&amp;#039;t put the cheese on top and they were still great.  Thank you for this delicious, yet easy recipe for potatoes.  its a keeper.</t>
        </is>
      </c>
    </row>
    <row r="640">
      <c r="A640" s="7" t="n">
        <v>59370</v>
      </c>
      <c r="B640" s="7" t="n">
        <v>848805</v>
      </c>
      <c r="C640" s="7" t="n">
        <v>76535</v>
      </c>
      <c r="D640" s="7" t="n">
        <v>73740</v>
      </c>
      <c r="E640" s="8" t="n">
        <v>39036</v>
      </c>
      <c r="F640" s="7" t="n">
        <v>4</v>
      </c>
      <c r="G640" s="7" t="inlineStr">
        <is>
          <t>Great for a quick chocolate fix. Went together very quickly.</t>
        </is>
      </c>
    </row>
    <row r="641">
      <c r="A641" s="7" t="n">
        <v>106241</v>
      </c>
      <c r="B641" s="7" t="n">
        <v>212256</v>
      </c>
      <c r="C641" s="7" t="n">
        <v>142335</v>
      </c>
      <c r="D641" s="7" t="n">
        <v>104354</v>
      </c>
      <c r="E641" s="8" t="n">
        <v>39629</v>
      </c>
      <c r="F641" s="7" t="n">
        <v>5</v>
      </c>
      <c r="G641" s="7" t="inlineStr">
        <is>
          <t>Great! I cooked the meat with chopped onion and garlic. I'll be making this again very soon! Delicious and very filling.</t>
        </is>
      </c>
    </row>
    <row r="642">
      <c r="A642" t="n">
        <v>64714</v>
      </c>
      <c r="B642" t="n">
        <v>831433</v>
      </c>
      <c r="C642" t="n">
        <v>416985</v>
      </c>
      <c r="D642" t="n">
        <v>191134</v>
      </c>
      <c r="E642" s="1" t="n">
        <v>40359</v>
      </c>
      <c r="F642" t="n">
        <v>4</v>
      </c>
      <c r="G642" t="inlineStr">
        <is>
          <t>I made mashed potatoes in the morning and put in the fridge to be used that night. This went together really easily and had  great texture, but my family did not care for the jarlsberg. made for ZWT6.</t>
        </is>
      </c>
    </row>
    <row r="643" ht="390" customHeight="1">
      <c r="A643" s="7" t="n">
        <v>7763</v>
      </c>
      <c r="B643" s="7" t="n">
        <v>520089</v>
      </c>
      <c r="C643" s="7" t="n">
        <v>72489</v>
      </c>
      <c r="D643" s="7" t="n">
        <v>64493</v>
      </c>
      <c r="E643" s="8" t="n">
        <v>38361</v>
      </c>
      <c r="F643" s="7" t="n">
        <v>5</v>
      </c>
      <c r="G643" s="9" t="inlineStr">
        <is>
          <t>Hey Mickie,_x000D_
This is a great dish.  I, too, have been making it for quite some time and I have to agree it smells terrific and can't get any easier.  I'm so glad to be able to give you a *5* star review.</t>
        </is>
      </c>
    </row>
    <row r="644">
      <c r="A644" s="7" t="n">
        <v>26807</v>
      </c>
      <c r="B644" s="7" t="n">
        <v>723644</v>
      </c>
      <c r="C644" s="7" t="n">
        <v>931322</v>
      </c>
      <c r="D644" s="7" t="n">
        <v>129857</v>
      </c>
      <c r="E644" s="8" t="n">
        <v>43172</v>
      </c>
      <c r="F644" s="7" t="n">
        <v>5</v>
      </c>
      <c r="G644" s="7" t="inlineStr">
        <is>
          <t>Frosting is made. Turned out very fluffy. This is a great taste for those who do not like the sugary sweet frostings. I think the color was a bit pale for chocolate and the chocolate flavor a bit weak. The recipe however, said not to add too much chocolate. I threw handfuls of chocolate jimmies on to fool the brain about the chocolate. We'll find out tonight if the chiffon cake undereath measures up to its frosting.</t>
        </is>
      </c>
    </row>
    <row r="645">
      <c r="A645" s="7" t="n">
        <v>103338</v>
      </c>
      <c r="B645" s="7" t="n">
        <v>858516</v>
      </c>
      <c r="C645" s="7" t="n">
        <v>347016</v>
      </c>
      <c r="D645" s="7" t="n">
        <v>121352</v>
      </c>
      <c r="E645" s="8" t="n">
        <v>38962</v>
      </c>
      <c r="F645" s="7" t="n">
        <v>5</v>
      </c>
      <c r="G645" s="7" t="inlineStr">
        <is>
          <t>This recipe was excellent!  Used 2 1/2 Cups of it instead of a box of yellow cake mix in Dump Cake &lt;a href="/16588"&gt;Dump Cake&lt;/a&gt;...turned out AWESOME!!  Thank you for posting this!</t>
        </is>
      </c>
    </row>
    <row r="646">
      <c r="A646" t="n">
        <v>97705</v>
      </c>
      <c r="B646" t="n">
        <v>938586</v>
      </c>
      <c r="C646" t="n">
        <v>307059</v>
      </c>
      <c r="D646" t="n">
        <v>82102</v>
      </c>
      <c r="E646" s="1" t="n">
        <v>41288</v>
      </c>
      <c r="F646" t="n">
        <v>5</v>
      </c>
      <c r="G646" t="inlineStr">
        <is>
          <t>Chicken was moist and flavorful.  The only thing I did different was to use paremesan cheese in place of some of the bread crumbs (I did not have enough bread crumbs.)  Thanks for sharing.</t>
        </is>
      </c>
    </row>
    <row r="647">
      <c r="A647" s="7" t="n">
        <v>40071</v>
      </c>
      <c r="B647" s="7" t="n">
        <v>1072706</v>
      </c>
      <c r="C647" s="7" t="n">
        <v>362919</v>
      </c>
      <c r="D647" s="7" t="n">
        <v>275656</v>
      </c>
      <c r="E647" s="8" t="n">
        <v>39475</v>
      </c>
      <c r="F647" s="7" t="n">
        <v>5</v>
      </c>
      <c r="G647" s="7" t="inlineStr">
        <is>
          <t>These are great! Only change i made was to use grated parmesan cheese and mix it in with all of the spices. They only took 35 minutes to be cooked through and crisp. I usually dont like fries with the skins still on but these just tasted so awesome i set that fact aside, the whole batch was devoured which always means five stars!</t>
        </is>
      </c>
    </row>
    <row r="648">
      <c r="A648" s="7" t="n">
        <v>23092</v>
      </c>
      <c r="B648" s="7" t="n">
        <v>1075636</v>
      </c>
      <c r="C648" s="7" t="n">
        <v>479050</v>
      </c>
      <c r="D648" s="7" t="n">
        <v>62130</v>
      </c>
      <c r="E648" s="8" t="n">
        <v>40724</v>
      </c>
      <c r="F648" s="7" t="n">
        <v>5</v>
      </c>
      <c r="G648" s="7" t="inlineStr">
        <is>
          <t>You can put these cookies together in minutes, the quickest easiest cookies that I know of. They have a perfect texture with just the right amount of crunch and have great flavor (but not too sweet). I keep cookie dough in my freezer and when I have unexpected company, I can make a pan full with no effort. I do cut down the almond extract to 1/4 teaspoon and use margarine instead of butter otherwise follow the recipe exactly as written.</t>
        </is>
      </c>
    </row>
    <row r="649">
      <c r="A649" s="7" t="n">
        <v>34117</v>
      </c>
      <c r="B649" s="7" t="n">
        <v>954673</v>
      </c>
      <c r="C649" s="7" t="n">
        <v>23119</v>
      </c>
      <c r="D649" s="7" t="n">
        <v>211648</v>
      </c>
      <c r="E649" s="8" t="n">
        <v>39994</v>
      </c>
      <c r="F649" s="7" t="n">
        <v>5</v>
      </c>
      <c r="G649" s="7" t="inlineStr">
        <is>
          <t>This was easy and tasty. I omitted the avocado, personal preference, but kept everything the same. Will make again. Made or Summer Salad Sensation.</t>
        </is>
      </c>
    </row>
    <row r="650">
      <c r="A650" s="7" t="n">
        <v>48270</v>
      </c>
      <c r="B650" s="7" t="n">
        <v>1008188</v>
      </c>
      <c r="C650" s="7" t="n">
        <v>68236</v>
      </c>
      <c r="D650" s="7" t="n">
        <v>56366</v>
      </c>
      <c r="E650" s="8" t="n">
        <v>38049</v>
      </c>
      <c r="F650" s="7" t="n">
        <v>5</v>
      </c>
      <c r="G650" s="7" t="inlineStr">
        <is>
          <t>My family loved this soup! Even Hubby who doesn't like soup at all. It was easy to make,seasoned just right and had just the right amount of noodles in it. Its also even better the next day.</t>
        </is>
      </c>
    </row>
    <row r="651">
      <c r="A651" s="7" t="n">
        <v>1959</v>
      </c>
      <c r="B651" s="7" t="n">
        <v>1086238</v>
      </c>
      <c r="C651" s="7" t="n">
        <v>205628</v>
      </c>
      <c r="D651" s="7" t="n">
        <v>95569</v>
      </c>
      <c r="E651" s="8" t="n">
        <v>41372</v>
      </c>
      <c r="F651" s="7" t="n">
        <v>5</v>
      </c>
      <c r="G651" s="7" t="inlineStr">
        <is>
          <t>Made this using Jack Daniels Original No 7 BBQ sauce an it was outstanding! Love that it is so easy and tastes great.</t>
        </is>
      </c>
    </row>
    <row r="652">
      <c r="A652" s="7" t="n">
        <v>2777</v>
      </c>
      <c r="B652" s="7" t="n">
        <v>60418</v>
      </c>
      <c r="C652" s="7" t="n">
        <v>51641</v>
      </c>
      <c r="D652" s="7" t="n">
        <v>64262</v>
      </c>
      <c r="E652" s="8" t="n">
        <v>37797</v>
      </c>
      <c r="F652" s="7" t="n">
        <v>4</v>
      </c>
      <c r="G652" s="7" t="inlineStr">
        <is>
          <t>What caught my interest in this recipe was the Raita using tomatoes and cucumbers.  Also, since many of the lamb chop recipes for the RSC Contest Spring 2003 were with curry type sauces, this one was a touch different.  The lamb chops were tasty and had that Indian Sub-Continent curry flavor.  Plus the Raita was a very, very good side dish and made this recipe a good one to make… for a quick, easy and tasty meal.</t>
        </is>
      </c>
    </row>
    <row r="653">
      <c r="A653" t="n">
        <v>99598</v>
      </c>
      <c r="B653" t="n">
        <v>1079311</v>
      </c>
      <c r="C653" t="n">
        <v>511488</v>
      </c>
      <c r="D653" t="n">
        <v>276445</v>
      </c>
      <c r="E653" s="1" t="n">
        <v>40342</v>
      </c>
      <c r="F653" t="n">
        <v>4</v>
      </c>
      <c r="G653" t="inlineStr">
        <is>
          <t>I didn't follow the recipe exactly as I didn't have yogurt on hand, so subbed sour cream.  I also added turmeric, cumin and garlic to the marinade.  Cooked very quickly and even my ultra-picky 5 year old ate every bite of the chicken.  Will definitely make again.</t>
        </is>
      </c>
    </row>
    <row r="654">
      <c r="A654" s="7" t="n">
        <v>99981</v>
      </c>
      <c r="B654" s="7" t="n">
        <v>818750</v>
      </c>
      <c r="C654" s="7" t="n">
        <v>129293</v>
      </c>
      <c r="D654" s="7" t="n">
        <v>93910</v>
      </c>
      <c r="E654" s="8" t="n">
        <v>38367</v>
      </c>
      <c r="F654" s="7" t="n">
        <v>5</v>
      </c>
      <c r="G654" s="7" t="inlineStr">
        <is>
          <t>Excellent muffins! Really, not much else to say that Barb Gertz didn't say. Just another heartfelt endorsement. The crystallized ginger is a must; without it, more spices and possibly more sugar would be necessary to make the muffins tastier.</t>
        </is>
      </c>
    </row>
    <row r="655">
      <c r="A655" s="7" t="n">
        <v>11270</v>
      </c>
      <c r="B655" s="7" t="n">
        <v>419771</v>
      </c>
      <c r="C655" s="7" t="n">
        <v>27452</v>
      </c>
      <c r="D655" s="7" t="n">
        <v>146022</v>
      </c>
      <c r="E655" s="8" t="n">
        <v>39465</v>
      </c>
      <c r="F655" s="7" t="n">
        <v>5</v>
      </c>
      <c r="G655" s="7" t="inlineStr">
        <is>
          <t>VERY GOOD ~ I was looking for a different appetizer to have watching my favorite football team (GO PATS) and we really enjoyed these.  Thanks for posting ~ This is a keeper :-)</t>
        </is>
      </c>
    </row>
    <row r="656">
      <c r="A656" s="7" t="n">
        <v>58601</v>
      </c>
      <c r="B656" s="7" t="n">
        <v>391873</v>
      </c>
      <c r="C656" s="7" t="n">
        <v>366914</v>
      </c>
      <c r="D656" s="7" t="n">
        <v>55609</v>
      </c>
      <c r="E656" s="8" t="n">
        <v>39568</v>
      </c>
      <c r="F656" s="7" t="n">
        <v>0</v>
      </c>
      <c r="G656" s="7" t="inlineStr">
        <is>
          <t>I have never made bagels and I have not tried this recipe yet but I will very soon! Just look at Heather U.'s pictures *drool* I wanted to address a comment/question that najwa had. She said hers came out wrinkled and old looking. I've been researching bagels all morning and found this on one of the recipes "Keeping the water boiling too hard or flipping too much will cause the surface of the bagels to crinkle later" I will follow with a star rating and review as soon as I make these tasty critters!!!</t>
        </is>
      </c>
    </row>
    <row r="657">
      <c r="A657" s="7" t="n">
        <v>92913</v>
      </c>
      <c r="B657" s="7" t="n">
        <v>348963</v>
      </c>
      <c r="C657" s="7" t="n">
        <v>2658888</v>
      </c>
      <c r="D657" s="7" t="n">
        <v>50719</v>
      </c>
      <c r="E657" s="8" t="n">
        <v>41476</v>
      </c>
      <c r="F657" s="7" t="n">
        <v>5</v>
      </c>
      <c r="G657" s="7" t="inlineStr">
        <is>
          <t>Yummy. I substituted Cinnamon/Sugar for the nutmeg/sugar topping.</t>
        </is>
      </c>
    </row>
    <row r="658">
      <c r="A658" s="7" t="n">
        <v>119022</v>
      </c>
      <c r="B658" s="7" t="n">
        <v>461193</v>
      </c>
      <c r="C658" s="7" t="n">
        <v>55380</v>
      </c>
      <c r="D658" s="7" t="n">
        <v>13890</v>
      </c>
      <c r="E658" s="8" t="n">
        <v>38046</v>
      </c>
      <c r="F658" s="7" t="n">
        <v>3</v>
      </c>
      <c r="G658" s="7" t="inlineStr">
        <is>
          <t>I was so excited to try this recipe, but it ended up being the one thing on the table that didn't go over so well (with a broad range of tastes represented). I thought maybe I'd made it wrong (still possible! :o) and tried it again with french bread cubes instead of bread crumbs; it was a bit better but still not quite 4-stars. I think I may yet try it one more time; it still sounds so good that I am very open (and hoping) to updating the review! :o)</t>
        </is>
      </c>
    </row>
    <row r="659">
      <c r="A659" s="7" t="n">
        <v>91299</v>
      </c>
      <c r="B659" s="7" t="n">
        <v>851882</v>
      </c>
      <c r="C659" s="7" t="n">
        <v>1256851</v>
      </c>
      <c r="D659" s="7" t="n">
        <v>22240</v>
      </c>
      <c r="E659" s="8" t="n">
        <v>40233</v>
      </c>
      <c r="F659" s="7" t="n">
        <v>5</v>
      </c>
      <c r="G659" s="7" t="inlineStr">
        <is>
          <t>Delicious! I used up some rock fish I had in the freezer. I had everything on hand except fresh coriander (most Californians call it cilantro). I didn't look carefully and thought the recipe called for ground coriander seed. I noticed before adding it, but decided it would be good anyway, so I added about a teaspoon at the same time I added tomatoes. I also added the lime juice that I used for marinating the fish. Yum!</t>
        </is>
      </c>
    </row>
    <row r="660">
      <c r="A660" t="n">
        <v>101489</v>
      </c>
      <c r="B660" t="n">
        <v>97034</v>
      </c>
      <c r="C660" t="n">
        <v>58104</v>
      </c>
      <c r="D660" t="n">
        <v>157590</v>
      </c>
      <c r="E660" s="1" t="n">
        <v>38845</v>
      </c>
      <c r="F660" t="n">
        <v>5</v>
      </c>
      <c r="G660" t="inlineStr">
        <is>
          <t>I made these stove top addind a diced bell pepper and hot pepper flakes. Served over rice and it was delish!</t>
        </is>
      </c>
    </row>
    <row r="661">
      <c r="A661" s="7" t="n">
        <v>17484</v>
      </c>
      <c r="B661" s="7" t="n">
        <v>1068312</v>
      </c>
      <c r="C661" s="7" t="n">
        <v>737261</v>
      </c>
      <c r="D661" s="7" t="n">
        <v>32142</v>
      </c>
      <c r="E661" s="8" t="n">
        <v>40116</v>
      </c>
      <c r="F661" s="7" t="n">
        <v>4</v>
      </c>
      <c r="G661" s="7" t="inlineStr">
        <is>
          <t>Really enjoyed this for dinner in a bread bowl. I doubled the amount of flour, but the soup still wasn't thick enough for a chowder, in my opinion. So I then added a little cornstartch/water mixture, and it was perfect. Also added quite a bit more salt and pepper, as well as some sausage.</t>
        </is>
      </c>
    </row>
    <row r="662">
      <c r="A662" s="7" t="n">
        <v>83361</v>
      </c>
      <c r="B662" s="7" t="n">
        <v>859604</v>
      </c>
      <c r="C662" s="7" t="n">
        <v>411018</v>
      </c>
      <c r="D662" s="7" t="n">
        <v>219100</v>
      </c>
      <c r="E662" s="8" t="n">
        <v>39462</v>
      </c>
      <c r="F662" s="7" t="n">
        <v>4</v>
      </c>
      <c r="G662" s="7" t="inlineStr">
        <is>
          <t>We love this cake!  I drained the pineapple the first time and it came out dry oops!  But followed the recipe to the T the next time and wow :)  Just like cracker barrel</t>
        </is>
      </c>
    </row>
    <row r="663">
      <c r="A663" s="7" t="n">
        <v>112870</v>
      </c>
      <c r="B663" s="7" t="n">
        <v>865621</v>
      </c>
      <c r="C663" s="7" t="n">
        <v>374516</v>
      </c>
      <c r="D663" s="7" t="n">
        <v>195881</v>
      </c>
      <c r="E663" s="8" t="n">
        <v>40171</v>
      </c>
      <c r="F663" s="7" t="n">
        <v>5</v>
      </c>
      <c r="G663" s="7" t="inlineStr">
        <is>
          <t>Fantastic recipe.  I cooked this uncovered for two hours and had no trouble with the consistency.  It ended up with about the same consistency of beef stroganoff and everyone raved about it.  We served this over wide egg noodles.  Thanks for this great recipe!</t>
        </is>
      </c>
    </row>
    <row r="664">
      <c r="A664" s="7" t="n">
        <v>100286</v>
      </c>
      <c r="B664" s="7" t="n">
        <v>987827</v>
      </c>
      <c r="C664" s="7" t="n">
        <v>31914</v>
      </c>
      <c r="D664" s="7" t="n">
        <v>43397</v>
      </c>
      <c r="E664" s="8" t="n">
        <v>37546</v>
      </c>
      <c r="F664" s="7" t="n">
        <v>5</v>
      </c>
      <c r="G664" s="7" t="inlineStr">
        <is>
          <t>This is an absolutely phenomenal recipe, I have made it many times and hubby would gobble the whole thing on his own.</t>
        </is>
      </c>
    </row>
    <row r="665">
      <c r="A665" s="7" t="n">
        <v>20600</v>
      </c>
      <c r="B665" s="7" t="n">
        <v>291132</v>
      </c>
      <c r="C665" s="7" t="n">
        <v>532289</v>
      </c>
      <c r="D665" s="7" t="n">
        <v>50767</v>
      </c>
      <c r="E665" s="8" t="n">
        <v>40072</v>
      </c>
      <c r="F665" s="7" t="n">
        <v>4</v>
      </c>
      <c r="G665" s="7" t="inlineStr">
        <is>
          <t>Made as directed and they were pretty good but a little bland for my taste.  Next time I'll add some salt, pepper, and garlic powder to the mixture.  Maybe some Parmesan Cheese?  Also, I was unsure if the croutons were measured before or after they were crushed.  I crushed 1/2 cup and only had enough to cover 4 packets so next time I'll crush a whole cup.  Note that doesnt' effect my review; I made a mistake a grabbed one Pillsbury can and one "generic".  Do not skimp on cost and purchase the generic.  Pillsbury was much better in taste, look, and was much easier to work with and held together better.</t>
        </is>
      </c>
    </row>
    <row r="666">
      <c r="A666" s="7" t="n">
        <v>107283</v>
      </c>
      <c r="B666" s="7" t="n">
        <v>1018061</v>
      </c>
      <c r="C666" s="7" t="n">
        <v>201581</v>
      </c>
      <c r="D666" s="7" t="n">
        <v>246519</v>
      </c>
      <c r="E666" s="8" t="n">
        <v>40362</v>
      </c>
      <c r="F666" s="7" t="n">
        <v>5</v>
      </c>
      <c r="G666" s="7" t="inlineStr">
        <is>
          <t>Made 1 serving using 2 tiny new potatoes cooked 7 minutes in the microwave and "smashed" with 1 T butter and 2 T Recipe #39350 and that's my new favorite way to eat baked taters.Served with Recipe #246848 and Recipe #157548. Thanks for posting Grace. Made for When It's Hot Tag Game.</t>
        </is>
      </c>
    </row>
    <row r="667">
      <c r="A667" s="7" t="n">
        <v>47660</v>
      </c>
      <c r="B667" s="7" t="n">
        <v>116324</v>
      </c>
      <c r="C667" s="7" t="n">
        <v>704950</v>
      </c>
      <c r="D667" s="7" t="n">
        <v>8757</v>
      </c>
      <c r="E667" s="8" t="n">
        <v>39745</v>
      </c>
      <c r="F667" s="7" t="n">
        <v>4</v>
      </c>
      <c r="G667" s="7" t="inlineStr">
        <is>
          <t>This is a good recipe for sugar cookies.  I like that it uses 1 stick of butter, makes it easy.  I used whole wheat pastry flour and usually I don't have a problem because that is made for pastry but this dough was really hard to roll out after I chilled it.  I chilled it overnight and it was really crumbly.  I got it put together and I rolled a little out at a time so that I could make cut-out cookies.  If you use whole wheat pastry flour like I did, you might need a little more liquid like some cream.  I should have added that but I just put in extra vanilla but that wasn't enough.  In the end, still baked up into shapes and that's what I wanted so thanks!!!</t>
        </is>
      </c>
    </row>
    <row r="668">
      <c r="A668" t="n">
        <v>4822</v>
      </c>
      <c r="B668" t="n">
        <v>796047</v>
      </c>
      <c r="C668" t="n">
        <v>198343</v>
      </c>
      <c r="D668" t="n">
        <v>390632</v>
      </c>
      <c r="E668" s="1" t="n">
        <v>40569</v>
      </c>
      <c r="F668" t="n">
        <v>5</v>
      </c>
      <c r="G668" t="inlineStr">
        <is>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is>
      </c>
    </row>
    <row r="669">
      <c r="A669" s="7" t="n">
        <v>21090</v>
      </c>
      <c r="B669" s="7" t="n">
        <v>441844</v>
      </c>
      <c r="C669" s="7" t="n">
        <v>2001168067</v>
      </c>
      <c r="D669" s="7" t="n">
        <v>66963</v>
      </c>
      <c r="E669" s="8" t="n">
        <v>42629</v>
      </c>
      <c r="F669" s="7" t="n">
        <v>5</v>
      </c>
      <c r="G669" s="7" t="inlineStr">
        <is>
          <t>&amp;quot;Love this! Recently tried the fresh pumpkin spice from RawSpiceBar to make a few fall inspired recipes and it was definitely worth trying!&amp;quot; https://rawspicebar.com/product/pumpkin-pie-spice/</t>
        </is>
      </c>
    </row>
    <row r="670">
      <c r="A670" s="7" t="n">
        <v>103113</v>
      </c>
      <c r="B670" s="7" t="n">
        <v>545765</v>
      </c>
      <c r="C670" s="7" t="n">
        <v>213139</v>
      </c>
      <c r="D670" s="7" t="n">
        <v>259288</v>
      </c>
      <c r="E670" s="8" t="n">
        <v>40248</v>
      </c>
      <c r="F670" s="7" t="n">
        <v>4</v>
      </c>
      <c r="G670" s="7" t="inlineStr">
        <is>
          <t>This was good but we all agreed that it was a 'bit' too gingery.  I will make it again but with less ginger and like one of the other reviewers, I will double the sauce and add some water chestnuts and other vegetables.  Made for Zaar Stars.</t>
        </is>
      </c>
    </row>
    <row r="671">
      <c r="A671" s="7" t="n">
        <v>48780</v>
      </c>
      <c r="B671" s="7" t="n">
        <v>284731</v>
      </c>
      <c r="C671" s="7" t="n">
        <v>865936</v>
      </c>
      <c r="D671" s="7" t="n">
        <v>349528</v>
      </c>
      <c r="E671" s="8" t="n">
        <v>40778</v>
      </c>
      <c r="F671" s="7" t="n">
        <v>4</v>
      </c>
      <c r="G671" s="7" t="inlineStr">
        <is>
          <t>This was really easy and came out looking quite beautiful.  It also gave me a chance to try out the chocolate whipped topping with vodka I found in the liquor store, heh heh heh.  Made for Aus/NZ Swap.</t>
        </is>
      </c>
    </row>
    <row r="672">
      <c r="A672" s="7" t="n">
        <v>52332</v>
      </c>
      <c r="B672" s="7" t="n">
        <v>170800</v>
      </c>
      <c r="C672" s="7" t="n">
        <v>363055</v>
      </c>
      <c r="D672" s="7" t="n">
        <v>114601</v>
      </c>
      <c r="E672" s="8" t="n">
        <v>39716</v>
      </c>
      <c r="F672" s="7" t="n">
        <v>5</v>
      </c>
      <c r="G672" s="7" t="inlineStr">
        <is>
          <t>I doubled the recipe and used home grown pears and raspberries.   Delicious!!!!!!</t>
        </is>
      </c>
    </row>
    <row r="673">
      <c r="A673" s="7" t="n">
        <v>9278</v>
      </c>
      <c r="B673" s="7" t="n">
        <v>254417</v>
      </c>
      <c r="C673" s="7" t="n">
        <v>174096</v>
      </c>
      <c r="D673" s="7" t="n">
        <v>248349</v>
      </c>
      <c r="E673" s="8" t="n">
        <v>40191</v>
      </c>
      <c r="F673" s="7" t="n">
        <v>5</v>
      </c>
      <c r="G673" s="7" t="inlineStr">
        <is>
          <t>Very good!  This was a very unique blend, and it was very enjoyable.  I loved the combo of ginger and cranberry.  Thanks for sharing!</t>
        </is>
      </c>
    </row>
    <row r="674">
      <c r="A674" s="7" t="n">
        <v>115948</v>
      </c>
      <c r="B674" s="7" t="n">
        <v>952007</v>
      </c>
      <c r="C674" s="7" t="n">
        <v>358095</v>
      </c>
      <c r="D674" s="7" t="n">
        <v>8899</v>
      </c>
      <c r="E674" s="8" t="n">
        <v>39623</v>
      </c>
      <c r="F674" s="7" t="n">
        <v>1</v>
      </c>
      <c r="G674" s="7" t="inlineStr">
        <is>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is>
      </c>
    </row>
    <row r="675">
      <c r="A675" s="7" t="n">
        <v>30692</v>
      </c>
      <c r="B675" s="7" t="n">
        <v>444345</v>
      </c>
      <c r="C675" s="7" t="n">
        <v>424680</v>
      </c>
      <c r="D675" s="7" t="n">
        <v>354751</v>
      </c>
      <c r="E675" s="8" t="n">
        <v>40314</v>
      </c>
      <c r="F675" s="7" t="n">
        <v>5</v>
      </c>
      <c r="G675" s="7" t="inlineStr">
        <is>
          <t>I actually didn't soften the sherbet much, but cut it into small chunks for better blending &amp; to had that frosty chill that we like so much in our smoothies! A wonderful blend of flavors &amp; certainly something I'd be happy to make again! [Recipenapped &amp; made in the Vegetarian/Vegan Recipe Swap 22]</t>
        </is>
      </c>
    </row>
    <row r="676">
      <c r="A676" s="7" t="n">
        <v>78693</v>
      </c>
      <c r="B676" s="7" t="n">
        <v>357020</v>
      </c>
      <c r="C676" s="7" t="n">
        <v>2394386</v>
      </c>
      <c r="D676" s="7" t="n">
        <v>28954</v>
      </c>
      <c r="E676" s="8" t="n">
        <v>41908</v>
      </c>
      <c r="F676" s="7" t="n">
        <v>5</v>
      </c>
      <c r="G676" s="7" t="inlineStr">
        <is>
          <t>I made mine with ends of a few loaves of whole wheat bread and 1/4 cup of brown sugar instead of 1/2 cup since I like things lightly sweet. Also added cinnamon and nutmeg. Next time, I will add some chopped apple and vanilla (forgotten in the rush to hurry up and get the dish in the microwave so I could eat), as other reviewers have done.</t>
        </is>
      </c>
    </row>
    <row r="677">
      <c r="A677" s="7" t="n">
        <v>61841</v>
      </c>
      <c r="B677" s="7" t="n">
        <v>804710</v>
      </c>
      <c r="C677" s="7" t="n">
        <v>195589</v>
      </c>
      <c r="D677" s="7" t="n">
        <v>61496</v>
      </c>
      <c r="E677" s="8" t="n">
        <v>40047</v>
      </c>
      <c r="F677" s="7" t="n">
        <v>5</v>
      </c>
      <c r="G677" s="7" t="inlineStr">
        <is>
          <t>This is a great recipe! I cut this recipe down for 2 so I don't use the chicken broth...and only a splash of wine. I also warm up the bread til it is nice and crusty. And I always use Sour Dough French Bread. Thanks for posting, Colby's Mom.</t>
        </is>
      </c>
    </row>
    <row r="678">
      <c r="A678" s="7" t="n">
        <v>47639</v>
      </c>
      <c r="B678" s="7" t="n">
        <v>571740</v>
      </c>
      <c r="C678" s="7" t="n">
        <v>409910</v>
      </c>
      <c r="D678" s="7" t="n">
        <v>228463</v>
      </c>
      <c r="E678" s="8" t="n">
        <v>39455</v>
      </c>
      <c r="F678" s="7" t="n">
        <v>4</v>
      </c>
      <c r="G678" s="7" t="inlineStr">
        <is>
          <t>Awesome chicken! The breasts turned out so moist and delicious. I only had about 1/8 cup of ranch dressing so I used  mayo to makeup the rest. I did Bake about 10 min longer because I used whole skin on Chicken breasts and served with Properly Prepared Spaghetti Squash # 162765. To use every bit of sauce.</t>
        </is>
      </c>
    </row>
    <row r="679">
      <c r="A679" s="7" t="n">
        <v>11558</v>
      </c>
      <c r="B679" s="7" t="n">
        <v>461959</v>
      </c>
      <c r="C679" s="7" t="n">
        <v>173579</v>
      </c>
      <c r="D679" s="7" t="n">
        <v>26820</v>
      </c>
      <c r="E679" s="8" t="n">
        <v>39896</v>
      </c>
      <c r="F679" s="7" t="n">
        <v>5</v>
      </c>
      <c r="G679" s="7" t="inlineStr">
        <is>
          <t>This was very good.  Nice and crunchy.  I  served ours with Papa John's dipping sauce.  Great!  Thanks for posting this simple recipe.</t>
        </is>
      </c>
    </row>
    <row r="680">
      <c r="A680" s="7" t="n">
        <v>28914</v>
      </c>
      <c r="B680" s="7" t="n">
        <v>743522</v>
      </c>
      <c r="C680" s="7" t="n">
        <v>498271</v>
      </c>
      <c r="D680" s="7" t="n">
        <v>282349</v>
      </c>
      <c r="E680" s="8" t="n">
        <v>39713</v>
      </c>
      <c r="F680" s="7" t="n">
        <v>5</v>
      </c>
      <c r="G680" s="7" t="inlineStr">
        <is>
          <t>This is a wonderful and versatile dish that would go well with many types of meat. I served mine with baked chicken and it was a great match. This was very easy to make with ingredients I always have on hand. Thanks for sharing your recipe!  ETA:  I used the leftovers to make fried rice for lunch the next day - just stir-fried it with a little butter and some soy sauce - it was terrific!</t>
        </is>
      </c>
    </row>
    <row r="681">
      <c r="A681" s="7" t="n">
        <v>56104</v>
      </c>
      <c r="B681" s="7" t="n">
        <v>138346</v>
      </c>
      <c r="C681" s="7" t="n">
        <v>534590</v>
      </c>
      <c r="D681" s="7" t="n">
        <v>240405</v>
      </c>
      <c r="E681" s="8" t="n">
        <v>39284</v>
      </c>
      <c r="F681" s="7" t="n">
        <v>4</v>
      </c>
      <c r="G681" s="7" t="inlineStr">
        <is>
          <t>Easy to make and my daughter "loved it".</t>
        </is>
      </c>
    </row>
    <row r="682">
      <c r="A682" s="7" t="n">
        <v>102986</v>
      </c>
      <c r="B682" s="7" t="n">
        <v>48034</v>
      </c>
      <c r="C682" s="7" t="n">
        <v>266635</v>
      </c>
      <c r="D682" s="7" t="n">
        <v>459824</v>
      </c>
      <c r="E682" s="8" t="n">
        <v>40852</v>
      </c>
      <c r="F682" s="7" t="n">
        <v>5</v>
      </c>
      <c r="G682" s="7" t="inlineStr">
        <is>
          <t>So Good!!!!  We loved these nuts -- they were not too sweet; just the right amount of flavor.  I cooked these nuts at 325 degrees and only left them in about 10 minutes the first time as my oven cooks a little too hot.  These nuts will make a great addition to my holiday table and any time I want a great snack.  Made for Everyday is a Holiday tag, November, 2011.</t>
        </is>
      </c>
    </row>
    <row r="683">
      <c r="A683" s="7" t="n">
        <v>71889</v>
      </c>
      <c r="B683" s="7" t="n">
        <v>41795</v>
      </c>
      <c r="C683" s="7" t="n">
        <v>2787560</v>
      </c>
      <c r="D683" s="7" t="n">
        <v>472234</v>
      </c>
      <c r="E683" s="8" t="n">
        <v>41386</v>
      </c>
      <c r="F683" s="7" t="n">
        <v>2</v>
      </c>
      <c r="G683" s="7" t="inlineStr">
        <is>
          <t>Way too much Splenda sweetner. I used a fraction figuring I&amp;#039;d adjust as i go because it sounded like a lot. I did not add any more and has strong Splenda aftertaste. Would use much less next time, less than a 1/4 cup, may even try Monk fruit instead which less of an aftertaste.</t>
        </is>
      </c>
    </row>
    <row r="684">
      <c r="A684" s="7" t="n">
        <v>97995</v>
      </c>
      <c r="B684" s="7" t="n">
        <v>100511</v>
      </c>
      <c r="C684" s="7" t="n">
        <v>2428393</v>
      </c>
      <c r="D684" s="7" t="n">
        <v>122843</v>
      </c>
      <c r="E684" s="8" t="n">
        <v>41625</v>
      </c>
      <c r="F684" s="7" t="n">
        <v>5</v>
      </c>
      <c r="G684" s="7" t="inlineStr">
        <is>
          <t>Curry is definitely one of my favorite seasonings! I love trying new recipes and this one caught my eye. The only change I made was adding a little chili powder instead of an actual chili. Delicious with couscous!</t>
        </is>
      </c>
    </row>
    <row r="685">
      <c r="A685" s="7" t="n">
        <v>81346</v>
      </c>
      <c r="B685" s="7" t="n">
        <v>14993</v>
      </c>
      <c r="C685" s="7" t="n">
        <v>461834</v>
      </c>
      <c r="D685" s="7" t="n">
        <v>284347</v>
      </c>
      <c r="E685" s="8" t="n">
        <v>41561</v>
      </c>
      <c r="F685" s="7" t="n">
        <v>5</v>
      </c>
      <c r="G685" s="7" t="inlineStr">
        <is>
          <t>Great quick and tasty omelet!!  I must admit, I wanted to sub fresh minced onion, but then that defeats the ease of the recipe, so I made it as written.  Was worried that the dried minced onion would be still crunchy with only cooking a short time in an omelet, but no worries, it was soft and the flavors were great.  I served this with sourdough toast and some orange slices for a wonderful lunch!!  Congrats again on your win in the football pool!!!</t>
        </is>
      </c>
    </row>
    <row r="686">
      <c r="A686" s="7" t="n">
        <v>59077</v>
      </c>
      <c r="B686" s="7" t="n">
        <v>277812</v>
      </c>
      <c r="C686" s="7" t="n">
        <v>145880</v>
      </c>
      <c r="D686" s="7" t="n">
        <v>135366</v>
      </c>
      <c r="E686" s="8" t="n">
        <v>39470</v>
      </c>
      <c r="F686" s="7" t="n">
        <v>5</v>
      </c>
      <c r="G686" s="7" t="inlineStr">
        <is>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is>
      </c>
    </row>
    <row r="687">
      <c r="A687" s="7" t="n">
        <v>41546</v>
      </c>
      <c r="B687" s="7" t="n">
        <v>408599</v>
      </c>
      <c r="C687" s="7" t="n">
        <v>1802815011</v>
      </c>
      <c r="D687" s="7" t="n">
        <v>199275</v>
      </c>
      <c r="E687" s="8" t="n">
        <v>41878</v>
      </c>
      <c r="F687" s="7" t="n">
        <v>5</v>
      </c>
      <c r="G687" s="7" t="inlineStr">
        <is>
          <t>Yummy ! Came out great - nice alternative to frying. We had this dish with Tater tots and Asperagus. Will definitely repeat.</t>
        </is>
      </c>
    </row>
    <row r="688">
      <c r="A688" s="7" t="n">
        <v>62441</v>
      </c>
      <c r="B688" s="7" t="n">
        <v>273295</v>
      </c>
      <c r="C688" s="7" t="n">
        <v>386585</v>
      </c>
      <c r="D688" s="7" t="n">
        <v>208120</v>
      </c>
      <c r="E688" s="8" t="n">
        <v>39794</v>
      </c>
      <c r="F688" s="7" t="n">
        <v>5</v>
      </c>
      <c r="G688" s="7" t="inlineStr">
        <is>
          <t>Everything may be prepackaged and or premade, but it's how you put it together that counts!  The precooking of the crust with some olive oil guarantees a nice crispy crust, which worked out great for the Boboli crust I bought.  The measurements are the perfect ratio of sauce to cheese.  I also threw on some slivered fresh basil.  Thank you for turning the mundane into the sublime!!!!</t>
        </is>
      </c>
    </row>
    <row r="689">
      <c r="A689" s="7" t="n">
        <v>7807</v>
      </c>
      <c r="B689" s="7" t="n">
        <v>164956</v>
      </c>
      <c r="C689" s="7" t="n">
        <v>327600</v>
      </c>
      <c r="D689" s="7" t="n">
        <v>337490</v>
      </c>
      <c r="E689" s="8" t="n">
        <v>39977</v>
      </c>
      <c r="F689" s="7" t="n">
        <v>4</v>
      </c>
      <c r="G689" s="7" t="inlineStr">
        <is>
          <t>I'm glad this recipe is here ~ saves me from typing it out!  I use cream of mushroom soup instead of cream of chicken, but other than that, this recipe is one of my husband's favourite ways to eat potatoes.</t>
        </is>
      </c>
    </row>
    <row r="690">
      <c r="A690" s="7" t="n">
        <v>117052</v>
      </c>
      <c r="B690" s="7" t="n">
        <v>461905</v>
      </c>
      <c r="C690" s="7" t="n">
        <v>55017</v>
      </c>
      <c r="D690" s="7" t="n">
        <v>26820</v>
      </c>
      <c r="E690" s="8" t="n">
        <v>39001</v>
      </c>
      <c r="F690" s="7" t="n">
        <v>5</v>
      </c>
      <c r="G690" s="7" t="inlineStr">
        <is>
          <t>These were a big hit!!  Thanks!  Followed the directions exactly, served with pizza sauce.  I will definetly be making them again!</t>
        </is>
      </c>
    </row>
    <row r="691">
      <c r="A691" s="7" t="n">
        <v>4994</v>
      </c>
      <c r="B691" s="7" t="n">
        <v>348320</v>
      </c>
      <c r="C691" s="7" t="n">
        <v>89831</v>
      </c>
      <c r="D691" s="7" t="n">
        <v>50719</v>
      </c>
      <c r="E691" s="8" t="n">
        <v>38168</v>
      </c>
      <c r="F691" s="7" t="n">
        <v>5</v>
      </c>
      <c r="G691" s="7" t="inlineStr">
        <is>
          <t>Well,what more can I add that already hasn't been said...these were just amazing muffins. I made mine in jumbo muffin tins, and added 1 tsp of pure almond extract instead of vanilla, I think the almond goes better with blueberries than vanilla...I made them with half and half cream instead of milk, and used frozen (semi-thawed) blueberries, I let them thaw a bit so the muffins would have a nice blueberry streak in the middle. These muffins had a wonderful texture and taste, I will be definately be making them again, thanks so much for sharing....Kittencal:)</t>
        </is>
      </c>
    </row>
    <row r="692">
      <c r="A692" s="7" t="n">
        <v>55985</v>
      </c>
      <c r="B692" s="7" t="n">
        <v>762871</v>
      </c>
      <c r="C692" s="7" t="n">
        <v>913244</v>
      </c>
      <c r="D692" s="7" t="n">
        <v>253599</v>
      </c>
      <c r="E692" s="8" t="n">
        <v>39668</v>
      </c>
      <c r="F692" s="7" t="n">
        <v>4</v>
      </c>
      <c r="G692" s="7" t="inlineStr">
        <is>
          <t>Overall, very good flavor.  I did 4 hours on high in the slow cooker and I think the chicken was a bit overdone.  I plan to start checking it at 3 hours or so next time.</t>
        </is>
      </c>
    </row>
    <row r="693">
      <c r="A693" s="7" t="n">
        <v>64713</v>
      </c>
      <c r="B693" s="7" t="n">
        <v>753733</v>
      </c>
      <c r="C693" s="7" t="n">
        <v>490142</v>
      </c>
      <c r="D693" s="7" t="n">
        <v>276948</v>
      </c>
      <c r="E693" s="8" t="n">
        <v>39720</v>
      </c>
      <c r="F693" s="7" t="n">
        <v>4</v>
      </c>
      <c r="G693" s="7" t="inlineStr">
        <is>
          <t>Great low-fat version of one of my oh-so-naughty favorites!  Very yummy and very easy recipe! Perfect for a busy weekday morning!  Made as directed, but next time I will probably skip the addition of water to the egg beaters - they were a little too "mushy" for my taste. Thanks, Lori! Will be making again soon! Reviewed for PAC Fall 2008.</t>
        </is>
      </c>
    </row>
    <row r="694">
      <c r="A694" s="7" t="n">
        <v>58421</v>
      </c>
      <c r="B694" s="7" t="n">
        <v>759764</v>
      </c>
      <c r="C694" s="7" t="n">
        <v>199848</v>
      </c>
      <c r="D694" s="7" t="n">
        <v>166483</v>
      </c>
      <c r="E694" s="8" t="n">
        <v>39202</v>
      </c>
      <c r="F694" s="7" t="n">
        <v>4</v>
      </c>
      <c r="G694" s="7" t="inlineStr">
        <is>
          <t>An all-in-one supper in no time! Gotta love that! I used cream of broccoli soup, since it seemed to fir the theme of the meal better than cream of chicken. It was a bit dry, so I think milk should be added. I added a bit of chopped onion, too for extra flavor. Cheese would be a nice addition. I'll get lots of miles out of this recipe as my kids get bigger and my days get busier! Thanx for sharing it!</t>
        </is>
      </c>
    </row>
    <row r="695">
      <c r="A695" s="7" t="n">
        <v>74845</v>
      </c>
      <c r="B695" s="7" t="n">
        <v>846776</v>
      </c>
      <c r="C695" s="7" t="n">
        <v>189423</v>
      </c>
      <c r="D695" s="7" t="n">
        <v>58827</v>
      </c>
      <c r="E695" s="8" t="n">
        <v>40276</v>
      </c>
      <c r="F695" s="7" t="n">
        <v>1</v>
      </c>
      <c r="G695" s="7" t="inlineStr">
        <is>
          <t>I made this salad for our Christmas dinner. It makes for a lovely presentation. I would suggest to anyone making the salad, to sample your celery before using it. The fresh celery I purchased was extremely bitter tasting and it majorly destroyed the flavor of the salad. My family didn't care for the flavor of the fresh cranberries-maybe we're just not cranberry lovers. This was the first time I ever made a salad that no one would eat.</t>
        </is>
      </c>
    </row>
    <row r="696">
      <c r="A696" s="7" t="n">
        <v>58640</v>
      </c>
      <c r="B696" s="7" t="n">
        <v>379642</v>
      </c>
      <c r="C696" s="7" t="n">
        <v>73138</v>
      </c>
      <c r="D696" s="7" t="n">
        <v>73011</v>
      </c>
      <c r="E696" s="8" t="n">
        <v>38009</v>
      </c>
      <c r="F696" s="7" t="n">
        <v>5</v>
      </c>
      <c r="G696" s="7" t="inlineStr">
        <is>
          <t>We ran out of ham when making these and substituted thin-sliced beef from the deli--made for a very easy Saturday night supper, served with bean and ham soup.</t>
        </is>
      </c>
    </row>
    <row r="697">
      <c r="A697" s="7" t="n">
        <v>121977</v>
      </c>
      <c r="B697" s="7" t="n">
        <v>14553</v>
      </c>
      <c r="C697" s="7" t="n">
        <v>115178</v>
      </c>
      <c r="D697" s="7" t="n">
        <v>123835</v>
      </c>
      <c r="E697" s="8" t="n">
        <v>39805</v>
      </c>
      <c r="F697" s="7" t="n">
        <v>5</v>
      </c>
      <c r="G697" s="7" t="inlineStr">
        <is>
          <t>Awesome...I made a huge tray for a family party...I used refried beans, and homemade salsa. I didnt have green onions, but I really wished I did for I know it would have really enhance it. I will definately make this again.Thanks.</t>
        </is>
      </c>
    </row>
    <row r="698">
      <c r="A698" s="7" t="n">
        <v>40457</v>
      </c>
      <c r="B698" s="7" t="n">
        <v>1082059</v>
      </c>
      <c r="C698" s="7" t="n">
        <v>166475</v>
      </c>
      <c r="D698" s="7" t="n">
        <v>127780</v>
      </c>
      <c r="E698" s="8" t="n">
        <v>38581</v>
      </c>
      <c r="F698" s="7" t="n">
        <v>4</v>
      </c>
      <c r="G698" s="7" t="inlineStr">
        <is>
          <t>This is a nice, simple dish.  I put in two cans of beans, and left the juice in them, and substituted Couscous for the rice, since it's what I had, and put in 4 more oz. of spinach.  Very good.  I think next time I might put in a bit of sugar, to balance the garlic and salty chicken stock.  Oh, I just realized I forgot the PARM!  Well, drat.  :)</t>
        </is>
      </c>
    </row>
    <row r="699">
      <c r="A699" t="n">
        <v>55054</v>
      </c>
      <c r="B699" t="n">
        <v>514472</v>
      </c>
      <c r="C699" t="n">
        <v>560491</v>
      </c>
      <c r="D699" t="n">
        <v>437455</v>
      </c>
      <c r="E699" s="1" t="n">
        <v>40832</v>
      </c>
      <c r="F699" t="n">
        <v>5</v>
      </c>
      <c r="G699" t="inlineStr">
        <is>
          <t>Very good and fall-like.  I would decrease the cloves by half (personal preference) but otherwise it was great.  Pork came out tender and the veggies were perfectly cooked, not mushy at all.  Made for PAC Fall 2011.</t>
        </is>
      </c>
    </row>
    <row r="700">
      <c r="A700" s="7" t="n">
        <v>45701</v>
      </c>
      <c r="B700" s="7" t="n">
        <v>783760</v>
      </c>
      <c r="C700" s="7" t="n">
        <v>2000705571</v>
      </c>
      <c r="D700" s="7" t="n">
        <v>391012</v>
      </c>
      <c r="E700" s="8" t="n">
        <v>42332</v>
      </c>
      <c r="F700" s="7" t="n">
        <v>4</v>
      </c>
      <c r="G700" s="7" t="inlineStr">
        <is>
          <t>I used to work at Unos, and this was one of my favorite dishes. But frankly you don&amp;#039;t need to go through this much work to make it. Simply add green Tobasco to alfredo sauce and you are done--that&amp;#039;s how they made it when I worked there, which was a ways back.</t>
        </is>
      </c>
    </row>
    <row r="701">
      <c r="A701" s="7" t="n">
        <v>43695</v>
      </c>
      <c r="B701" s="7" t="n">
        <v>658735</v>
      </c>
      <c r="C701" s="7" t="n">
        <v>956843</v>
      </c>
      <c r="D701" s="7" t="n">
        <v>64533</v>
      </c>
      <c r="E701" s="8" t="n">
        <v>39823</v>
      </c>
      <c r="F701" s="7" t="n">
        <v>5</v>
      </c>
      <c r="G701" s="7" t="inlineStr">
        <is>
          <t>OMG, this is so good! I used 8th continent light original soymilk (3/4 cup)  3 splenda packets, and 1/2 tsp vanilla. This is probably much more like a milkshake if you use the regular milk, but for only 40 calories this is great. Thanks for posting!!</t>
        </is>
      </c>
    </row>
    <row r="702">
      <c r="A702" s="7" t="n">
        <v>41628</v>
      </c>
      <c r="B702" s="7" t="n">
        <v>528726</v>
      </c>
      <c r="C702" s="7" t="n">
        <v>70969</v>
      </c>
      <c r="D702" s="7" t="n">
        <v>137010</v>
      </c>
      <c r="E702" s="8" t="n">
        <v>39067</v>
      </c>
      <c r="F702" s="7" t="n">
        <v>5</v>
      </c>
      <c r="G702" s="7" t="inlineStr">
        <is>
          <t>Thank you for posting.  i also thought that the 1/2 cup butter seemed to leave the the crust dry, but i trusted you and just did what you said.....i used yellow cake mix and thought it was wonderful!  So try that sometime for a change....Yummo! as Rachel Ray would say.  i also added a little heath candy pieces.  Very good.  Happy Cooking!</t>
        </is>
      </c>
    </row>
    <row r="703">
      <c r="A703" s="7" t="n">
        <v>70937</v>
      </c>
      <c r="B703" s="7" t="n">
        <v>978483</v>
      </c>
      <c r="C703" s="7" t="n">
        <v>136511</v>
      </c>
      <c r="D703" s="7" t="n">
        <v>104975</v>
      </c>
      <c r="E703" s="8" t="n">
        <v>40178</v>
      </c>
      <c r="F703" s="7" t="n">
        <v>5</v>
      </c>
      <c r="G703" s="7" t="inlineStr">
        <is>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is>
      </c>
    </row>
    <row r="704">
      <c r="A704" s="7" t="n">
        <v>54907</v>
      </c>
      <c r="B704" s="7" t="n">
        <v>355193</v>
      </c>
      <c r="C704" s="7" t="n">
        <v>59780</v>
      </c>
      <c r="D704" s="7" t="n">
        <v>92096</v>
      </c>
      <c r="E704" s="8" t="n">
        <v>38177</v>
      </c>
      <c r="F704" s="7" t="n">
        <v>4</v>
      </c>
      <c r="G704" s="7" t="inlineStr">
        <is>
          <t>I made this sauce to accompany your meatball recipe. I threw everything into my crockpot and cooked it on high for 4 and a half hours. I was feeding a crowd and everyone enjoyed the sauce but my family prefers the one that I usually make;I guess old habits are are to change. I did love the fact that I keep most of these ingredients as staples in my house and it is easy to whip up this recipe. I also love how cheap this sauce is and how much better it tastes than store bought. I'm sure without including the items that I usually have on hand, the cost for the sauce was less than $5.00. So if I add the cost of the meatball...I made a spaghetti,meatballs &amp; sauce dinner for less than $1.00 a serving--you can't beat that! Thanks for posting!</t>
        </is>
      </c>
    </row>
    <row r="705">
      <c r="A705" s="7" t="n">
        <v>7189</v>
      </c>
      <c r="B705" s="7" t="n">
        <v>940046</v>
      </c>
      <c r="C705" s="7" t="n">
        <v>732581</v>
      </c>
      <c r="D705" s="7" t="n">
        <v>47195</v>
      </c>
      <c r="E705" s="8" t="n">
        <v>39790</v>
      </c>
      <c r="F705" s="7" t="n">
        <v>4</v>
      </c>
      <c r="G705" s="7" t="inlineStr">
        <is>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is>
      </c>
    </row>
    <row r="706">
      <c r="A706" s="7" t="n">
        <v>51341</v>
      </c>
      <c r="B706" s="7" t="n">
        <v>95989</v>
      </c>
      <c r="C706" s="7" t="n">
        <v>2694236</v>
      </c>
      <c r="D706" s="7" t="n">
        <v>126623</v>
      </c>
      <c r="E706" s="8" t="n">
        <v>41319</v>
      </c>
      <c r="F706" s="7" t="n">
        <v>5</v>
      </c>
      <c r="G706" s="7" t="inlineStr">
        <is>
          <t>This has always been one of our " go to" meals in the winter. Ive used real potatoes, but the easiest, and what I usually do is canned diced or sliced potatoes. Saves so much time and the taste is just not that much different to us.  I also add a can or two of french green beans and diced onion to make it a one dish meal. For the sausage I usually use the Eckrich skinless Angus sausages ( like Polish sausage).or the Eckrich Jalapeno Cheese sausages if we want something with a little heat. Just alot of ways you can do this one and theyre all wonderful!</t>
        </is>
      </c>
    </row>
    <row r="707">
      <c r="A707" s="7" t="n">
        <v>59319</v>
      </c>
      <c r="B707" s="7" t="n">
        <v>801400</v>
      </c>
      <c r="C707" s="7" t="n">
        <v>350812</v>
      </c>
      <c r="D707" s="7" t="n">
        <v>100014</v>
      </c>
      <c r="E707" s="8" t="n">
        <v>39791</v>
      </c>
      <c r="F707" s="7" t="n">
        <v>4</v>
      </c>
      <c r="G707" s="7" t="inlineStr">
        <is>
          <t>This had a really nice flavor - thanks so much for sharing!  I liked it a lot!  Not bowled over loved it, but really liked it.  It was simple, good, &amp; different.  Would probably be nice to entertain company with.</t>
        </is>
      </c>
    </row>
    <row r="708">
      <c r="A708" s="7" t="n">
        <v>106334</v>
      </c>
      <c r="B708" s="7" t="n">
        <v>204981</v>
      </c>
      <c r="C708" s="7" t="n">
        <v>247473</v>
      </c>
      <c r="D708" s="7" t="n">
        <v>78938</v>
      </c>
      <c r="E708" s="8" t="n">
        <v>40038</v>
      </c>
      <c r="F708" s="7" t="n">
        <v>5</v>
      </c>
      <c r="G708" s="7" t="inlineStr">
        <is>
          <t>Great recipe, just like my Southern nanny used to make from Kentucky!  It's the bacon and onion that make this recipe, thank you Paula :)</t>
        </is>
      </c>
    </row>
    <row r="709">
      <c r="A709" s="7" t="n">
        <v>89021</v>
      </c>
      <c r="B709" s="7" t="n">
        <v>154582</v>
      </c>
      <c r="C709" s="7" t="n">
        <v>464327</v>
      </c>
      <c r="D709" s="7" t="n">
        <v>122139</v>
      </c>
      <c r="E709" s="8" t="n">
        <v>39186</v>
      </c>
      <c r="F709" s="7" t="n">
        <v>5</v>
      </c>
      <c r="G709" s="7" t="inlineStr">
        <is>
          <t>The BEST white cake i have ever made. I didn't know if it would turn out white after i used yellow crisco, but it still did. I got soo many compliments on it! And i also added a little bit of milk with some cocoa powder for some chocolate cake and that was really good also.</t>
        </is>
      </c>
    </row>
    <row r="710">
      <c r="A710" s="7" t="n">
        <v>39539</v>
      </c>
      <c r="B710" s="7" t="n">
        <v>1020200</v>
      </c>
      <c r="C710" s="7" t="n">
        <v>278690</v>
      </c>
      <c r="D710" s="7" t="n">
        <v>49591</v>
      </c>
      <c r="E710" s="8" t="n">
        <v>40914</v>
      </c>
      <c r="F710" s="7" t="n">
        <v>5</v>
      </c>
      <c r="G710" s="7" t="inlineStr">
        <is>
          <t>They aren't even cool yet but so far, couldn't be happier! This is definitely what I was looking for - couldn't even find it on the M&amp;Ms website! Thank you!</t>
        </is>
      </c>
    </row>
    <row r="711" ht="409.5" customHeight="1">
      <c r="A711" s="7" t="n">
        <v>51302</v>
      </c>
      <c r="B711" s="7" t="n">
        <v>313935</v>
      </c>
      <c r="C711" s="7" t="n">
        <v>264339</v>
      </c>
      <c r="D711" s="7" t="n">
        <v>104242</v>
      </c>
      <c r="E711" s="8" t="n">
        <v>38997</v>
      </c>
      <c r="F711" s="7" t="n">
        <v>5</v>
      </c>
      <c r="G711" s="9" t="inlineStr">
        <is>
          <t>had my 11 yr. old great neice over for lunch and this is what we made._x000D_
we both LOVED them_x000D_
the croutons we used we made 1st_x000D_
using &lt;a href="/110930"&gt;Microwave Croutons&lt;/a&gt;_x000D_
very very good_x000D_
she did it all herself while I watched and sipped coffee.._x000D_
she printed and took home the recipe for both_x000D_
BUT wants to come back next Saturday to make these again_x000D_
thanks for a really great recipe we/I will make these MANY times I am sure</t>
        </is>
      </c>
    </row>
    <row r="712">
      <c r="A712" s="7" t="n">
        <v>32798</v>
      </c>
      <c r="B712" s="7" t="n">
        <v>138397</v>
      </c>
      <c r="C712" s="7" t="n">
        <v>27381</v>
      </c>
      <c r="D712" s="7" t="n">
        <v>15195</v>
      </c>
      <c r="E712" s="8" t="n">
        <v>37508</v>
      </c>
      <c r="F712" s="7" t="n">
        <v>5</v>
      </c>
      <c r="G712" s="7" t="inlineStr">
        <is>
          <t>This is so unbelieveable delicious - we just couldn't believe our tastebuds! I made this for dinner tonight to serve alongside our grilled chicken. There was a few gray areas for me about the measurements of the ingredients so I just wanted to clarify that I used two 15 ounce cans of hominy and one 4 ounce can of diced mild green chiles. I seasoned with about 3/4 teaspoon salt and 1/4 teaspoon black pepper and the taste was really out of this world. It was rich and cheesy. My only comment about the finished product is that it was runny. I did drain the hominy and the chiles really well, too. Next time I might try adding a little rice or maybe even an egg as a binder. It did thicken a bit after it cooled, though. Great recipe! Oh - and if you do make this for a pot luck, I might suggest that you double the recipe. It made one 9" square casserole for me, I consider that about 6 servings.</t>
        </is>
      </c>
    </row>
    <row r="713">
      <c r="A713" s="7" t="n">
        <v>121846</v>
      </c>
      <c r="B713" s="7" t="n">
        <v>879573</v>
      </c>
      <c r="C713" s="7" t="n">
        <v>2294826</v>
      </c>
      <c r="D713" s="7" t="n">
        <v>420834</v>
      </c>
      <c r="E713" s="8" t="n">
        <v>41075</v>
      </c>
      <c r="F713" s="7" t="n">
        <v>4</v>
      </c>
      <c r="G713" s="7" t="inlineStr">
        <is>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is>
      </c>
    </row>
    <row r="714">
      <c r="A714" s="7" t="n">
        <v>26365</v>
      </c>
      <c r="B714" s="7" t="n">
        <v>889144</v>
      </c>
      <c r="C714" s="7" t="n">
        <v>1200732</v>
      </c>
      <c r="D714" s="7" t="n">
        <v>383224</v>
      </c>
      <c r="E714" s="8" t="n">
        <v>40808</v>
      </c>
      <c r="F714" s="7" t="n">
        <v>4</v>
      </c>
      <c r="G714" s="7" t="inlineStr">
        <is>
          <t>I made this today it taste like starbucks cookies, gooey and tasty!!!But I find it way too sweet, next time I'll cut down the sugar. Thanks for posting! :)</t>
        </is>
      </c>
    </row>
    <row r="715">
      <c r="A715" s="7" t="n">
        <v>22373</v>
      </c>
      <c r="B715" s="7" t="n">
        <v>991158</v>
      </c>
      <c r="C715" s="7" t="n">
        <v>400817</v>
      </c>
      <c r="D715" s="7" t="n">
        <v>112105</v>
      </c>
      <c r="E715" s="8" t="n">
        <v>39065</v>
      </c>
      <c r="F715" s="7" t="n">
        <v>3</v>
      </c>
      <c r="G715" s="7" t="inlineStr">
        <is>
          <t>I added some tomato paste with the sauce at the end to make it more sloppy joe-like, but I actually like it best with no tomato sauce or paste at all...then the flavors don't get overrun by tomato and wind up as nothing distinct.</t>
        </is>
      </c>
    </row>
    <row r="716">
      <c r="A716" s="7" t="n">
        <v>34533</v>
      </c>
      <c r="B716" s="7" t="n">
        <v>1123744</v>
      </c>
      <c r="C716" s="7" t="n">
        <v>616952</v>
      </c>
      <c r="D716" s="7" t="n">
        <v>57679</v>
      </c>
      <c r="E716" s="8" t="n">
        <v>39935</v>
      </c>
      <c r="F716" s="7" t="n">
        <v>5</v>
      </c>
      <c r="G716" s="7" t="inlineStr">
        <is>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is>
      </c>
    </row>
    <row r="717">
      <c r="A717" s="7" t="n">
        <v>2992</v>
      </c>
      <c r="B717" s="7" t="n">
        <v>1070287</v>
      </c>
      <c r="C717" s="7" t="n">
        <v>680857</v>
      </c>
      <c r="D717" s="7" t="n">
        <v>82985</v>
      </c>
      <c r="E717" s="8" t="n">
        <v>43389</v>
      </c>
      <c r="F717" s="7" t="n">
        <v>5</v>
      </c>
      <c r="G717" s="7" t="inlineStr">
        <is>
          <t>Pretty good recipe, similar to my own (I add cream cheese) but I followed as stated and added 1/2 small onion chopped, 3 small chopped jalapenos, 1 clove garlic all sauteed in the butter and then I folded into the mix with some Mexican Blend shredded cheese and a few drops corn extract. Sooo....good with a bowl of chili during our fist cool evening of the fall! I will try for my cornbread dressing as written with just the corn extract added.</t>
        </is>
      </c>
    </row>
    <row r="718">
      <c r="A718" s="7" t="n">
        <v>32728</v>
      </c>
      <c r="B718" s="7" t="n">
        <v>51808</v>
      </c>
      <c r="C718" s="7" t="n">
        <v>323186</v>
      </c>
      <c r="D718" s="7" t="n">
        <v>489920</v>
      </c>
      <c r="E718" s="8" t="n">
        <v>41856</v>
      </c>
      <c r="F718" s="7" t="n">
        <v>5</v>
      </c>
      <c r="G718" s="7" t="inlineStr">
        <is>
          <t>Yum, Charmie, this was great, real comfort food!   Love the mustard and the hot sauce, lends a tangy bite that really works for me!!!  I used lots of cheese,  used the small pasta shapes as you recommended, and loved the buttery breadcrumbs!   I sliced some cherry tomatoes and layered them on top, because my husband likes tomato in his mac &amp;#039;n &amp;#039;cheese!   Lovely recipe, thank you, made for International Agents of Quest, USA Southern region</t>
        </is>
      </c>
    </row>
    <row r="719">
      <c r="A719" s="7" t="n">
        <v>122887</v>
      </c>
      <c r="B719" s="7" t="n">
        <v>209658</v>
      </c>
      <c r="C719" s="7" t="n">
        <v>456947</v>
      </c>
      <c r="D719" s="7" t="n">
        <v>18058</v>
      </c>
      <c r="E719" s="8" t="n">
        <v>39152</v>
      </c>
      <c r="F719" s="7" t="n">
        <v>5</v>
      </c>
      <c r="G719" s="7" t="inlineStr">
        <is>
          <t>This was a fabulous recipe.  I loved the ease of making it by crockpot, as I was busy and didn't have time to fuss with it.  Excellent taste.  Everyone in the family loved it!  For the fresh mushrooms, I used baby portabellos.  This recipe will definitely become part of my regular cookbook from now on!</t>
        </is>
      </c>
    </row>
    <row r="720">
      <c r="A720" s="7" t="n">
        <v>64099</v>
      </c>
      <c r="B720" s="7" t="n">
        <v>656106</v>
      </c>
      <c r="C720" s="7" t="n">
        <v>32772</v>
      </c>
      <c r="D720" s="7" t="n">
        <v>27208</v>
      </c>
      <c r="E720" s="8" t="n">
        <v>37593</v>
      </c>
      <c r="F720" s="7" t="n">
        <v>5</v>
      </c>
      <c r="G720" s="7" t="inlineStr">
        <is>
          <t>What can I say buta "WOW!!!". This was simple but tasted like I slaved over it all day. I used a 5 pound rump roast sprinkled with the mixture. I poured the rest on the sides and bottom of crockpot. I stayed with the 1/2 cup of water and cooked it on high for one hour and then low for six hours.  It turned out great!! I turned the crockpot to high and mixed two tablespoons of water and flour to thicken the gravy.Served it with Ranch Mashed Potatoes by Lorac. What a combination. To cut down on calories I used low-fat dressing mixes.</t>
        </is>
      </c>
    </row>
    <row r="721">
      <c r="A721" s="7" t="n">
        <v>124874</v>
      </c>
      <c r="B721" s="7" t="n">
        <v>468304</v>
      </c>
      <c r="C721" s="7" t="n">
        <v>593927</v>
      </c>
      <c r="D721" s="7" t="n">
        <v>138173</v>
      </c>
      <c r="E721" s="8" t="n">
        <v>40223</v>
      </c>
      <c r="F721" s="7" t="n">
        <v>5</v>
      </c>
      <c r="G721" s="7" t="inlineStr">
        <is>
          <t>These were quite good a little pancake like another reviewer mentioned but probably that was because of  how much batter was used in relation to onion. They still didn't get as crispy as I would have liked but again I think that may have been the amount of batter. I made them gluten free using Recipe #256259. I think the green onion would have been good in these and would add it if I make these again. I used regular white/yellow cooking onions, white sugar, gf baking powder, garlic salt, pinch cayenne, plain rice milk, &amp; canola oil.</t>
        </is>
      </c>
    </row>
    <row r="722">
      <c r="A722" s="7" t="n">
        <v>26586</v>
      </c>
      <c r="B722" s="7" t="n">
        <v>313439</v>
      </c>
      <c r="C722" s="7" t="n">
        <v>2849434</v>
      </c>
      <c r="D722" s="7" t="n">
        <v>410185</v>
      </c>
      <c r="E722" s="8" t="n">
        <v>41429</v>
      </c>
      <c r="F722" s="7" t="n">
        <v>3</v>
      </c>
      <c r="G722" s="7" t="inlineStr">
        <is>
          <t>I thought it was good but not great.   I used fresh garlic instead of powder and added Italian parsley.  You have to use fresh ingredients when cooking.  Would I make it again, I might but it&amp;#039;s not amazing in my books.</t>
        </is>
      </c>
    </row>
    <row r="723">
      <c r="A723" s="7" t="n">
        <v>64850</v>
      </c>
      <c r="B723" s="7" t="n">
        <v>656624</v>
      </c>
      <c r="C723" s="7" t="n">
        <v>27366</v>
      </c>
      <c r="D723" s="7" t="n">
        <v>27208</v>
      </c>
      <c r="E723" s="8" t="n">
        <v>39419</v>
      </c>
      <c r="F723" s="7" t="n">
        <v>5</v>
      </c>
      <c r="G723" s="7" t="inlineStr">
        <is>
          <t>Absolutely fantastic!  Hubby and I both loved this recipe!  Thanks so much for sharing!</t>
        </is>
      </c>
    </row>
    <row r="724">
      <c r="A724" s="7" t="n">
        <v>118232</v>
      </c>
      <c r="B724" s="7" t="n">
        <v>1074232</v>
      </c>
      <c r="C724" s="7" t="n">
        <v>41799</v>
      </c>
      <c r="D724" s="7" t="n">
        <v>135350</v>
      </c>
      <c r="E724" s="8" t="n">
        <v>39505</v>
      </c>
      <c r="F724" s="7" t="n">
        <v>4</v>
      </c>
      <c r="G724" s="7" t="inlineStr">
        <is>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is>
      </c>
    </row>
    <row r="725">
      <c r="A725" s="7" t="n">
        <v>75747</v>
      </c>
      <c r="B725" s="7" t="n">
        <v>826807</v>
      </c>
      <c r="C725" s="7" t="n">
        <v>56003</v>
      </c>
      <c r="D725" s="7" t="n">
        <v>200221</v>
      </c>
      <c r="E725" s="8" t="n">
        <v>39757</v>
      </c>
      <c r="F725" s="7" t="n">
        <v>5</v>
      </c>
      <c r="G725" s="7" t="inlineStr">
        <is>
          <t>This is a very, very tasty chicken dish.  I did leave it in a little longer than called for as we had a family emergency.  Was still nice and juicy and crispy.  Thnx for posting, FENathan.  Made for Fall 2008 My-3-Chefs.</t>
        </is>
      </c>
    </row>
    <row r="726">
      <c r="A726" s="7" t="n">
        <v>97739</v>
      </c>
      <c r="B726" s="7" t="n">
        <v>1129974</v>
      </c>
      <c r="C726" s="7" t="n">
        <v>280894</v>
      </c>
      <c r="D726" s="7" t="n">
        <v>137575</v>
      </c>
      <c r="E726" s="8" t="n">
        <v>38721</v>
      </c>
      <c r="F726" s="7" t="n">
        <v>5</v>
      </c>
      <c r="G726" s="7" t="inlineStr">
        <is>
          <t>Love this reipe.  I am planning to make these tonight.  You seem to have great reviews so thats enough for me.</t>
        </is>
      </c>
    </row>
    <row r="727">
      <c r="A727" s="7" t="n">
        <v>5515</v>
      </c>
      <c r="B727" s="7" t="n">
        <v>211932</v>
      </c>
      <c r="C727" s="7" t="n">
        <v>156653</v>
      </c>
      <c r="D727" s="7" t="n">
        <v>34682</v>
      </c>
      <c r="E727" s="8" t="n">
        <v>38690</v>
      </c>
      <c r="F727" s="7" t="n">
        <v>4</v>
      </c>
      <c r="G727" s="7" t="inlineStr">
        <is>
          <t>Very nice Miss Annie! Really easy to make, and very sweet! I loved the Idea of using the crumb mixture for both the dough and the topping. Lovely!</t>
        </is>
      </c>
    </row>
    <row r="728" ht="409.5" customHeight="1">
      <c r="A728" s="7" t="n">
        <v>77114</v>
      </c>
      <c r="B728" s="7" t="n">
        <v>799404</v>
      </c>
      <c r="C728" s="7" t="n">
        <v>1295285</v>
      </c>
      <c r="D728" s="7" t="n">
        <v>183334</v>
      </c>
      <c r="E728" s="8" t="n">
        <v>40016</v>
      </c>
      <c r="F728" s="7" t="n">
        <v>5</v>
      </c>
      <c r="G728" s="9" t="inlineStr">
        <is>
          <t>I love this dish!  The only things I changed were to substitue some chopped mint leaves for the rosemary and new baby potatoes for the carrots.  _x000D_
_x000D_
It was really good the first day but the leftovers were even better!!  A definite keeper.  Thanks for sharing.</t>
        </is>
      </c>
    </row>
    <row r="729" ht="300" customHeight="1">
      <c r="A729" s="7" t="n">
        <v>328</v>
      </c>
      <c r="B729" s="7" t="n">
        <v>798242</v>
      </c>
      <c r="C729" s="7" t="n">
        <v>1163533</v>
      </c>
      <c r="D729" s="7" t="n">
        <v>84219</v>
      </c>
      <c r="E729" s="8" t="n">
        <v>40004</v>
      </c>
      <c r="F729" s="7" t="n">
        <v>5</v>
      </c>
      <c r="G729" s="9" t="inlineStr">
        <is>
          <t>This was lovely. 
We're vegetarian  and my husband has UC &amp; Diabetes, so it was great to find a recipe I didn't have to modify the heck out of ~ thanks!</t>
        </is>
      </c>
    </row>
    <row r="730">
      <c r="A730" s="7" t="n">
        <v>38272</v>
      </c>
      <c r="B730" s="7" t="n">
        <v>63256</v>
      </c>
      <c r="C730" s="7" t="n">
        <v>557764</v>
      </c>
      <c r="D730" s="7" t="n">
        <v>118828</v>
      </c>
      <c r="E730" s="8" t="n">
        <v>39602</v>
      </c>
      <c r="F730" s="7" t="n">
        <v>5</v>
      </c>
      <c r="G730" s="7" t="inlineStr">
        <is>
          <t>This was even better than I thought it would be.  My 12 year old daughter (who doesn't like radishes by the way) decided to try one, because it was such a pretty pink.  Her eyes grew wide and said "wow this is good". Thanks for a great way to use up all those readishes in the garden!</t>
        </is>
      </c>
    </row>
    <row r="731">
      <c r="A731" s="7" t="n">
        <v>7607</v>
      </c>
      <c r="B731" s="7" t="n">
        <v>511449</v>
      </c>
      <c r="C731" s="7" t="n">
        <v>316144</v>
      </c>
      <c r="D731" s="7" t="n">
        <v>44240</v>
      </c>
      <c r="E731" s="8" t="n">
        <v>38843</v>
      </c>
      <c r="F731" s="7" t="n">
        <v>5</v>
      </c>
      <c r="G731" s="7" t="inlineStr">
        <is>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is>
      </c>
    </row>
    <row r="732">
      <c r="A732" s="7" t="n">
        <v>10942</v>
      </c>
      <c r="B732" s="7" t="n">
        <v>608269</v>
      </c>
      <c r="C732" s="7" t="n">
        <v>786065</v>
      </c>
      <c r="D732" s="7" t="n">
        <v>134820</v>
      </c>
      <c r="E732" s="8" t="n">
        <v>40563</v>
      </c>
      <c r="F732" s="7" t="n">
        <v>0</v>
      </c>
      <c r="G732" s="7" t="inlineStr">
        <is>
          <t>Loved them.  I followed the recipe step by step.  I didn't have any problems with them staying together as others before had.  I will certainly be making them again.&lt;br/&gt;&lt;br/&gt;On second thought,  I did make one small change.  I used panko bread crumbs.</t>
        </is>
      </c>
    </row>
    <row r="733">
      <c r="A733" s="7" t="n">
        <v>66015</v>
      </c>
      <c r="B733" s="7" t="n">
        <v>191873</v>
      </c>
      <c r="C733" s="7" t="n">
        <v>1119069</v>
      </c>
      <c r="D733" s="7" t="n">
        <v>137666</v>
      </c>
      <c r="E733" s="8" t="n">
        <v>40633</v>
      </c>
      <c r="F733" s="7" t="n">
        <v>3</v>
      </c>
      <c r="G733" s="7" t="inlineStr">
        <is>
          <t>I love chocolate and I love cherries, but this recipe did not live up to my expectations. &lt;br/&gt;Batter was very runny, so I added another 1/4 cup flour and am glad I did. Texture of cake is good, it just does not taste very chocolatey.  Simple to make.</t>
        </is>
      </c>
    </row>
    <row r="734">
      <c r="A734" s="7" t="n">
        <v>8175</v>
      </c>
      <c r="B734" s="7" t="n">
        <v>594957</v>
      </c>
      <c r="C734" s="7" t="n">
        <v>47892</v>
      </c>
      <c r="D734" s="7" t="n">
        <v>173165</v>
      </c>
      <c r="E734" s="8" t="n">
        <v>40337</v>
      </c>
      <c r="F734" s="7" t="n">
        <v>5</v>
      </c>
      <c r="G734" s="7" t="inlineStr">
        <is>
          <t>This recipe screamed: "Oooh, pick me, pick me!" ;) And I'm glad I did! Yesterday I found fresh organic yellow watermelon at the natural food store and I knew the perfect recipe would present itself. Subbed ouzo for muscatel but other than that, stayed true to the recipe. Next time I'll grab a bottle of muscatel and try it out. Thanks for posting! Reviewed for ZWT #6.</t>
        </is>
      </c>
    </row>
    <row r="735">
      <c r="A735" s="7" t="n">
        <v>60746</v>
      </c>
      <c r="B735" s="7" t="n">
        <v>1105596</v>
      </c>
      <c r="C735" s="7" t="n">
        <v>134164</v>
      </c>
      <c r="D735" s="7" t="n">
        <v>110848</v>
      </c>
      <c r="E735" s="8" t="n">
        <v>38721</v>
      </c>
      <c r="F735" s="7" t="n">
        <v>5</v>
      </c>
      <c r="G735" s="7" t="inlineStr">
        <is>
          <t>Excellent!  It's become a staple in my house.  I have made it several times, and have never used a bouillon cube and it turns out great.  Quick, easy &amp; so tasty!</t>
        </is>
      </c>
    </row>
    <row r="736">
      <c r="A736" s="7" t="n">
        <v>95214</v>
      </c>
      <c r="B736" s="7" t="n">
        <v>1003354</v>
      </c>
      <c r="C736" s="7" t="n">
        <v>479085</v>
      </c>
      <c r="D736" s="7" t="n">
        <v>304459</v>
      </c>
      <c r="E736" s="8" t="n">
        <v>39623</v>
      </c>
      <c r="F736" s="7" t="n">
        <v>4</v>
      </c>
      <c r="G736" s="7" t="inlineStr">
        <is>
          <t>The adults loved it and had seconds, but the kids didn't seem to like it at all.  I did make a few changes, but I think that th kids just weren't used to this, we've never had anything like this before.  This was a very good summer salad, and I'll make this again, and just give the kids hot dogs. :)  Thanks for posting.</t>
        </is>
      </c>
    </row>
    <row r="737">
      <c r="A737" s="7" t="n">
        <v>83436</v>
      </c>
      <c r="B737" s="7" t="n">
        <v>209850</v>
      </c>
      <c r="C737" s="7" t="n">
        <v>753509</v>
      </c>
      <c r="D737" s="7" t="n">
        <v>57691</v>
      </c>
      <c r="E737" s="8" t="n">
        <v>39825</v>
      </c>
      <c r="F737" s="7" t="n">
        <v>4</v>
      </c>
      <c r="G737" s="7" t="inlineStr">
        <is>
          <t>This has a nice flavor, but I wasn't super fond of the chunky kale. For the leftovers, I blended all but the beans to make a less chunky soup and liked that much better.</t>
        </is>
      </c>
    </row>
    <row r="738">
      <c r="A738" s="7" t="n">
        <v>66784</v>
      </c>
      <c r="B738" s="7" t="n">
        <v>139548</v>
      </c>
      <c r="C738" s="7" t="n">
        <v>171303</v>
      </c>
      <c r="D738" s="7" t="n">
        <v>144710</v>
      </c>
      <c r="E738" s="8" t="n">
        <v>38799</v>
      </c>
      <c r="F738" s="7" t="n">
        <v>4</v>
      </c>
      <c r="G738" s="7" t="inlineStr">
        <is>
          <t>This was a very good white chile with a nice kick to it.  I used fresh jalapenos, as this is what I had on hand, and fat free mexican blend cheese for dietary reasons.  All in all a recipe I would make again that would lend itself well to using up leftover chicken.  Thank you Goochie for sharing the recipe.</t>
        </is>
      </c>
    </row>
    <row r="739">
      <c r="A739" s="7" t="n">
        <v>118598</v>
      </c>
      <c r="B739" s="7" t="n">
        <v>558953</v>
      </c>
      <c r="C739" s="7" t="n">
        <v>2001655146</v>
      </c>
      <c r="D739" s="7" t="n">
        <v>295761</v>
      </c>
      <c r="E739" s="8" t="n">
        <v>42950</v>
      </c>
      <c r="F739" s="7" t="n">
        <v>0</v>
      </c>
      <c r="G739" s="7" t="inlineStr">
        <is>
          <t>Enjoyed this immensely, thank you! I added some cashews, raisins, dried papaya chunks, coconut chips and bourbon vanilla extract. After spooning portions into greased (with coconut oil) baking/muffin tray I topped 'em all with a little sprinkle of sugar and granola.</t>
        </is>
      </c>
    </row>
    <row r="740">
      <c r="A740" s="7" t="n">
        <v>109007</v>
      </c>
      <c r="B740" s="7" t="n">
        <v>556719</v>
      </c>
      <c r="C740" s="7" t="n">
        <v>420020</v>
      </c>
      <c r="D740" s="7" t="n">
        <v>95057</v>
      </c>
      <c r="E740" s="8" t="n">
        <v>39868</v>
      </c>
      <c r="F740" s="7" t="n">
        <v>5</v>
      </c>
      <c r="G740" s="7" t="inlineStr">
        <is>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is>
      </c>
    </row>
    <row r="741">
      <c r="A741" s="7" t="n">
        <v>45955</v>
      </c>
      <c r="B741" s="7" t="n">
        <v>1020180</v>
      </c>
      <c r="C741" s="7" t="n">
        <v>47892</v>
      </c>
      <c r="D741" s="7" t="n">
        <v>49591</v>
      </c>
      <c r="E741" s="8" t="n">
        <v>39927</v>
      </c>
      <c r="F741" s="7" t="n">
        <v>4</v>
      </c>
      <c r="G741" s="7" t="inlineStr">
        <is>
          <t>The cookies will turn out much better if you reduce the temperature to 350 degrees; step #3 is a bit redundant. ;)  I always use parchment paper to bake cookies. This was quick and easy. I tested the recipe for our daughter's upcoming polka dot-themed birthday party. Thanks!</t>
        </is>
      </c>
    </row>
    <row r="742">
      <c r="A742" s="7" t="n">
        <v>43480</v>
      </c>
      <c r="B742" s="7" t="n">
        <v>215948</v>
      </c>
      <c r="C742" s="7" t="n">
        <v>560491</v>
      </c>
      <c r="D742" s="7" t="n">
        <v>497508</v>
      </c>
      <c r="E742" s="8" t="n">
        <v>41382</v>
      </c>
      <c r="F742" s="7" t="n">
        <v>5</v>
      </c>
      <c r="G742" s="7" t="inlineStr">
        <is>
          <t>SOOOOO GOOD!!  What is not to like?!  I made as written and used Pace Picante sauce (about 3 Tbs).  This potato was a filling but not heavy meal.  Will be making this again!  Going into my Best of Cookbook.  Made for Spring PAC 2013.</t>
        </is>
      </c>
    </row>
    <row r="743">
      <c r="A743" s="7" t="n">
        <v>16857</v>
      </c>
      <c r="B743" s="7" t="n">
        <v>1050166</v>
      </c>
      <c r="C743" s="7" t="n">
        <v>97579</v>
      </c>
      <c r="D743" s="7" t="n">
        <v>53878</v>
      </c>
      <c r="E743" s="8" t="n">
        <v>39509</v>
      </c>
      <c r="F743" s="7" t="n">
        <v>5</v>
      </c>
      <c r="G743" s="7" t="inlineStr">
        <is>
          <t>I made these last night for a euchre party and they were a hit.  I love how easy and quick they were to make.  Thanks!</t>
        </is>
      </c>
    </row>
    <row r="744">
      <c r="A744" s="7" t="n">
        <v>115754</v>
      </c>
      <c r="B744" s="7" t="n">
        <v>1003608</v>
      </c>
      <c r="C744" s="7" t="n">
        <v>193014</v>
      </c>
      <c r="D744" s="7" t="n">
        <v>312994</v>
      </c>
      <c r="E744" s="8" t="n">
        <v>39670</v>
      </c>
      <c r="F744" s="7" t="n">
        <v>3</v>
      </c>
      <c r="G744" s="7" t="inlineStr">
        <is>
          <t>We liked this well enough, but to serve 8 would make terribly small servings. Six small servings works. It is amazing, though, that you can get that many servings with so little pasta.  We also found the whole dish somewhat bland.  Frankly, I probably would not go to the trouble to make it again, unless I had leftover cooked broccoli and carrots on hand.  Another confusing thing is that the recipe is given in mixed measurements -- some metric, some not.  This didn't confuse me, but it baffled my sister who is not familiar with how many pounds 250 grams would be; or what a 180 degree Celcius oven would be.</t>
        </is>
      </c>
    </row>
    <row r="745">
      <c r="A745" s="7" t="n">
        <v>82684</v>
      </c>
      <c r="B745" s="7" t="n">
        <v>783560</v>
      </c>
      <c r="C745" s="7" t="n">
        <v>1707595</v>
      </c>
      <c r="D745" s="7" t="n">
        <v>335709</v>
      </c>
      <c r="E745" s="8" t="n">
        <v>40562</v>
      </c>
      <c r="F745" s="7" t="n">
        <v>0</v>
      </c>
      <c r="G745" s="7" t="inlineStr">
        <is>
          <t>I normally don't like fried foods, but this was awesome.</t>
        </is>
      </c>
    </row>
    <row r="746">
      <c r="A746" s="7" t="n">
        <v>69709</v>
      </c>
      <c r="B746" s="7" t="n">
        <v>348844</v>
      </c>
      <c r="C746" s="7" t="n">
        <v>461867</v>
      </c>
      <c r="D746" s="7" t="n">
        <v>50719</v>
      </c>
      <c r="E746" s="8" t="n">
        <v>40050</v>
      </c>
      <c r="F746" s="7" t="n">
        <v>4</v>
      </c>
      <c r="G746" s="7" t="inlineStr">
        <is>
          <t>These were okay, but I was expecting something great after the reviews.  My oldest son ate them, my youngest didn't and my mom didn't like them.  They will be eaten, but definitely not the best blueberry muffin I've ever made.</t>
        </is>
      </c>
    </row>
    <row r="747">
      <c r="A747" s="7" t="n">
        <v>18167</v>
      </c>
      <c r="B747" s="7" t="n">
        <v>103914</v>
      </c>
      <c r="C747" s="7" t="n">
        <v>176615</v>
      </c>
      <c r="D747" s="7" t="n">
        <v>110043</v>
      </c>
      <c r="E747" s="8" t="n">
        <v>39130</v>
      </c>
      <c r="F747" s="7" t="n">
        <v>5</v>
      </c>
      <c r="G747" s="7" t="inlineStr">
        <is>
          <t>Quick, simple, and tasty. Used baby spinach and will make this again. Thanks for sharing the recipe!</t>
        </is>
      </c>
    </row>
    <row r="748">
      <c r="A748" s="7" t="n">
        <v>82838</v>
      </c>
      <c r="B748" s="7" t="n">
        <v>704166</v>
      </c>
      <c r="C748" s="7" t="n">
        <v>56112</v>
      </c>
      <c r="D748" s="7" t="n">
        <v>111187</v>
      </c>
      <c r="E748" s="8" t="n">
        <v>38505</v>
      </c>
      <c r="F748" s="7" t="n">
        <v>4</v>
      </c>
      <c r="G748" s="7" t="inlineStr">
        <is>
          <t>This is a really great moist cake.  I made exactly as directed, and while I loved it, the rest of the family said that it has just a little toomuch liqueur flvour, so next time, I will cut back on the liqueur for the glaze.</t>
        </is>
      </c>
    </row>
    <row r="749">
      <c r="A749" s="7" t="n">
        <v>26453</v>
      </c>
      <c r="B749" s="7" t="n">
        <v>1130084</v>
      </c>
      <c r="C749" s="7" t="n">
        <v>1353969</v>
      </c>
      <c r="D749" s="7" t="n">
        <v>137575</v>
      </c>
      <c r="E749" s="8" t="n">
        <v>40041</v>
      </c>
      <c r="F749" s="7" t="n">
        <v>5</v>
      </c>
      <c r="G749" s="7" t="inlineStr">
        <is>
          <t>these are the best salmon patties I have ever tasted. So easy, moist, and flavorful. I added a little crushed red pepper to give it alittle kick!  You REALLY need to try this recipe. You really taught this old southern cook something new. THANKS!</t>
        </is>
      </c>
    </row>
    <row r="750">
      <c r="A750" t="n">
        <v>62062</v>
      </c>
      <c r="B750" t="n">
        <v>960089</v>
      </c>
      <c r="C750" t="n">
        <v>181231</v>
      </c>
      <c r="D750" t="n">
        <v>16559</v>
      </c>
      <c r="E750" s="1" t="n">
        <v>38347</v>
      </c>
      <c r="F750" t="n">
        <v>5</v>
      </c>
      <c r="G750" t="inlineStr">
        <is>
          <t>Theres nothing better than potato soup on a cold day!To make a full meal I like to add some cooked ham,smoked sausage or crisp bacon and stir in some cheese at the end.I just make mine on the stove,its done in less than 30 min.</t>
        </is>
      </c>
    </row>
    <row r="751">
      <c r="A751" s="7" t="n">
        <v>41635</v>
      </c>
      <c r="B751" s="7" t="n">
        <v>915877</v>
      </c>
      <c r="C751" s="7" t="n">
        <v>35635</v>
      </c>
      <c r="D751" s="7" t="n">
        <v>113257</v>
      </c>
      <c r="E751" s="8" t="n">
        <v>38580</v>
      </c>
      <c r="F751" s="7" t="n">
        <v>4</v>
      </c>
      <c r="G751" s="7" t="inlineStr">
        <is>
          <t>Very good. This is a nice way to perk up shake and bake chicken. I used the fat free Italian dressing instead of the egg and was very pleased with the result. I'll probably use this trick with shake and bake from now on. Thanks, Shels.</t>
        </is>
      </c>
    </row>
    <row r="752">
      <c r="A752" s="7" t="n">
        <v>18092</v>
      </c>
      <c r="B752" s="7" t="n">
        <v>396675</v>
      </c>
      <c r="C752" s="7" t="n">
        <v>868729</v>
      </c>
      <c r="D752" s="7" t="n">
        <v>162557</v>
      </c>
      <c r="E752" s="8" t="n">
        <v>39721</v>
      </c>
      <c r="F752" s="7" t="n">
        <v>5</v>
      </c>
      <c r="G752" s="7" t="inlineStr">
        <is>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is>
      </c>
    </row>
    <row r="753">
      <c r="A753" s="7" t="n">
        <v>62788</v>
      </c>
      <c r="B753" s="7" t="n">
        <v>468303</v>
      </c>
      <c r="C753" s="7" t="n">
        <v>1057326</v>
      </c>
      <c r="D753" s="7" t="n">
        <v>138173</v>
      </c>
      <c r="E753" s="8" t="n">
        <v>40217</v>
      </c>
      <c r="F753" s="7" t="n">
        <v>5</v>
      </c>
      <c r="G753" s="7" t="inlineStr">
        <is>
          <t>I made these over the weekend. I yielded about 15.  By the time it came to serve them, I had three left!  OMG!!!  Addicting and fabulous.  Followed the recipe EXACTLY as written. Kitten, you are amazing. Thank you for yet ANOTHER magical recipe.</t>
        </is>
      </c>
    </row>
    <row r="754">
      <c r="A754" s="7" t="n">
        <v>121046</v>
      </c>
      <c r="B754" s="7" t="n">
        <v>877689</v>
      </c>
      <c r="C754" s="7" t="n">
        <v>237624</v>
      </c>
      <c r="D754" s="7" t="n">
        <v>416088</v>
      </c>
      <c r="E754" s="8" t="n">
        <v>40649</v>
      </c>
      <c r="F754" s="7" t="n">
        <v>4</v>
      </c>
      <c r="G754" s="7" t="inlineStr">
        <is>
          <t>Very easy, very tasty... but I'm sad mine didn't look like French Tart's.  That's what I wanted to eat!  Ha ha!  Mine wasn't red... but it was still delicious.</t>
        </is>
      </c>
    </row>
    <row r="755">
      <c r="A755" s="7" t="n">
        <v>65146</v>
      </c>
      <c r="B755" s="7" t="n">
        <v>612020</v>
      </c>
      <c r="C755" s="7" t="n">
        <v>2000710170</v>
      </c>
      <c r="D755" s="7" t="n">
        <v>238994</v>
      </c>
      <c r="E755" s="8" t="n">
        <v>42793</v>
      </c>
      <c r="F755" s="7" t="n">
        <v>0</v>
      </c>
      <c r="G755" s="7" t="inlineStr">
        <is>
          <t>My first time having baked crab legs. It was surprisingly delicious. I think I may prefer them this way to steamed.</t>
        </is>
      </c>
    </row>
    <row r="756">
      <c r="A756" s="7" t="n">
        <v>110099</v>
      </c>
      <c r="B756" s="7" t="n">
        <v>468380</v>
      </c>
      <c r="C756" s="7" t="n">
        <v>172114</v>
      </c>
      <c r="D756" s="7" t="n">
        <v>284226</v>
      </c>
      <c r="E756" s="8" t="n">
        <v>39606</v>
      </c>
      <c r="F756" s="7" t="n">
        <v>5</v>
      </c>
      <c r="G756" s="7" t="inlineStr">
        <is>
          <t>I loved this!  I've made it a couple of times and will definitely make it many more!</t>
        </is>
      </c>
    </row>
    <row r="757">
      <c r="A757" s="7" t="n">
        <v>48686</v>
      </c>
      <c r="B757" s="7" t="n">
        <v>1086054</v>
      </c>
      <c r="C757" s="7" t="n">
        <v>305664</v>
      </c>
      <c r="D757" s="7" t="n">
        <v>95569</v>
      </c>
      <c r="E757" s="8" t="n">
        <v>39512</v>
      </c>
      <c r="F757" s="7" t="n">
        <v>4</v>
      </c>
      <c r="G757" s="7" t="inlineStr">
        <is>
          <t>Not bad! Very VERY easy. I also used KC Masterpiece. Adding some liquid smoke and some hot sauce would give it that little something I thought it was missing. I liked this because it was like a taste of summer in the middle of February. Thanks for posting one of those "Why didn't I think of that?" recipes.</t>
        </is>
      </c>
    </row>
    <row r="758">
      <c r="A758" s="7" t="n">
        <v>57195</v>
      </c>
      <c r="B758" s="7" t="n">
        <v>233249</v>
      </c>
      <c r="C758" s="7" t="n">
        <v>593927</v>
      </c>
      <c r="D758" s="7" t="n">
        <v>393637</v>
      </c>
      <c r="E758" s="8" t="n">
        <v>40742</v>
      </c>
      <c r="F758" s="7" t="n">
        <v>5</v>
      </c>
      <c r="G758" s="7" t="inlineStr">
        <is>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is>
      </c>
    </row>
    <row r="759">
      <c r="A759" s="7" t="n">
        <v>117679</v>
      </c>
      <c r="B759" s="7" t="n">
        <v>69844</v>
      </c>
      <c r="C759" s="7" t="n">
        <v>2000382876</v>
      </c>
      <c r="D759" s="7" t="n">
        <v>497230</v>
      </c>
      <c r="E759" s="8" t="n">
        <v>42440</v>
      </c>
      <c r="F759" s="7" t="n">
        <v>4</v>
      </c>
      <c r="G759" s="7" t="inlineStr">
        <is>
          <t>Although I did not have apple cider and substituted water, this turned out great!  I added one chopped apple and some pecans last night, then added honey and cream this morning.  Wonderful having breakfast ready for you!</t>
        </is>
      </c>
    </row>
    <row r="760">
      <c r="A760" s="7" t="n">
        <v>65268</v>
      </c>
      <c r="B760" s="7" t="n">
        <v>984401</v>
      </c>
      <c r="C760" s="7" t="n">
        <v>495774</v>
      </c>
      <c r="D760" s="7" t="n">
        <v>9272</v>
      </c>
      <c r="E760" s="8" t="n">
        <v>39714</v>
      </c>
      <c r="F760" s="7" t="n">
        <v>5</v>
      </c>
      <c r="G760" s="7" t="inlineStr">
        <is>
          <t>I absolutely love this recipe!!! Thank God I came it across here....Definitely going into the family cookbook! Thanks a lot for sharing!!!!</t>
        </is>
      </c>
    </row>
    <row r="761">
      <c r="A761" s="7" t="n">
        <v>67839</v>
      </c>
      <c r="B761" s="7" t="n">
        <v>959549</v>
      </c>
      <c r="C761" s="7" t="n">
        <v>194993</v>
      </c>
      <c r="D761" s="7" t="n">
        <v>110330</v>
      </c>
      <c r="E761" s="8" t="n">
        <v>39454</v>
      </c>
      <c r="F761" s="7" t="n">
        <v>5</v>
      </c>
      <c r="G761" s="7" t="inlineStr">
        <is>
          <t>This WAS a simple recipe, once I remembered to soak the beans. I didn't have harissa; I used cayenne and a dash of tabasco. I especially liked the fact that no oil is needed. One note, though: there is no way this makes four servings! It's more like 10 or even 12. LOTS of soup.</t>
        </is>
      </c>
    </row>
    <row r="762">
      <c r="A762" s="7" t="n">
        <v>63816</v>
      </c>
      <c r="B762" s="7" t="n">
        <v>987927</v>
      </c>
      <c r="C762" s="7" t="n">
        <v>133174</v>
      </c>
      <c r="D762" s="7" t="n">
        <v>43397</v>
      </c>
      <c r="E762" s="8" t="n">
        <v>38901</v>
      </c>
      <c r="F762" s="7" t="n">
        <v>5</v>
      </c>
      <c r="G762" s="7" t="inlineStr">
        <is>
          <t>Loved it!  I did serve it on top of torn romaine and reduced the amount of mayo by half.  It was made the night before and enjoyed today at lunch.  It is super easy to put together.  Thanks for sharing.</t>
        </is>
      </c>
    </row>
    <row r="763">
      <c r="A763" s="7" t="n">
        <v>48011</v>
      </c>
      <c r="B763" s="7" t="n">
        <v>763981</v>
      </c>
      <c r="C763" s="7" t="n">
        <v>284180</v>
      </c>
      <c r="D763" s="7" t="n">
        <v>278487</v>
      </c>
      <c r="E763" s="8" t="n">
        <v>39742</v>
      </c>
      <c r="F763" s="7" t="n">
        <v>5</v>
      </c>
      <c r="G763" s="7" t="inlineStr">
        <is>
          <t>Yummy, yummy.  A great fruity drink; this one's a keeper!</t>
        </is>
      </c>
    </row>
    <row r="764">
      <c r="A764" s="7" t="n">
        <v>5101</v>
      </c>
      <c r="B764" s="7" t="n">
        <v>1100324</v>
      </c>
      <c r="C764" s="7" t="n">
        <v>65502</v>
      </c>
      <c r="D764" s="7" t="n">
        <v>300551</v>
      </c>
      <c r="E764" s="8" t="n">
        <v>39841</v>
      </c>
      <c r="F764" s="7" t="n">
        <v>5</v>
      </c>
      <c r="G764" s="7" t="inlineStr">
        <is>
          <t>Wow, this is really good! I wasn't sure if it would have enough flavour but the topping added taste throughout. It took 45 minutes to cook through for me. You could make lots of things with that topping, change the meats, the veggies, etc. Very easy and we will be having this again. And again. And again. ;) Made for the KelBel cookathon to support you through the loss of your DH.</t>
        </is>
      </c>
    </row>
    <row r="765">
      <c r="A765" s="7" t="n">
        <v>7127</v>
      </c>
      <c r="B765" s="7" t="n">
        <v>128847</v>
      </c>
      <c r="C765" s="7" t="n">
        <v>130321</v>
      </c>
      <c r="D765" s="7" t="n">
        <v>25947</v>
      </c>
      <c r="E765" s="8" t="n">
        <v>38064</v>
      </c>
      <c r="F765" s="7" t="n">
        <v>5</v>
      </c>
      <c r="G765" s="7" t="inlineStr">
        <is>
          <t>very good and quick to make!!</t>
        </is>
      </c>
    </row>
    <row r="766">
      <c r="A766" s="7" t="n">
        <v>43400</v>
      </c>
      <c r="B766" s="7" t="n">
        <v>256772</v>
      </c>
      <c r="C766" s="7" t="n">
        <v>1376400</v>
      </c>
      <c r="D766" s="7" t="n">
        <v>26205</v>
      </c>
      <c r="E766" s="8" t="n">
        <v>40128</v>
      </c>
      <c r="F766" s="7" t="n">
        <v>4</v>
      </c>
      <c r="G766" s="7" t="inlineStr">
        <is>
          <t>Very flaky. Nice basic pie crust. Use it with Recipe #51257 and it went together really well.</t>
        </is>
      </c>
    </row>
    <row r="767" ht="409.5" customHeight="1">
      <c r="A767" s="7" t="n">
        <v>89565</v>
      </c>
      <c r="B767" s="7" t="n">
        <v>52648</v>
      </c>
      <c r="C767" s="7" t="n">
        <v>1800255933</v>
      </c>
      <c r="D767" s="7" t="n">
        <v>247934</v>
      </c>
      <c r="E767" s="8" t="n">
        <v>42487</v>
      </c>
      <c r="F767" s="7" t="n">
        <v>5</v>
      </c>
      <c r="G767" s="9" t="inlineStr">
        <is>
          <t>Wow!  I love this!  It&amp;#039;s so flavorful and will definitely make it again.
I didn&amp;#039;t have ricotta cheese so followed a few reviews and used and egg.
I only had 1 lb of ground turkey so halved everything and it turned out great.
As suggested, I added onion powder for more flavor.
As one said, it&amp;#039;s mushy but cooks up just right. :)
I used my cast iron skillet as per recipe instructions.
Great recipe!  Thanks!!</t>
        </is>
      </c>
    </row>
    <row r="768">
      <c r="A768" s="7" t="n">
        <v>108946</v>
      </c>
      <c r="B768" s="7" t="n">
        <v>297727</v>
      </c>
      <c r="C768" s="7" t="n">
        <v>866785</v>
      </c>
      <c r="D768" s="7" t="n">
        <v>173284</v>
      </c>
      <c r="E768" s="8" t="n">
        <v>39705</v>
      </c>
      <c r="F768" s="7" t="n">
        <v>5</v>
      </c>
      <c r="G768" s="7" t="inlineStr">
        <is>
          <t>My family loves these pancakes.  My picky toddler asks for seconds and thirds!  I use 2 egg yolks and 3 egg whites, and I also add a little vanill extract too.  thanks Kate for sharing this great recipe.  Next time I need to freeze some like some other reviewers have done, great idea.</t>
        </is>
      </c>
    </row>
    <row r="769">
      <c r="A769" s="7" t="n">
        <v>14298</v>
      </c>
      <c r="B769" s="7" t="n">
        <v>910162</v>
      </c>
      <c r="C769" s="7" t="n">
        <v>965192</v>
      </c>
      <c r="D769" s="7" t="n">
        <v>147494</v>
      </c>
      <c r="E769" s="8" t="n">
        <v>39714</v>
      </c>
      <c r="F769" s="7" t="n">
        <v>3</v>
      </c>
      <c r="G769" s="7" t="inlineStr">
        <is>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is>
      </c>
    </row>
    <row r="770">
      <c r="A770" s="7" t="n">
        <v>58935</v>
      </c>
      <c r="B770" s="7" t="n">
        <v>499536</v>
      </c>
      <c r="C770" s="7" t="n">
        <v>1969896</v>
      </c>
      <c r="D770" s="7" t="n">
        <v>360136</v>
      </c>
      <c r="E770" s="8" t="n">
        <v>40753</v>
      </c>
      <c r="F770" s="7" t="n">
        <v>0</v>
      </c>
      <c r="G770" s="7" t="inlineStr">
        <is>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is>
      </c>
    </row>
    <row r="771">
      <c r="A771" s="7" t="n">
        <v>112534</v>
      </c>
      <c r="B771" s="7" t="n">
        <v>291854</v>
      </c>
      <c r="C771" s="7" t="n">
        <v>367140</v>
      </c>
      <c r="D771" s="7" t="n">
        <v>49202</v>
      </c>
      <c r="E771" s="8" t="n">
        <v>39181</v>
      </c>
      <c r="F771" s="7" t="n">
        <v>1</v>
      </c>
      <c r="G771" s="7" t="inlineStr">
        <is>
          <t>I made this for Easter dinner and threw  most of it away.  It was easy, and I followed the directions.  The ones that did eat it, said that it was just ok.  Won't make it again</t>
        </is>
      </c>
    </row>
    <row r="772">
      <c r="A772" s="7" t="n">
        <v>35368</v>
      </c>
      <c r="B772" s="7" t="n">
        <v>148503</v>
      </c>
      <c r="C772" s="7" t="n">
        <v>560491</v>
      </c>
      <c r="D772" s="7" t="n">
        <v>129255</v>
      </c>
      <c r="E772" s="8" t="n">
        <v>40451</v>
      </c>
      <c r="F772" s="7" t="n">
        <v>5</v>
      </c>
      <c r="G772" s="7" t="inlineStr">
        <is>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is>
      </c>
    </row>
    <row r="773">
      <c r="A773" s="7" t="n">
        <v>48502</v>
      </c>
      <c r="B773" s="7" t="n">
        <v>999093</v>
      </c>
      <c r="C773" s="7" t="n">
        <v>2656900</v>
      </c>
      <c r="D773" s="7" t="n">
        <v>165950</v>
      </c>
      <c r="E773" s="8" t="n">
        <v>41299</v>
      </c>
      <c r="F773" s="7" t="n">
        <v>2</v>
      </c>
      <c r="G773" s="7" t="inlineStr">
        <is>
          <t>I love dump cake for it's simplicity.We used to make it at camp in a dutch over over a fire, with just the cake mix and pie filling. I loved the addition of the butter to create a crispier top on this recipe! However... I did not get that crispy top. I baked it for almost 1.5 hours and it still did not brown or crisp! Am I missing something??</t>
        </is>
      </c>
    </row>
    <row r="774">
      <c r="A774" s="7" t="n">
        <v>89062</v>
      </c>
      <c r="B774" s="7" t="n">
        <v>763287</v>
      </c>
      <c r="C774" s="7" t="n">
        <v>597276</v>
      </c>
      <c r="D774" s="7" t="n">
        <v>51088</v>
      </c>
      <c r="E774" s="8" t="n">
        <v>39350</v>
      </c>
      <c r="F774" s="7" t="n">
        <v>5</v>
      </c>
      <c r="G774" s="7" t="inlineStr">
        <is>
          <t>This recipe is excellent.  My husband absolutely raved about it!  I doubled the recipe and left out the mushrooms but added fresh steamed broccoli.  I will definitely make this one again.</t>
        </is>
      </c>
    </row>
    <row r="775">
      <c r="A775" s="7" t="n">
        <v>61970</v>
      </c>
      <c r="B775" s="7" t="n">
        <v>924385</v>
      </c>
      <c r="C775" s="7" t="n">
        <v>307751</v>
      </c>
      <c r="D775" s="7" t="n">
        <v>73559</v>
      </c>
      <c r="E775" s="8" t="n">
        <v>38901</v>
      </c>
      <c r="F775" s="7" t="n">
        <v>5</v>
      </c>
      <c r="G775" s="7" t="inlineStr">
        <is>
          <t>Awesome recipe!!!! Great flavor!!!! I reduced the amount of tomatoes to 1 can and the tomatoes actually took on a meaty flavor. I also used recipe # 31164 for the pesto sauce.</t>
        </is>
      </c>
    </row>
    <row r="776">
      <c r="A776" s="7" t="n">
        <v>37928</v>
      </c>
      <c r="B776" s="7" t="n">
        <v>680342</v>
      </c>
      <c r="C776" s="7" t="n">
        <v>1192885</v>
      </c>
      <c r="D776" s="7" t="n">
        <v>59898</v>
      </c>
      <c r="E776" s="8" t="n">
        <v>40219</v>
      </c>
      <c r="F776" s="7" t="n">
        <v>5</v>
      </c>
      <c r="G776" s="7" t="inlineStr">
        <is>
          <t>This was WONDERFUL!  I have been searching for this kind of recipe ever since we were in British Columbia in the summer.  There are many Greek restaurants out there and I was often coming across a Creamy Greek dressing in their salads.  Loved this recipe!</t>
        </is>
      </c>
    </row>
    <row r="777">
      <c r="A777" s="7" t="n">
        <v>76182</v>
      </c>
      <c r="B777" s="7" t="n">
        <v>1050117</v>
      </c>
      <c r="C777" s="7" t="n">
        <v>542891</v>
      </c>
      <c r="D777" s="7" t="n">
        <v>53878</v>
      </c>
      <c r="E777" s="8" t="n">
        <v>39337</v>
      </c>
      <c r="F777" s="7" t="n">
        <v>4</v>
      </c>
      <c r="G777" s="7" t="inlineStr">
        <is>
          <t>i make these and everyone loved them-even though i burnt them-lol! these are not something to put in the oven while trying to get ready for a party-but the flavor is great!</t>
        </is>
      </c>
    </row>
    <row r="778">
      <c r="A778" s="7" t="n">
        <v>69983</v>
      </c>
      <c r="B778" s="7" t="n">
        <v>193940</v>
      </c>
      <c r="C778" s="7" t="n">
        <v>663997</v>
      </c>
      <c r="D778" s="7" t="n">
        <v>386559</v>
      </c>
      <c r="E778" s="8" t="n">
        <v>40123</v>
      </c>
      <c r="F778" s="7" t="n">
        <v>4</v>
      </c>
      <c r="G778" s="7" t="inlineStr">
        <is>
          <t>Nice recipe.  It had too much dressing for my taste.  I added an entire jalapeno.  Thanks for posting. Justine</t>
        </is>
      </c>
    </row>
    <row r="779">
      <c r="A779" s="7" t="n">
        <v>12051</v>
      </c>
      <c r="B779" s="7" t="n">
        <v>481222</v>
      </c>
      <c r="C779" s="7" t="n">
        <v>1802657711</v>
      </c>
      <c r="D779" s="7" t="n">
        <v>478546</v>
      </c>
      <c r="E779" s="8" t="n">
        <v>41739</v>
      </c>
      <c r="F779" s="7" t="n">
        <v>3</v>
      </c>
      <c r="G779" s="7" t="inlineStr">
        <is>
          <t>I don&amp;#039;t think I cooked them quite long enough as they were still gummy - ok tasting but not he best. I later tried heating in the microwave (8sec) and it was very yummy warm. Also ate them with some peanut butter sandwiched between 2 cookies which was delicious</t>
        </is>
      </c>
    </row>
    <row r="780">
      <c r="A780" s="7" t="n">
        <v>61993</v>
      </c>
      <c r="B780" s="7" t="n">
        <v>551584</v>
      </c>
      <c r="C780" s="7" t="n">
        <v>215898</v>
      </c>
      <c r="D780" s="7" t="n">
        <v>44923</v>
      </c>
      <c r="E780" s="8" t="n">
        <v>39803</v>
      </c>
      <c r="F780" s="7" t="n">
        <v>5</v>
      </c>
      <c r="G780" s="7" t="inlineStr">
        <is>
          <t>This is a terrific clam chowder!  The whole family loved it.  The flavor is complex and interesting, not bland.  I used cornstarch instead of flour to make it gluten free.  The roux didn't brown but still worked well.</t>
        </is>
      </c>
    </row>
    <row r="781">
      <c r="A781" s="7" t="n">
        <v>341</v>
      </c>
      <c r="B781" s="7" t="n">
        <v>812899</v>
      </c>
      <c r="C781" s="7" t="n">
        <v>565041</v>
      </c>
      <c r="D781" s="7" t="n">
        <v>333333</v>
      </c>
      <c r="E781" s="8" t="n">
        <v>43425</v>
      </c>
      <c r="F781" s="7" t="n">
        <v>5</v>
      </c>
      <c r="G781" s="7" t="inlineStr">
        <is>
          <t>I’ve been making boiled/steamed cauliflower pur&amp;eacute;e for a long time. This is SO MUCH BETTER! I used light cream cheese instead of sour cream and added pepper. I roasted the cauliflower and garlic for almost 40 minutes, stirring/flipping every 10 minutes to get an even caramelization. Lovely complex flavor and great texture. I’m making some for Thanksgiving dinner; will put in a small casserole, top with cheese and bake to reheat. Thanks!</t>
        </is>
      </c>
    </row>
    <row r="782">
      <c r="A782" s="7" t="n">
        <v>40190</v>
      </c>
      <c r="B782" s="7" t="n">
        <v>350620</v>
      </c>
      <c r="C782" s="7" t="n">
        <v>47892</v>
      </c>
      <c r="D782" s="7" t="n">
        <v>424312</v>
      </c>
      <c r="E782" s="8" t="n">
        <v>40904</v>
      </c>
      <c r="F782" s="7" t="n">
        <v>0</v>
      </c>
      <c r="G782" s="7" t="inlineStr">
        <is>
          <t>I thought this was interesting however my husband didn't care for it.&lt;br/&gt;I think perhaps I would puree the beets. It could have been a texture thing.&lt;br/&gt;Unique flavor! Reviewed for NA*ME tag/December.</t>
        </is>
      </c>
    </row>
    <row r="783">
      <c r="A783" s="7" t="n">
        <v>81493</v>
      </c>
      <c r="B783" s="7" t="n">
        <v>1023656</v>
      </c>
      <c r="C783" s="7" t="n">
        <v>1504185</v>
      </c>
      <c r="D783" s="7" t="n">
        <v>323657</v>
      </c>
      <c r="E783" s="8" t="n">
        <v>40233</v>
      </c>
      <c r="F783" s="7" t="n">
        <v>5</v>
      </c>
      <c r="G783" s="7" t="inlineStr">
        <is>
          <t>This was AMAZING! I have made it 3 times now and it always comes out sooo delicious! Definitely a keeper!</t>
        </is>
      </c>
    </row>
    <row r="784">
      <c r="A784" s="7" t="n">
        <v>66164</v>
      </c>
      <c r="B784" s="7" t="n">
        <v>963728</v>
      </c>
      <c r="C784" s="7" t="n">
        <v>4753</v>
      </c>
      <c r="D784" s="7" t="n">
        <v>135740</v>
      </c>
      <c r="E784" s="8" t="n">
        <v>38878</v>
      </c>
      <c r="F784" s="7" t="n">
        <v>5</v>
      </c>
      <c r="G784" s="7" t="inlineStr">
        <is>
          <t>Excellent! The horseradish is subtle enough to add a bit of surprise with the first bite, but it's not overpowering.  For myself, I'd add even more, but I really like horseradish.  Definitely a step up from the same old deviled eggs.</t>
        </is>
      </c>
    </row>
    <row r="785">
      <c r="A785" s="7" t="n">
        <v>109292</v>
      </c>
      <c r="B785" s="7" t="n">
        <v>281817</v>
      </c>
      <c r="C785" s="7" t="n">
        <v>324566</v>
      </c>
      <c r="D785" s="7" t="n">
        <v>56621</v>
      </c>
      <c r="E785" s="8" t="n">
        <v>38896</v>
      </c>
      <c r="F785" s="7" t="n">
        <v>5</v>
      </c>
      <c r="G785" s="7" t="inlineStr">
        <is>
          <t>This is amazing!  It never occured to me that I could make my own breakfast cereal.  I felt like I was eating crumbled graham crackers - one of my favorites.  I will definitely be making more of this recipe as soon as I run out.  Thanks!</t>
        </is>
      </c>
    </row>
    <row r="786">
      <c r="A786" s="7" t="n">
        <v>64549</v>
      </c>
      <c r="B786" s="7" t="n">
        <v>266143</v>
      </c>
      <c r="C786" s="7" t="n">
        <v>602094</v>
      </c>
      <c r="D786" s="7" t="n">
        <v>107786</v>
      </c>
      <c r="E786" s="8" t="n">
        <v>41949</v>
      </c>
      <c r="F786" s="7" t="n">
        <v>5</v>
      </c>
      <c r="G786" s="7" t="inlineStr">
        <is>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is>
      </c>
    </row>
    <row r="787">
      <c r="A787" s="7" t="n">
        <v>41314</v>
      </c>
      <c r="B787" s="7" t="n">
        <v>314384</v>
      </c>
      <c r="C787" s="7" t="n">
        <v>322381</v>
      </c>
      <c r="D787" s="7" t="n">
        <v>372960</v>
      </c>
      <c r="E787" s="8" t="n">
        <v>40162</v>
      </c>
      <c r="F787" s="7" t="n">
        <v>4</v>
      </c>
      <c r="G787" s="7" t="inlineStr">
        <is>
          <t>This is a very easy recipe for a lot of flavor. We didn't love it, but we liked it very very much. I did everything as is, using a mango green chili chutney, and pickapeppa pepper sauce. Added red chili for spice and some garam masala because I needed much more flavor. I will play with this recipe, perhaps using tomato sauce rather than red wine. Thanks for sharing!</t>
        </is>
      </c>
    </row>
    <row r="788">
      <c r="A788" s="7" t="n">
        <v>15305</v>
      </c>
      <c r="B788" s="7" t="n">
        <v>69912</v>
      </c>
      <c r="C788" s="7" t="n">
        <v>870569</v>
      </c>
      <c r="D788" s="7" t="n">
        <v>142131</v>
      </c>
      <c r="E788" s="8" t="n">
        <v>39730</v>
      </c>
      <c r="F788" s="7" t="n">
        <v>3</v>
      </c>
      <c r="G788" s="7" t="inlineStr">
        <is>
          <t>This recipe was a gr8 base.  I felt the recipe was bland however.  Not only did I dlb it, and use all chicken broth, I added 1/2 cup butter, 1 and a 1/2cups cheddar/jack cheese, Tarragon, Grnd Cumin Seed &amp; Celery Seed-1 to 1 and a 1/2 tsp ea, and a dash of Garlic Salt.</t>
        </is>
      </c>
    </row>
    <row r="789">
      <c r="A789" s="7" t="n">
        <v>46054</v>
      </c>
      <c r="B789" s="7" t="n">
        <v>607355</v>
      </c>
      <c r="C789" s="7" t="n">
        <v>1687894</v>
      </c>
      <c r="D789" s="7" t="n">
        <v>128637</v>
      </c>
      <c r="E789" s="8" t="n">
        <v>40440</v>
      </c>
      <c r="F789" s="7" t="n">
        <v>5</v>
      </c>
      <c r="G789" s="7" t="inlineStr">
        <is>
          <t>So light and fluffy...soaks up syrup and Earth Balance like a delicious sponge. Perfect served with tofu scrambles. I added crushed pineapple to mine and used Vanilla Silk.</t>
        </is>
      </c>
    </row>
    <row r="790">
      <c r="A790" s="7" t="n">
        <v>35861</v>
      </c>
      <c r="B790" s="7" t="n">
        <v>669133</v>
      </c>
      <c r="C790" s="7" t="n">
        <v>169850</v>
      </c>
      <c r="D790" s="7" t="n">
        <v>16135</v>
      </c>
      <c r="E790" s="8" t="n">
        <v>40371</v>
      </c>
      <c r="F790" s="7" t="n">
        <v>3</v>
      </c>
      <c r="G790" s="7" t="inlineStr">
        <is>
          <t>I think next time I would try Unico's presliced marinated sundried tomatoes.  We found the herb mixture was a bit unbalanced with the vinegar and olive oil. I actually added more balsamic to give it more moisture. Thank you for posting the recipe, it was alot of fun to try.</t>
        </is>
      </c>
    </row>
    <row r="791">
      <c r="A791" s="7" t="n">
        <v>34335</v>
      </c>
      <c r="B791" s="7" t="n">
        <v>552566</v>
      </c>
      <c r="C791" s="7" t="n">
        <v>93446</v>
      </c>
      <c r="D791" s="7" t="n">
        <v>456173</v>
      </c>
      <c r="E791" s="8" t="n">
        <v>40773</v>
      </c>
      <c r="F791" s="7" t="n">
        <v>5</v>
      </c>
      <c r="G791" s="7" t="inlineStr">
        <is>
          <t>A very nice, refreshing summer salad.  I love any salad made with balsamic vinegar so will definitely make this again!</t>
        </is>
      </c>
    </row>
    <row r="792">
      <c r="A792" s="7" t="n">
        <v>12888</v>
      </c>
      <c r="B792" s="7" t="n">
        <v>968347</v>
      </c>
      <c r="C792" s="7" t="n">
        <v>461788</v>
      </c>
      <c r="D792" s="7" t="n">
        <v>250961</v>
      </c>
      <c r="E792" s="8" t="n">
        <v>39349</v>
      </c>
      <c r="F792" s="7" t="n">
        <v>5</v>
      </c>
      <c r="G792" s="7" t="inlineStr">
        <is>
          <t>Great Short cut! My family really enjoyed this salad. The salad dressing tastes better than the original, IMHO... This is so easy to throw together. Thanks for another great one V.</t>
        </is>
      </c>
    </row>
    <row r="793">
      <c r="A793" s="7" t="n">
        <v>64647</v>
      </c>
      <c r="B793" s="7" t="n">
        <v>813397</v>
      </c>
      <c r="C793" s="7" t="n">
        <v>2000634903</v>
      </c>
      <c r="D793" s="7" t="n">
        <v>10837</v>
      </c>
      <c r="E793" s="8" t="n">
        <v>42310</v>
      </c>
      <c r="F793" s="7" t="n">
        <v>0</v>
      </c>
      <c r="G793" s="7" t="inlineStr">
        <is>
          <t>This sauce is SUPERB!!  I read the reviews before making it so that I could make some adaptations.  I added some tomato paste to make it thicker and give it more body.  This must have worked well because the consistency was perfect!!  I also doubled the seasoning, pureed it after combining and then slow cooked it for 2.5 hours on high.  This was hands down the best sauce I have ever made.  My family also loved it:-)  I froze some of it but used the majority of it in a gluten free lasagna.  I will definitely make this sauce my tradition.</t>
        </is>
      </c>
    </row>
    <row r="794">
      <c r="A794" s="7" t="n">
        <v>106666</v>
      </c>
      <c r="B794" s="7" t="n">
        <v>462364</v>
      </c>
      <c r="C794" s="7" t="n">
        <v>271889</v>
      </c>
      <c r="D794" s="7" t="n">
        <v>99395</v>
      </c>
      <c r="E794" s="8" t="n">
        <v>39051</v>
      </c>
      <c r="F794" s="7" t="n">
        <v>5</v>
      </c>
      <c r="G794" s="7" t="inlineStr">
        <is>
          <t>I've made this salad several times now and love it! I'm a garlic fan so instead of adding crushed garlic to the pan, I like to roast a whole garlic and add it to the salad at the end. This salad is well-worth the effort. Make it for someone you love!</t>
        </is>
      </c>
    </row>
    <row r="795">
      <c r="A795" s="7" t="n">
        <v>102650</v>
      </c>
      <c r="B795" s="7" t="n">
        <v>966207</v>
      </c>
      <c r="C795" s="7" t="n">
        <v>2001993531</v>
      </c>
      <c r="D795" s="7" t="n">
        <v>82770</v>
      </c>
      <c r="E795" s="8" t="n">
        <v>43146</v>
      </c>
      <c r="F795" s="7" t="n">
        <v>0</v>
      </c>
      <c r="G795" s="7" t="inlineStr">
        <is>
          <t>Sorry, but the math doesn't quite add up. Forgetting the confusion over the black vs red ingredients, the sum total yield of all these ingredients is 12.3 tbs. and not the 14 tbs. stated at the top left. I too am baffled by the red and black ingredients because they would not even taste the same if you compared all black vs all red ingredients.</t>
        </is>
      </c>
    </row>
    <row r="796">
      <c r="A796" s="7" t="n">
        <v>52860</v>
      </c>
      <c r="B796" s="7" t="n">
        <v>1047321</v>
      </c>
      <c r="C796" s="7" t="n">
        <v>166103</v>
      </c>
      <c r="D796" s="7" t="n">
        <v>57781</v>
      </c>
      <c r="E796" s="8" t="n">
        <v>38315</v>
      </c>
      <c r="F796" s="7" t="n">
        <v>4</v>
      </c>
      <c r="G796" s="7" t="inlineStr">
        <is>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is>
      </c>
    </row>
    <row r="797">
      <c r="A797" s="7" t="n">
        <v>8913</v>
      </c>
      <c r="B797" s="7" t="n">
        <v>994150</v>
      </c>
      <c r="C797" s="7" t="n">
        <v>803506</v>
      </c>
      <c r="D797" s="7" t="n">
        <v>191490</v>
      </c>
      <c r="E797" s="8" t="n">
        <v>39823</v>
      </c>
      <c r="F797" s="7" t="n">
        <v>5</v>
      </c>
      <c r="G797" s="7" t="inlineStr">
        <is>
          <t>Look no further for a mashed potatoe recipe these are it!</t>
        </is>
      </c>
    </row>
    <row r="798">
      <c r="A798" s="7" t="n">
        <v>121803</v>
      </c>
      <c r="B798" s="7" t="n">
        <v>1108688</v>
      </c>
      <c r="C798" s="7" t="n">
        <v>20855</v>
      </c>
      <c r="D798" s="7" t="n">
        <v>30358</v>
      </c>
      <c r="E798" s="8" t="n">
        <v>37470</v>
      </c>
      <c r="F798" s="7" t="n">
        <v>5</v>
      </c>
      <c r="G798" s="7" t="inlineStr">
        <is>
          <t>WOW...with the heat index at 115 degrees here yesterday, I used the NEW method.  Worked great on bow tie pasta!!  I will never boil pasta the old way again!!!  Thank you for posting!!!  Amy</t>
        </is>
      </c>
    </row>
    <row r="799">
      <c r="A799" s="7" t="n">
        <v>56435</v>
      </c>
      <c r="B799" s="7" t="n">
        <v>263232</v>
      </c>
      <c r="C799" s="7" t="n">
        <v>1964888</v>
      </c>
      <c r="D799" s="7" t="n">
        <v>182403</v>
      </c>
      <c r="E799" s="8" t="n">
        <v>41086</v>
      </c>
      <c r="F799" s="7" t="n">
        <v>5</v>
      </c>
      <c r="G799" s="7" t="inlineStr">
        <is>
          <t>Thanks for a great recipe. I used Rotel Mild Tomato Sauce and 1 packet of Badia Sazon. I've wanted an alternative to box mixes and this was perfect. (Updated with stars.)</t>
        </is>
      </c>
    </row>
    <row r="800">
      <c r="A800" s="7" t="n">
        <v>92705</v>
      </c>
      <c r="B800" s="7" t="n">
        <v>656494</v>
      </c>
      <c r="C800" s="7" t="n">
        <v>395626</v>
      </c>
      <c r="D800" s="7" t="n">
        <v>27208</v>
      </c>
      <c r="E800" s="8" t="n">
        <v>39121</v>
      </c>
      <c r="F800" s="7" t="n">
        <v>5</v>
      </c>
      <c r="G800" s="7" t="inlineStr">
        <is>
          <t>I made this for the hubby, very tasty and he loved it!</t>
        </is>
      </c>
    </row>
    <row r="801">
      <c r="A801" s="7" t="n">
        <v>69149</v>
      </c>
      <c r="B801" s="7" t="n">
        <v>47800</v>
      </c>
      <c r="C801" s="7" t="n">
        <v>328099</v>
      </c>
      <c r="D801" s="7" t="n">
        <v>93946</v>
      </c>
      <c r="E801" s="8" t="n">
        <v>39610</v>
      </c>
      <c r="F801" s="7" t="n">
        <v>5</v>
      </c>
      <c r="G801" s="7" t="inlineStr">
        <is>
          <t>Made this over the weekend with our first picking of rhubarb--absolutely the best crisp we have had and I have been making this for 20+ years.</t>
        </is>
      </c>
    </row>
    <row r="802">
      <c r="A802" s="7" t="n">
        <v>4337</v>
      </c>
      <c r="B802" s="7" t="n">
        <v>104872</v>
      </c>
      <c r="C802" s="7" t="n">
        <v>628779</v>
      </c>
      <c r="D802" s="7" t="n">
        <v>176996</v>
      </c>
      <c r="E802" s="8" t="n">
        <v>39719</v>
      </c>
      <c r="F802" s="7" t="n">
        <v>5</v>
      </c>
      <c r="G802" s="7" t="inlineStr">
        <is>
          <t>Awsome salas Kitten. Can I give this 10 stars! I used this salsa along side some poached salmon. I will make this again for sure. Next time I may add some garlic and avocado. Thanks for another winner.</t>
        </is>
      </c>
    </row>
    <row r="803">
      <c r="A803" s="7" t="n">
        <v>3304</v>
      </c>
      <c r="B803" s="7" t="n">
        <v>222586</v>
      </c>
      <c r="C803" s="7" t="n">
        <v>920589</v>
      </c>
      <c r="D803" s="7" t="n">
        <v>287041</v>
      </c>
      <c r="E803" s="8" t="n">
        <v>42166</v>
      </c>
      <c r="F803" s="7" t="n">
        <v>4</v>
      </c>
      <c r="G803" s="7" t="inlineStr">
        <is>
          <t>I didn&amp;#039;t eat them but my guests were impressed.</t>
        </is>
      </c>
    </row>
    <row r="804">
      <c r="A804" s="7" t="n">
        <v>12075</v>
      </c>
      <c r="B804" s="7" t="n">
        <v>627708</v>
      </c>
      <c r="C804" s="7" t="n">
        <v>411362</v>
      </c>
      <c r="D804" s="7" t="n">
        <v>155526</v>
      </c>
      <c r="E804" s="8" t="n">
        <v>39485</v>
      </c>
      <c r="F804" s="7" t="n">
        <v>2</v>
      </c>
      <c r="G804" s="7" t="inlineStr">
        <is>
          <t>It was good and easy to make.</t>
        </is>
      </c>
    </row>
    <row r="805">
      <c r="A805" s="7" t="n">
        <v>66057</v>
      </c>
      <c r="B805" s="7" t="n">
        <v>283182</v>
      </c>
      <c r="C805" s="7" t="n">
        <v>723491</v>
      </c>
      <c r="D805" s="7" t="n">
        <v>273154</v>
      </c>
      <c r="E805" s="8" t="n">
        <v>39878</v>
      </c>
      <c r="F805" s="7" t="n">
        <v>5</v>
      </c>
      <c r="G805" s="7" t="inlineStr">
        <is>
          <t>What a great pot pie!  My grandchildren really loved this variation of an old classic.  We will enjoy this often in the colder weather!  I did omit the asparagus (personal preference) and added mushrooms instead.  A new family fave we have here!</t>
        </is>
      </c>
    </row>
    <row r="806">
      <c r="A806" s="7" t="n">
        <v>11966</v>
      </c>
      <c r="B806" s="7" t="n">
        <v>1016607</v>
      </c>
      <c r="C806" s="7" t="n">
        <v>1532806</v>
      </c>
      <c r="D806" s="7" t="n">
        <v>349246</v>
      </c>
      <c r="E806" s="8" t="n">
        <v>40210</v>
      </c>
      <c r="F806" s="7" t="n">
        <v>5</v>
      </c>
      <c r="G806" s="7" t="inlineStr">
        <is>
          <t>I made these brownies yesterday for my husband and myself, and we couldn't stop raving about how easy, and WONDERFUL they were.  The texture was just right since I was careful not to over cook them, the taste, ummm, so good and chocolatey.  This is a keeper for a quick fix.  (Although my full chocolate addiction has been broken, I can see I will need to be careful not to revert after making this brownie!)  Thanks Antilope for a truly fantastic and easy treat!</t>
        </is>
      </c>
    </row>
    <row r="807">
      <c r="A807" s="7" t="n">
        <v>59747</v>
      </c>
      <c r="B807" s="7" t="n">
        <v>478190</v>
      </c>
      <c r="C807" s="7" t="n">
        <v>209255</v>
      </c>
      <c r="D807" s="7" t="n">
        <v>70625</v>
      </c>
      <c r="E807" s="8" t="n">
        <v>38885</v>
      </c>
      <c r="F807" s="7" t="n">
        <v>5</v>
      </c>
      <c r="G807" s="7" t="inlineStr">
        <is>
          <t>Wonderful!  The only problem I had was a misunderstanding in the directions.  When it states to cut the sheets "crosswise", I thought that meant to cut from the long side over to the long side... I think what it really meant was to cut the sheets "lengthwise".  Either way, it worked eventually.  I ended up cutting the sheets in half and then in half again.  The filling is divine.  It would not be the same if you were to sub in/out anything.  They are all dependant on each other and produce a wonderful tasting treat.  I will definitely make these again!  Thanks!</t>
        </is>
      </c>
    </row>
    <row r="808">
      <c r="A808" s="7" t="n">
        <v>54840</v>
      </c>
      <c r="B808" s="7" t="n">
        <v>461947</v>
      </c>
      <c r="C808" s="7" t="n">
        <v>286903</v>
      </c>
      <c r="D808" s="7" t="n">
        <v>26820</v>
      </c>
      <c r="E808" s="8" t="n">
        <v>39685</v>
      </c>
      <c r="F808" s="7" t="n">
        <v>5</v>
      </c>
      <c r="G808" s="7" t="inlineStr">
        <is>
          <t>Yes! Reminds me of sweet home ST. Louis!!!! GREAT RECIPE!</t>
        </is>
      </c>
    </row>
    <row r="809">
      <c r="A809" s="7" t="n">
        <v>84865</v>
      </c>
      <c r="B809" s="7" t="n">
        <v>696153</v>
      </c>
      <c r="C809" s="7" t="n">
        <v>461834</v>
      </c>
      <c r="D809" s="7" t="n">
        <v>179191</v>
      </c>
      <c r="E809" s="8" t="n">
        <v>39258</v>
      </c>
      <c r="F809" s="7" t="n">
        <v>5</v>
      </c>
      <c r="G809" s="7" t="inlineStr">
        <is>
          <t>I made this for ZWT3 to go along with scalloped potatoes and ham.  This was wonderful way to fix corn!!  I will make frozen corn this way from now on!!  Thanks for posting.</t>
        </is>
      </c>
    </row>
    <row r="810">
      <c r="A810" s="7" t="n">
        <v>125988</v>
      </c>
      <c r="B810" s="7" t="n">
        <v>1056005</v>
      </c>
      <c r="C810" s="7" t="n">
        <v>86318</v>
      </c>
      <c r="D810" s="7" t="n">
        <v>24299</v>
      </c>
      <c r="E810" s="8" t="n">
        <v>38291</v>
      </c>
      <c r="F810" s="7" t="n">
        <v>5</v>
      </c>
      <c r="G810" s="7" t="inlineStr">
        <is>
          <t>This is very much comfort food! It kind of took me and my husband by surprise, because we'd been eating a lot of spicy dishes. It's not quite bland, but it's definitely not spicy. Since we can't stop eating it, I guess I've got to give it 5 stars! Other than using about 1 pound and a half pork, and adding the extra ounce of beer that was in the can, I followed the recipe strictly. If I hadn't been trying to behave, I think I would have added some garlic, some tomato, I don't know what. But this is very satisfying just like it is. Thank you for the recipe.</t>
        </is>
      </c>
    </row>
    <row r="811">
      <c r="A811" s="7" t="n">
        <v>112232</v>
      </c>
      <c r="B811" s="7" t="n">
        <v>1025643</v>
      </c>
      <c r="C811" s="7" t="n">
        <v>288146</v>
      </c>
      <c r="D811" s="7" t="n">
        <v>281674</v>
      </c>
      <c r="E811" s="8" t="n">
        <v>39473</v>
      </c>
      <c r="F811" s="7" t="n">
        <v>5</v>
      </c>
      <c r="G811" s="7" t="inlineStr">
        <is>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is>
      </c>
    </row>
    <row r="812">
      <c r="A812" s="7" t="n">
        <v>13959</v>
      </c>
      <c r="B812" s="7" t="n">
        <v>71722</v>
      </c>
      <c r="C812" s="7" t="n">
        <v>498271</v>
      </c>
      <c r="D812" s="7" t="n">
        <v>75123</v>
      </c>
      <c r="E812" s="8" t="n">
        <v>39447</v>
      </c>
      <c r="F812" s="7" t="n">
        <v>5</v>
      </c>
      <c r="G812" s="7" t="inlineStr">
        <is>
          <t>These were terrific!  They baked up just like a chocolate brownie - moist and chewy on the inside, with a thin slightly crispy layer on the top.  The apple flavor was yummy and they made a delicious holiday treat!</t>
        </is>
      </c>
    </row>
    <row r="813">
      <c r="A813" s="7" t="n">
        <v>20100</v>
      </c>
      <c r="B813" s="7" t="n">
        <v>411162</v>
      </c>
      <c r="C813" s="7" t="n">
        <v>2209000</v>
      </c>
      <c r="D813" s="7" t="n">
        <v>518151</v>
      </c>
      <c r="E813" s="8" t="n">
        <v>41878</v>
      </c>
      <c r="F813" s="7" t="n">
        <v>5</v>
      </c>
      <c r="G813" s="7" t="inlineStr">
        <is>
          <t>These look like wonderful appetizers! I love pot stickers!</t>
        </is>
      </c>
    </row>
    <row r="814">
      <c r="A814" s="7" t="n">
        <v>95775</v>
      </c>
      <c r="B814" s="7" t="n">
        <v>567687</v>
      </c>
      <c r="C814" s="7" t="n">
        <v>136997</v>
      </c>
      <c r="D814" s="7" t="n">
        <v>155945</v>
      </c>
      <c r="E814" s="8" t="n">
        <v>40751</v>
      </c>
      <c r="F814" s="7" t="n">
        <v>5</v>
      </c>
      <c r="G814" s="7" t="inlineStr">
        <is>
          <t>Loved these little treats. Wouldn't want to eat them all the time, as they are very rich. I made a double batch. Made for PetsRUs Cookathon in memory of Annelies.</t>
        </is>
      </c>
    </row>
    <row r="815">
      <c r="A815" s="7" t="n">
        <v>93178</v>
      </c>
      <c r="B815" s="7" t="n">
        <v>1115718</v>
      </c>
      <c r="C815" s="7" t="n">
        <v>143721</v>
      </c>
      <c r="D815" s="7" t="n">
        <v>482562</v>
      </c>
      <c r="E815" s="8" t="n">
        <v>41112</v>
      </c>
      <c r="F815" s="7" t="n">
        <v>5</v>
      </c>
      <c r="G815" s="7" t="inlineStr">
        <is>
          <t>A very nice, easy and refreshing drink.  I can see the syrup being used in many alternative beverages.  Made for ZWT8, The Wild Bunch.</t>
        </is>
      </c>
    </row>
    <row r="816">
      <c r="A816" s="7" t="n">
        <v>121907</v>
      </c>
      <c r="B816" s="7" t="n">
        <v>644607</v>
      </c>
      <c r="C816" s="7" t="n">
        <v>119466</v>
      </c>
      <c r="D816" s="7" t="n">
        <v>226959</v>
      </c>
      <c r="E816" s="8" t="n">
        <v>39217</v>
      </c>
      <c r="F816" s="7" t="n">
        <v>4</v>
      </c>
      <c r="G816" s="7" t="inlineStr">
        <is>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is>
      </c>
    </row>
    <row r="817">
      <c r="A817" s="7" t="n">
        <v>118781</v>
      </c>
      <c r="B817" s="7" t="n">
        <v>305929</v>
      </c>
      <c r="C817" s="7" t="n">
        <v>477411</v>
      </c>
      <c r="D817" s="7" t="n">
        <v>423344</v>
      </c>
      <c r="E817" s="8" t="n">
        <v>40322</v>
      </c>
      <c r="F817" s="7" t="n">
        <v>4</v>
      </c>
      <c r="G817" s="7" t="inlineStr">
        <is>
          <t>I only rate this 4 stars because I found the kirsh to be slightly overpowering. I made this as a special treat for the BF. I would add the kirsh with the cherries a minute before turning off the heat. I used a little vanilla bean infused sugar. My BF went back for seconds and tried it with chocolate Ice cream and said it worked.  Very good. Made for ZWt 6.</t>
        </is>
      </c>
    </row>
    <row r="818">
      <c r="A818" s="7" t="n">
        <v>65896</v>
      </c>
      <c r="B818" s="7" t="n">
        <v>575820</v>
      </c>
      <c r="C818" s="7" t="n">
        <v>353887</v>
      </c>
      <c r="D818" s="7" t="n">
        <v>15242</v>
      </c>
      <c r="E818" s="8" t="n">
        <v>39524</v>
      </c>
      <c r="F818" s="7" t="n">
        <v>5</v>
      </c>
      <c r="G818" s="7" t="inlineStr">
        <is>
          <t>I have been making this casserole for about 5 years now. I never used butter in mine and I reduced the cheese to 1.5 cups and added a can of broccoli cheese soup. It is always yummy... to try it with different flavors... change the cream soup. Cheddar cheese soup, broccoli cheese, cream of mushroom, cream of celery... mix and match. It is a great recipe that can change with the mood of the food based on the soup based you use and a few extra spices. (try this with 1 cup pepper jack instead of cheddar, cream of celery instead of cream of chicken, add 1 can nacho cheese soup, 1 tsp coriander, 1/2 tsp cumin... it makes great Mexican cream potatoes!)</t>
        </is>
      </c>
    </row>
    <row r="819">
      <c r="A819" s="7" t="n">
        <v>94372</v>
      </c>
      <c r="B819" s="7" t="n">
        <v>378133</v>
      </c>
      <c r="C819" s="7" t="n">
        <v>469903</v>
      </c>
      <c r="D819" s="7" t="n">
        <v>304213</v>
      </c>
      <c r="E819" s="8" t="n">
        <v>39621</v>
      </c>
      <c r="F819" s="7" t="n">
        <v>5</v>
      </c>
      <c r="G819" s="7" t="inlineStr">
        <is>
          <t>Wowsers! I made as directed and boy was this one HOT salad! The pepper laden dressing is full of flavor and goes very well with the mellow flavors of the mango and avocado. Wonderful exciting salad! I did reduce the olive oil to 2 tablespoons, but kept the other amounts as stated. Made for ZWT4.</t>
        </is>
      </c>
    </row>
    <row r="820">
      <c r="A820" s="7" t="n">
        <v>11243</v>
      </c>
      <c r="B820" s="7" t="n">
        <v>312452</v>
      </c>
      <c r="C820" s="7" t="n">
        <v>2000057127</v>
      </c>
      <c r="D820" s="7" t="n">
        <v>378778</v>
      </c>
      <c r="E820" s="8" t="n">
        <v>42075</v>
      </c>
      <c r="F820" s="7" t="n">
        <v>5</v>
      </c>
      <c r="G820" s="7" t="inlineStr">
        <is>
          <t>I&amp;#039;ve been making these cookies since I can remember. They&amp;#039;ve been a favorite of mine since I was about 9. My sister always made the snicker doodles out of the old, beat up Betty Crocker cookbook my mother received as a hand-me-down wedding gift in 1978, while I always made the chocolate chip cookies. I almost always omit the nuts simply because I&amp;#039;m not a huge walnut fan. I also tweak the baking time. I undercook my cookies so that when they come out of the oven, they&amp;#039;re still fairly doughy in the center, enough that not-so-gentle prying off the baking sheet will break them. I found that by doing this, super chewy and soft cookies result every time. I&amp;#039;ve had many people ask me what my &amp;quot;secret&amp;quot; for such a perfect cookie is and that&amp;#039;s honestly it! :) I will always have fond memories of baking these suckers and I consider them my &amp;quot;go-to&amp;quot; cookie. A+ recipe.</t>
        </is>
      </c>
    </row>
    <row r="821">
      <c r="A821" s="7" t="n">
        <v>13771</v>
      </c>
      <c r="B821" s="7" t="n">
        <v>56886</v>
      </c>
      <c r="C821" s="7" t="n">
        <v>207552</v>
      </c>
      <c r="D821" s="7" t="n">
        <v>9054</v>
      </c>
      <c r="E821" s="8" t="n">
        <v>39565</v>
      </c>
      <c r="F821" s="7" t="n">
        <v>4</v>
      </c>
      <c r="G821" s="7" t="inlineStr">
        <is>
          <t>Hey, good recipe, but if you want to cut out the chopping, add a frozen mix of the Southwest. It comes with black beans, onions, green &amp; red bell pepper all in one bag, and some mexican mix grated cheese, and voila, you have the Southwestern version!</t>
        </is>
      </c>
    </row>
    <row r="822">
      <c r="A822" s="7" t="n">
        <v>98111</v>
      </c>
      <c r="B822" s="7" t="n">
        <v>880729</v>
      </c>
      <c r="C822" s="7" t="n">
        <v>2734650</v>
      </c>
      <c r="D822" s="7" t="n">
        <v>170937</v>
      </c>
      <c r="E822" s="8" t="n">
        <v>41346</v>
      </c>
      <c r="F822" s="7" t="n">
        <v>4</v>
      </c>
      <c r="G822" s="7" t="inlineStr">
        <is>
          <t>Very good.Try using them in Scotch Eggs.</t>
        </is>
      </c>
    </row>
    <row r="823">
      <c r="A823" s="7" t="n">
        <v>19471</v>
      </c>
      <c r="B823" s="7" t="n">
        <v>730089</v>
      </c>
      <c r="C823" s="7" t="n">
        <v>969481</v>
      </c>
      <c r="D823" s="7" t="n">
        <v>230445</v>
      </c>
      <c r="E823" s="8" t="n">
        <v>39782</v>
      </c>
      <c r="F823" s="7" t="n">
        <v>4</v>
      </c>
      <c r="G823" s="7" t="inlineStr">
        <is>
          <t>Great burgers. These were a bit too spicy for my taste (of course, I'm not one for jalapenos), but the DH just loved them. He is the spice nut and was looking for a spicy burger recipe and this seem to fit the bill. We will make these again, but I think I will just use the jalapenos as a garnish on top of the burgers and not mix in with the beef so I can control the spice for me and the kids. The mayo was good too.</t>
        </is>
      </c>
    </row>
    <row r="824">
      <c r="A824" s="7" t="n">
        <v>14127</v>
      </c>
      <c r="B824" s="7" t="n">
        <v>117805</v>
      </c>
      <c r="C824" s="7" t="n">
        <v>1858816</v>
      </c>
      <c r="D824" s="7" t="n">
        <v>446432</v>
      </c>
      <c r="E824" s="8" t="n">
        <v>43008</v>
      </c>
      <c r="F824" s="7" t="n">
        <v>5</v>
      </c>
      <c r="G824" s="7" t="inlineStr">
        <is>
          <t>The direction to freeze was genius! It kept the cheese from overcooking and by freezing them in mini muffin tins they were the perfect size. I didn't have beer so I used club soda and a teaspoon of sugar. Didn't have Old Bay and they were still great without it. Maybe next time I'll try to have everything on hand!</t>
        </is>
      </c>
    </row>
    <row r="825">
      <c r="A825" s="7" t="n">
        <v>97894</v>
      </c>
      <c r="B825" s="7" t="n">
        <v>962478</v>
      </c>
      <c r="C825" s="7" t="n">
        <v>317267</v>
      </c>
      <c r="D825" s="7" t="n">
        <v>118192</v>
      </c>
      <c r="E825" s="8" t="n">
        <v>40271</v>
      </c>
      <c r="F825" s="7" t="n">
        <v>5</v>
      </c>
      <c r="G825" s="7" t="inlineStr">
        <is>
          <t>nice twist on gravlax. the 5-spice is the power ingredient, and if overused, can dominate the fish. i loved it overall, but it made a lot, and with anything, sometimes too much of a good thing turns into just too much. i'd certainly make it again, and be sure to share, share share.</t>
        </is>
      </c>
    </row>
    <row r="826">
      <c r="A826" t="n">
        <v>40976</v>
      </c>
      <c r="B826" t="n">
        <v>177900</v>
      </c>
      <c r="C826" t="n">
        <v>1391395</v>
      </c>
      <c r="D826" t="n">
        <v>38249</v>
      </c>
      <c r="E826" s="1" t="n">
        <v>40114</v>
      </c>
      <c r="F826" t="n">
        <v>5</v>
      </c>
      <c r="G826" t="inlineStr">
        <is>
          <t>This is the best meatloaf ever and i hate meatloaf. I only make it because my husband loves it. Very easy to make and clean up is basically none. I have made a number of times and it always comes out great. Definetly a keeper.</t>
        </is>
      </c>
    </row>
    <row r="827">
      <c r="A827" s="7" t="n">
        <v>83315</v>
      </c>
      <c r="B827" s="7" t="n">
        <v>816860</v>
      </c>
      <c r="C827" s="7" t="n">
        <v>336058</v>
      </c>
      <c r="D827" s="7" t="n">
        <v>208053</v>
      </c>
      <c r="E827" s="8" t="n">
        <v>39607</v>
      </c>
      <c r="F827" s="7" t="n">
        <v>3</v>
      </c>
      <c r="G827" s="7" t="inlineStr">
        <is>
          <t>I had a hard time choosing between 3 and 4.  This was my first time cooking with chorizo and I had a 15 oz pkg of mild chorizo.  I don't think the oil is necessary, as the chorizo has plenty of grease.  I started out in my skillet, but had to transfer to my spaghetti pot.  I used ground turkey, half the chili and cumin (family pref.), black beans and MGD.  Used cornmeal for the polenta, but probably would use noodles next time.  Family's not fond of polenta.    The flavor of the chili was good and I will try making that again without the polenta.</t>
        </is>
      </c>
    </row>
    <row r="828">
      <c r="A828" t="n">
        <v>98867</v>
      </c>
      <c r="B828" t="n">
        <v>1103950</v>
      </c>
      <c r="C828" t="n">
        <v>45709</v>
      </c>
      <c r="D828" t="n">
        <v>64446</v>
      </c>
      <c r="E828" s="1" t="n">
        <v>38900</v>
      </c>
      <c r="F828" t="n">
        <v>5</v>
      </c>
      <c r="G828" t="inlineStr">
        <is>
          <t>We love Macaroni Grill, esp. the bread.  So this recipe was greatly appreciated.  I followed the directions AND some of the suggestions posted in the reviews.  Followed the ingredients list but needed about 3 cups of flour.  Used my BM, the dough cycle.  Used fresh rosemary, chopped it up fine.  Brushed the loaves with egg white during the baking, got a nice crisp top. Put chopped fresh rosemary and sea salt on the top too.  Most important:  it has to be eaten right after baking, out of this world.  Dip in olive oil/balsamic vinegar combo.  Oh...to die for.  This is a keeper, to be repeated many times!!</t>
        </is>
      </c>
    </row>
    <row r="829">
      <c r="A829" s="7" t="n">
        <v>7644</v>
      </c>
      <c r="B829" s="7" t="n">
        <v>235685</v>
      </c>
      <c r="C829" s="7" t="n">
        <v>624726</v>
      </c>
      <c r="D829" s="7" t="n">
        <v>45005</v>
      </c>
      <c r="E829" s="8" t="n">
        <v>39936</v>
      </c>
      <c r="F829" s="7" t="n">
        <v>5</v>
      </c>
      <c r="G829" s="7" t="inlineStr">
        <is>
          <t>Loved it!  Made this for dinner and the entire family enjoyed it.  I did double the sauce portion, which was perfect.  We like spicy food, so we threw in a little more of the chili sauce.  Also, substituted ground chicken for the chicken breast.  Just as good.  This will be a recipe we keep coming back to!  Thanks!!</t>
        </is>
      </c>
    </row>
    <row r="830">
      <c r="A830" s="7" t="n">
        <v>112611</v>
      </c>
      <c r="B830" s="7" t="n">
        <v>322231</v>
      </c>
      <c r="C830" s="7" t="n">
        <v>558429</v>
      </c>
      <c r="D830" s="7" t="n">
        <v>430091</v>
      </c>
      <c r="E830" s="8" t="n">
        <v>41249</v>
      </c>
      <c r="F830" s="7" t="n">
        <v>5</v>
      </c>
      <c r="G830" s="7" t="inlineStr">
        <is>
          <t>This was DELICIOUS! I saut?ed the cabbage with some garlic cloves and added thyme, then mixed the soy sauce with dijon mustard. I will certainly make this again--good luck to everyone who tries this diet, it's been a Godsend for me! :)</t>
        </is>
      </c>
    </row>
    <row r="831">
      <c r="A831" s="7" t="n">
        <v>103530</v>
      </c>
      <c r="B831" s="7" t="n">
        <v>1075473</v>
      </c>
      <c r="C831" s="7" t="n">
        <v>2000921922</v>
      </c>
      <c r="D831" s="7" t="n">
        <v>15529</v>
      </c>
      <c r="E831" s="8" t="n">
        <v>42444</v>
      </c>
      <c r="F831" s="7" t="n">
        <v>5</v>
      </c>
      <c r="G831" s="7" t="inlineStr">
        <is>
          <t>YEAH!!!  This is the carrot cake I have been searching for since the bakery went out of business by us!  It was GREAT!!  I used a quarter sheet pan for this instead of the 2-10 inch pans and it was perfect!  EVERYONE LOVED it!! Thank you so much!!</t>
        </is>
      </c>
    </row>
    <row r="832">
      <c r="A832" s="7" t="n">
        <v>115157</v>
      </c>
      <c r="B832" s="7" t="n">
        <v>530093</v>
      </c>
      <c r="C832" s="7" t="n">
        <v>88099</v>
      </c>
      <c r="D832" s="7" t="n">
        <v>243415</v>
      </c>
      <c r="E832" s="8" t="n">
        <v>39318</v>
      </c>
      <c r="F832" s="7" t="n">
        <v>4</v>
      </c>
      <c r="G832" s="7" t="inlineStr">
        <is>
          <t>We really enjoyed this. The pineapple mixture was wonderful. I could not cook it in the oven due to it being 106 degrees temperature outside so after I browned them and got the pork to 155 degrees, I removed them and cooked the sauce for 5 minutes and returned the pork to the sauce, covered it and simmered it for another 5-10 minutes. The pork was very tender and juicy and perfectly done. We will be making this again. Good luck.</t>
        </is>
      </c>
    </row>
    <row r="833">
      <c r="A833" s="7" t="n">
        <v>125987</v>
      </c>
      <c r="B833" s="7" t="n">
        <v>218760</v>
      </c>
      <c r="C833" s="7" t="n">
        <v>1850150</v>
      </c>
      <c r="D833" s="7" t="n">
        <v>15345</v>
      </c>
      <c r="E833" s="8" t="n">
        <v>40992</v>
      </c>
      <c r="F833" s="7" t="n">
        <v>0</v>
      </c>
      <c r="G833" s="7" t="inlineStr">
        <is>
          <t>Great cookies!! Excellent taste. I just had to bake them for about 16 min because they appeared like they were not done. I saved this recipe and will make them again for sure!</t>
        </is>
      </c>
    </row>
    <row r="834">
      <c r="A834" s="7" t="n">
        <v>105577</v>
      </c>
      <c r="B834" s="7" t="n">
        <v>498393</v>
      </c>
      <c r="C834" s="7" t="n">
        <v>1834157</v>
      </c>
      <c r="D834" s="7" t="n">
        <v>321432</v>
      </c>
      <c r="E834" s="8" t="n">
        <v>40594</v>
      </c>
      <c r="F834" s="7" t="n">
        <v>5</v>
      </c>
      <c r="G834" s="7" t="inlineStr">
        <is>
          <t>This was terrific with Meatloaf.  I used beef stock instead of water and added a few dried cherries and currants.  After cooking the flour I added everything and simmered for 20 minutes.  Then I put it in the blender.  Yummie!</t>
        </is>
      </c>
    </row>
    <row r="835">
      <c r="A835" s="7" t="n">
        <v>121523</v>
      </c>
      <c r="B835" s="7" t="n">
        <v>53139</v>
      </c>
      <c r="C835" s="7" t="n">
        <v>1803109443</v>
      </c>
      <c r="D835" s="7" t="n">
        <v>199555</v>
      </c>
      <c r="E835" s="8" t="n">
        <v>41888</v>
      </c>
      <c r="F835" s="7" t="n">
        <v>5</v>
      </c>
      <c r="G835" s="7" t="inlineStr">
        <is>
          <t>Perfect. This has to be a pretty no-fail recipe, because I fudged on so much of it -- I forgot to add salt into the batter before pouring it into a muffin pan, so I just sprinkled some sea salt on top of each muffin before baking. Then I sprinkled some cayenne for fun. And I used coconut oil... but then the coconut oil solidified when I poured in the soy milk. So I had to nuke the whole wet mix to get it blended in. But it&amp;#039;s delicious anyway.</t>
        </is>
      </c>
    </row>
    <row r="836">
      <c r="A836" s="7" t="n">
        <v>41987</v>
      </c>
      <c r="B836" s="7" t="n">
        <v>1020515</v>
      </c>
      <c r="C836" s="7" t="n">
        <v>1010298</v>
      </c>
      <c r="D836" s="7" t="n">
        <v>172062</v>
      </c>
      <c r="E836" s="8" t="n">
        <v>39753</v>
      </c>
      <c r="F836" s="7" t="n">
        <v>5</v>
      </c>
      <c r="G836" s="7" t="inlineStr">
        <is>
          <t>I took a plate of these fingers to a Halloween party last night and they were the hit of the party.  They are truly grotesque and delicious.</t>
        </is>
      </c>
    </row>
    <row r="837">
      <c r="A837" s="7" t="n">
        <v>58520</v>
      </c>
      <c r="B837" s="7" t="n">
        <v>563110</v>
      </c>
      <c r="C837" s="7" t="n">
        <v>77458</v>
      </c>
      <c r="D837" s="7" t="n">
        <v>78157</v>
      </c>
      <c r="E837" s="8" t="n">
        <v>38072</v>
      </c>
      <c r="F837" s="7" t="n">
        <v>3</v>
      </c>
      <c r="G837" s="7" t="inlineStr">
        <is>
          <t>This is a very mild tasting dish. I spiced it up with 1 tsp bottled crushed garlic, but it still needed something. I've been requested to make it again, so maybe the next time I will add some lemon juice, too.</t>
        </is>
      </c>
    </row>
    <row r="838">
      <c r="A838" s="7" t="n">
        <v>33143</v>
      </c>
      <c r="B838" s="7" t="n">
        <v>395720</v>
      </c>
      <c r="C838" s="7" t="n">
        <v>768039</v>
      </c>
      <c r="D838" s="7" t="n">
        <v>317323</v>
      </c>
      <c r="E838" s="8" t="n">
        <v>39670</v>
      </c>
      <c r="F838" s="7" t="n">
        <v>5</v>
      </c>
      <c r="G838" s="7" t="inlineStr">
        <is>
          <t>Good flavor, improved as it sat.  I usually buy my horseradish hummus at a Lebanese bakery, now I won't have to anymore. Mellows out nicely overnight.</t>
        </is>
      </c>
    </row>
    <row r="839">
      <c r="A839" s="7" t="n">
        <v>3418</v>
      </c>
      <c r="B839" s="7" t="n">
        <v>81037</v>
      </c>
      <c r="C839" s="7" t="n">
        <v>109608</v>
      </c>
      <c r="D839" s="7" t="n">
        <v>23439</v>
      </c>
      <c r="E839" s="8" t="n">
        <v>39741</v>
      </c>
      <c r="F839" s="7" t="n">
        <v>5</v>
      </c>
      <c r="G839" s="7" t="inlineStr">
        <is>
          <t>This was really tasty! My 13 year old daughter made this for her home cooking assignment from her home ec class at school. I had her put everything into the food processor rather than use a mixer and that worked very well. It is very garlicky, which was fine with us, but if you don't love raw garlic, you might want to cut it down to 1/2 a clove.</t>
        </is>
      </c>
    </row>
    <row r="840">
      <c r="A840" s="7" t="n">
        <v>94556</v>
      </c>
      <c r="B840" s="7" t="n">
        <v>763217</v>
      </c>
      <c r="C840" s="7" t="n">
        <v>241241</v>
      </c>
      <c r="D840" s="7" t="n">
        <v>220808</v>
      </c>
      <c r="E840" s="8" t="n">
        <v>39711</v>
      </c>
      <c r="F840" s="7" t="n">
        <v>5</v>
      </c>
      <c r="G840" s="7" t="inlineStr">
        <is>
          <t>I make this all the time. It goes great with just about everything. The only thing I do different is I add the cilantro at the very end before serving... I just love the taste of fresh cilantro. Still a keeper! Thank you!</t>
        </is>
      </c>
    </row>
    <row r="841">
      <c r="A841" s="7" t="n">
        <v>7712</v>
      </c>
      <c r="B841" s="7" t="n">
        <v>1099503</v>
      </c>
      <c r="C841" s="7" t="n">
        <v>145448</v>
      </c>
      <c r="D841" s="7" t="n">
        <v>494369</v>
      </c>
      <c r="E841" s="8" t="n">
        <v>41304</v>
      </c>
      <c r="F841" s="7" t="n">
        <v>5</v>
      </c>
      <c r="G841" s="7" t="inlineStr">
        <is>
          <t>Yummy!  Makes a good lunch.</t>
        </is>
      </c>
    </row>
    <row r="842">
      <c r="A842" s="7" t="n">
        <v>28387</v>
      </c>
      <c r="B842" s="7" t="n">
        <v>384751</v>
      </c>
      <c r="C842" s="7" t="n">
        <v>37636</v>
      </c>
      <c r="D842" s="7" t="n">
        <v>498727</v>
      </c>
      <c r="E842" s="8" t="n">
        <v>41677</v>
      </c>
      <c r="F842" s="7" t="n">
        <v>5</v>
      </c>
      <c r="G842" s="7" t="inlineStr">
        <is>
          <t>I used butter instead of margarine of course. I also did not split these but left them as is, brushed with butter and sprinkled with herb and baked an extra 2 minutes since mine were thicker.</t>
        </is>
      </c>
    </row>
    <row r="843">
      <c r="A843" s="7" t="n">
        <v>37798</v>
      </c>
      <c r="B843" s="7" t="n">
        <v>646527</v>
      </c>
      <c r="C843" s="7" t="n">
        <v>786065</v>
      </c>
      <c r="D843" s="7" t="n">
        <v>110733</v>
      </c>
      <c r="E843" s="8" t="n">
        <v>39952</v>
      </c>
      <c r="F843" s="7" t="n">
        <v>4</v>
      </c>
      <c r="G843" s="7" t="inlineStr">
        <is>
          <t>I sauteed the rice before adding everything else.  I did add about 1/4 a cup more water &amp; it turned out perfectly.  For those of you who don't cook rice, make sure you cover it while cooking.  VERY easy and nice work night meal.</t>
        </is>
      </c>
    </row>
    <row r="844">
      <c r="A844" s="7" t="n">
        <v>33663</v>
      </c>
      <c r="B844" s="7" t="n">
        <v>165501</v>
      </c>
      <c r="C844" s="7" t="n">
        <v>120908</v>
      </c>
      <c r="D844" s="7" t="n">
        <v>81857</v>
      </c>
      <c r="E844" s="8" t="n">
        <v>38284</v>
      </c>
      <c r="F844" s="7" t="n">
        <v>5</v>
      </c>
      <c r="G844" s="7" t="inlineStr">
        <is>
          <t>YUM, YUM, YUM!  Made these for our annual Halloween costume party.  I at least doubled the recipe because it was so fun making the little phyllo cups.  Everybody loved them.  This will be one of my standard appetizer party recipes.  Thank you for the recipe.</t>
        </is>
      </c>
    </row>
    <row r="845">
      <c r="A845" s="7" t="n">
        <v>77072</v>
      </c>
      <c r="B845" s="7" t="n">
        <v>903167</v>
      </c>
      <c r="C845" s="7" t="n">
        <v>539977</v>
      </c>
      <c r="D845" s="7" t="n">
        <v>88935</v>
      </c>
      <c r="E845" s="8" t="n">
        <v>39647</v>
      </c>
      <c r="F845" s="7" t="n">
        <v>5</v>
      </c>
      <c r="G845" s="7" t="inlineStr">
        <is>
          <t>This was yummy. very thick. I don't use bouillon, so I used chicken stock. My kabocha was 4 pounds so I used 2 onions, 2 TBS butter and 4 cups stock. Super yummy. Thanks</t>
        </is>
      </c>
    </row>
    <row r="846">
      <c r="A846" s="7" t="n">
        <v>88984</v>
      </c>
      <c r="B846" s="7" t="n">
        <v>953322</v>
      </c>
      <c r="C846" s="7" t="n">
        <v>54243</v>
      </c>
      <c r="D846" s="7" t="n">
        <v>94410</v>
      </c>
      <c r="E846" s="8" t="n">
        <v>38168</v>
      </c>
      <c r="F846" s="7" t="n">
        <v>3</v>
      </c>
      <c r="G846" s="7" t="inlineStr">
        <is>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is>
      </c>
    </row>
    <row r="847">
      <c r="A847" s="7" t="n">
        <v>37712</v>
      </c>
      <c r="B847" s="7" t="n">
        <v>1007286</v>
      </c>
      <c r="C847" s="7" t="n">
        <v>152393</v>
      </c>
      <c r="D847" s="7" t="n">
        <v>78705</v>
      </c>
      <c r="E847" s="8" t="n">
        <v>38273</v>
      </c>
      <c r="F847" s="7" t="n">
        <v>4</v>
      </c>
      <c r="G847" s="7" t="inlineStr">
        <is>
          <t xml:space="preserve">Thank you Marie for a great new favorite!  Everyone loved this.  I used country style ribs and left them in the cooker for 10 hours.  The ribs were so tender they fell off the bone and the sauce was delicious. I will be making this often.  </t>
        </is>
      </c>
    </row>
    <row r="848">
      <c r="A848" s="7" t="n">
        <v>14519</v>
      </c>
      <c r="B848" s="7" t="n">
        <v>397186</v>
      </c>
      <c r="C848" s="7" t="n">
        <v>2001376258</v>
      </c>
      <c r="D848" s="7" t="n">
        <v>233189</v>
      </c>
      <c r="E848" s="8" t="n">
        <v>42769</v>
      </c>
      <c r="F848" s="7" t="n">
        <v>0</v>
      </c>
      <c r="G848" s="7" t="inlineStr">
        <is>
          <t>I'm eating Cane's chicken right now. The sauce has a ranch flavor, I can taste that, and I can see paprika and pepper in it.</t>
        </is>
      </c>
    </row>
    <row r="849">
      <c r="A849" s="7" t="n">
        <v>1990</v>
      </c>
      <c r="B849" s="7" t="n">
        <v>308625</v>
      </c>
      <c r="C849" s="7" t="n">
        <v>461834</v>
      </c>
      <c r="D849" s="7" t="n">
        <v>240550</v>
      </c>
      <c r="E849" s="8" t="n">
        <v>39340</v>
      </c>
      <c r="F849" s="7" t="n">
        <v>4</v>
      </c>
      <c r="G849" s="7" t="inlineStr">
        <is>
          <t>Made this this morning to go along with scrambled eggs.  Just loved the flavor of the potatoes with bacon and onion!!!!  I had problems with getting the bacon done, opposite of the previous reviewer.  Next time I would cook the bacon first, remove it, add the potatoes and onion.  That would have the mixture cooking in the bacon fat and if needed then add the extra olive oil, and near the end add the bacon back to the mixture.  Thanks chris_tam for another wonderful recipe!!!!</t>
        </is>
      </c>
    </row>
    <row r="850">
      <c r="A850" s="7" t="n">
        <v>125925</v>
      </c>
      <c r="B850" s="7" t="n">
        <v>348798</v>
      </c>
      <c r="C850" s="7" t="n">
        <v>1117416</v>
      </c>
      <c r="D850" s="7" t="n">
        <v>50719</v>
      </c>
      <c r="E850" s="8" t="n">
        <v>39830</v>
      </c>
      <c r="F850" s="7" t="n">
        <v>5</v>
      </c>
      <c r="G850" s="7" t="inlineStr">
        <is>
          <t>Amazing!</t>
        </is>
      </c>
    </row>
    <row r="851">
      <c r="A851" s="7" t="n">
        <v>5336</v>
      </c>
      <c r="B851" s="7" t="n">
        <v>419742</v>
      </c>
      <c r="C851" s="7" t="n">
        <v>173314</v>
      </c>
      <c r="D851" s="7" t="n">
        <v>146022</v>
      </c>
      <c r="E851" s="8" t="n">
        <v>38962</v>
      </c>
      <c r="F851" s="7" t="n">
        <v>5</v>
      </c>
      <c r="G851" s="7" t="inlineStr">
        <is>
          <t>had friends over for appetizers and loved these! so easy and no work at all! thanks</t>
        </is>
      </c>
    </row>
    <row r="852">
      <c r="A852" t="n">
        <v>123590</v>
      </c>
      <c r="B852" t="n">
        <v>435292</v>
      </c>
      <c r="C852" t="n">
        <v>2045931</v>
      </c>
      <c r="D852" t="n">
        <v>473089</v>
      </c>
      <c r="E852" s="1" t="n">
        <v>42985</v>
      </c>
      <c r="F852" t="n">
        <v>5</v>
      </c>
      <c r="G852" t="inlineStr">
        <is>
          <t>Delicious - went perfectly with the potstickers I made for lunch. I didn't have any green onions, but it still turned out well. Next time, however, I think I will either use low-sodium soy sauce or substitute a little water for some of the soy sauce - it was a little on the salty side.</t>
        </is>
      </c>
    </row>
    <row r="853">
      <c r="A853" s="7" t="n">
        <v>80678</v>
      </c>
      <c r="B853" s="7" t="n">
        <v>585620</v>
      </c>
      <c r="C853" s="7" t="n">
        <v>975720</v>
      </c>
      <c r="D853" s="7" t="n">
        <v>214400</v>
      </c>
      <c r="E853" s="8" t="n">
        <v>41235</v>
      </c>
      <c r="F853" s="7" t="n">
        <v>5</v>
      </c>
      <c r="G853" s="7" t="inlineStr">
        <is>
          <t>Ingredients, bowl, wooden spoon, - keading, can't get much easier than that!  Plus they tasted wonderful!</t>
        </is>
      </c>
    </row>
    <row r="854">
      <c r="A854" s="7" t="n">
        <v>882</v>
      </c>
      <c r="B854" s="7" t="n">
        <v>135954</v>
      </c>
      <c r="C854" s="7" t="n">
        <v>218535</v>
      </c>
      <c r="D854" s="7" t="n">
        <v>182629</v>
      </c>
      <c r="E854" s="8" t="n">
        <v>40190</v>
      </c>
      <c r="F854" s="7" t="n">
        <v>4</v>
      </c>
      <c r="G854" s="7" t="inlineStr">
        <is>
          <t>I used lemon pepper seasoning on my chicken. It came out delicious.</t>
        </is>
      </c>
    </row>
    <row r="855">
      <c r="A855" s="7" t="n">
        <v>105791</v>
      </c>
      <c r="B855" s="7" t="n">
        <v>987177</v>
      </c>
      <c r="C855" s="7" t="n">
        <v>1612982</v>
      </c>
      <c r="D855" s="7" t="n">
        <v>329144</v>
      </c>
      <c r="E855" s="8" t="n">
        <v>40308</v>
      </c>
      <c r="F855" s="7" t="n">
        <v>5</v>
      </c>
      <c r="G855" s="7" t="inlineStr">
        <is>
          <t>This is wonderful!!</t>
        </is>
      </c>
    </row>
    <row r="856">
      <c r="A856" t="n">
        <v>107873</v>
      </c>
      <c r="B856" t="n">
        <v>759295</v>
      </c>
      <c r="C856" t="n">
        <v>449929</v>
      </c>
      <c r="D856" t="n">
        <v>156332</v>
      </c>
      <c r="E856" s="1" t="n">
        <v>39193</v>
      </c>
      <c r="F856" t="n">
        <v>4</v>
      </c>
      <c r="G856" t="inlineStr">
        <is>
          <t>YUM-O! These had a great taste.  Although they fell apart on me, they still were amazing. I might add an egg to bind them next time.  I had several guests ask for the recipe.  Served them with recipe 101803 and recipe 156914.</t>
        </is>
      </c>
    </row>
    <row r="857">
      <c r="A857" s="7" t="n">
        <v>50375</v>
      </c>
      <c r="B857" s="7" t="n">
        <v>276584</v>
      </c>
      <c r="C857" s="7" t="n">
        <v>278218</v>
      </c>
      <c r="D857" s="7" t="n">
        <v>140553</v>
      </c>
      <c r="E857" s="8" t="n">
        <v>40780</v>
      </c>
      <c r="F857" s="7" t="n">
        <v>5</v>
      </c>
      <c r="G857" s="7" t="inlineStr">
        <is>
          <t>I had a good feeling about this recipe and went ahead and doubled it (I had 2 cups of grated carrot, so why not?) The only changes I made is that I used half applesuace, half oil, and then used half almond milk, half regular milk.  I baked mine for 13 minutes and they were extremely cakey &amp; soft right out of the oven. VERY yummy way to use my fresh garden carrots.</t>
        </is>
      </c>
    </row>
    <row r="858">
      <c r="A858" s="7" t="n">
        <v>46590</v>
      </c>
      <c r="B858" s="7" t="n">
        <v>540644</v>
      </c>
      <c r="C858" s="7" t="n">
        <v>1290544</v>
      </c>
      <c r="D858" s="7" t="n">
        <v>93797</v>
      </c>
      <c r="E858" s="8" t="n">
        <v>40076</v>
      </c>
      <c r="F858" s="7" t="n">
        <v>5</v>
      </c>
      <c r="G858" s="7" t="inlineStr">
        <is>
          <t>Tasty. I, too, cut down the butter to less than half and it worked fine. A very moist pear layer on the bottom with a moist cakey laker on top.</t>
        </is>
      </c>
    </row>
    <row r="859">
      <c r="A859" s="7" t="n">
        <v>118730</v>
      </c>
      <c r="B859" s="7" t="n">
        <v>1116076</v>
      </c>
      <c r="C859" s="7" t="n">
        <v>74904</v>
      </c>
      <c r="D859" s="7" t="n">
        <v>318557</v>
      </c>
      <c r="E859" s="8" t="n">
        <v>40118</v>
      </c>
      <c r="F859" s="7" t="n">
        <v>5</v>
      </c>
      <c r="G859" s="7" t="inlineStr">
        <is>
          <t>Christine, this was Fantastic!  Tasted just like a Stuffed Bell Pepper....Went to make Stuffed Peppers and seen this soup....Thank you again, for a staple in our home!</t>
        </is>
      </c>
    </row>
    <row r="860">
      <c r="A860" s="7" t="n">
        <v>112472</v>
      </c>
      <c r="B860" s="7" t="n">
        <v>636302</v>
      </c>
      <c r="C860" s="7" t="n">
        <v>37779</v>
      </c>
      <c r="D860" s="7" t="n">
        <v>12561</v>
      </c>
      <c r="E860" s="8" t="n">
        <v>37728</v>
      </c>
      <c r="F860" s="7" t="n">
        <v>5</v>
      </c>
      <c r="G860" s="7" t="inlineStr">
        <is>
          <t>I made this last night after we got home from our soft-ball games. We were parched and dry and this drink really did the trick. Icy, sweet and refreshing. I liked the flavor of the almond extract, too. A very nice touch. Thanks Charlotte J for another cool recipe.</t>
        </is>
      </c>
    </row>
    <row r="861">
      <c r="A861" s="7" t="n">
        <v>14719</v>
      </c>
      <c r="B861" s="7" t="n">
        <v>657504</v>
      </c>
      <c r="C861" s="7" t="n">
        <v>1800141389</v>
      </c>
      <c r="D861" s="7" t="n">
        <v>27208</v>
      </c>
      <c r="E861" s="8" t="n">
        <v>42045</v>
      </c>
      <c r="F861" s="7" t="n">
        <v>5</v>
      </c>
      <c r="G861" s="7" t="inlineStr">
        <is>
          <t>This recipe was pretty good and I could see why so many people love it! It is easy and filled with good flavours.&amp;lt;br/&amp;gt;We are not &amp;quot;roast&amp;quot; people so I would not make this recipe to often but for once in a while and to change it up sometimes, I would use this recipe for sure.&amp;lt;br/&amp;gt;I added potatoes around the roast and everyone liked the flavour the potatoes absorbed from the gravy. I found the meat a bit dry but I think I might have left it on warm to long. At the end, the entire roast was eaten and everyone seemed to like it.</t>
        </is>
      </c>
    </row>
    <row r="862">
      <c r="A862" s="7" t="n">
        <v>32185</v>
      </c>
      <c r="B862" s="7" t="n">
        <v>945127</v>
      </c>
      <c r="C862" s="7" t="n">
        <v>204024</v>
      </c>
      <c r="D862" s="7" t="n">
        <v>439926</v>
      </c>
      <c r="E862" s="8" t="n">
        <v>41019</v>
      </c>
      <c r="F862" s="7" t="n">
        <v>5</v>
      </c>
      <c r="G862" s="7" t="inlineStr">
        <is>
          <t>Genuine Swedish flavor, and the little surprise in each meatball is cardamom.  I think some fruit, say lingonberries, in the gravy would be an added treat, but frankly, these meatballs don't need improving.  Thoroughly enjoyed. Made for PAC.</t>
        </is>
      </c>
    </row>
    <row r="863" ht="409.5" customHeight="1">
      <c r="A863" s="7" t="n">
        <v>108578</v>
      </c>
      <c r="B863" s="7" t="n">
        <v>929797</v>
      </c>
      <c r="C863" s="7" t="n">
        <v>763912</v>
      </c>
      <c r="D863" s="7" t="n">
        <v>310432</v>
      </c>
      <c r="E863" s="8" t="n">
        <v>39696</v>
      </c>
      <c r="F863" s="7" t="n">
        <v>5</v>
      </c>
      <c r="G863" s="9" t="inlineStr">
        <is>
          <t>Soooo good! Am always looking for new lamb recipes.  As with previous reviewer, I used canned diced tomatoes instead of sauce and reduced the water to about 1-1/2C.
I do most of my stews soups and crock pot recipes in a pressure cooker.  Pressure cooked for about 15 min.  Superb flavor.  This will go in spring and fall rotations when lamb most available.  Thanks Um Safia</t>
        </is>
      </c>
    </row>
    <row r="864">
      <c r="A864" s="7" t="n">
        <v>47855</v>
      </c>
      <c r="B864" s="7" t="n">
        <v>567653</v>
      </c>
      <c r="C864" s="7" t="n">
        <v>1806667</v>
      </c>
      <c r="D864" s="7" t="n">
        <v>338057</v>
      </c>
      <c r="E864" s="8" t="n">
        <v>40655</v>
      </c>
      <c r="F864" s="7" t="n">
        <v>4</v>
      </c>
      <c r="G864" s="7" t="inlineStr">
        <is>
          <t>At first I was thinking, mustard, pears; really. But Hey I'm open to new things so I gave it a try. Was lightly sweet and just enough tang for balance. I was pleasantly surprised by the results. This may not be a staple for me but I'll make it again after a few months. Good job Boomette.</t>
        </is>
      </c>
    </row>
    <row r="865">
      <c r="A865" s="7" t="n">
        <v>33781</v>
      </c>
      <c r="B865" s="7" t="n">
        <v>419058</v>
      </c>
      <c r="C865" s="7" t="n">
        <v>166713</v>
      </c>
      <c r="D865" s="7" t="n">
        <v>52706</v>
      </c>
      <c r="E865" s="8" t="n">
        <v>38274</v>
      </c>
      <c r="F865" s="7" t="n">
        <v>4</v>
      </c>
      <c r="G865" s="7" t="inlineStr">
        <is>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is>
      </c>
    </row>
    <row r="866">
      <c r="A866" s="7" t="n">
        <v>70763</v>
      </c>
      <c r="B866" s="7" t="n">
        <v>489565</v>
      </c>
      <c r="C866" s="7" t="n">
        <v>1910156</v>
      </c>
      <c r="D866" s="7" t="n">
        <v>422772</v>
      </c>
      <c r="E866" s="8" t="n">
        <v>40775</v>
      </c>
      <c r="F866" s="7" t="n">
        <v>5</v>
      </c>
      <c r="G866" s="7" t="inlineStr">
        <is>
          <t>OMG Very good, my husband loved it!!!! Followed the directions,no changes. Thanks for the recipe!!!</t>
        </is>
      </c>
    </row>
    <row r="867">
      <c r="A867" s="7" t="n">
        <v>3603</v>
      </c>
      <c r="B867" s="7" t="n">
        <v>590889</v>
      </c>
      <c r="C867" s="7" t="n">
        <v>86855</v>
      </c>
      <c r="D867" s="7" t="n">
        <v>40837</v>
      </c>
      <c r="E867" s="8" t="n">
        <v>38023</v>
      </c>
      <c r="F867" s="7" t="n">
        <v>5</v>
      </c>
      <c r="G867" s="7" t="inlineStr">
        <is>
          <t xml:space="preserve">Fabulous! This is exactly how I like fettucine alfredo. The noodles were lightly coated with sauce instead of swimming in it the way the dish is often served in restaurants. Thanks Mean, for an amazing recipe. </t>
        </is>
      </c>
    </row>
    <row r="868">
      <c r="A868" s="7" t="n">
        <v>99740</v>
      </c>
      <c r="B868" s="7" t="n">
        <v>633889</v>
      </c>
      <c r="C868" s="7" t="n">
        <v>218516</v>
      </c>
      <c r="D868" s="7" t="n">
        <v>67648</v>
      </c>
      <c r="E868" s="8" t="n">
        <v>38700</v>
      </c>
      <c r="F868" s="7" t="n">
        <v>5</v>
      </c>
      <c r="G868" s="7" t="inlineStr">
        <is>
          <t>Yum!  One problem I had was that I didn't cut the potatoes small enough so it took FOREVER to cook.  But it was worth it.  The sausage we used was really spicy, so it cleared my sinuses perfectly.  Great winter comfort food!</t>
        </is>
      </c>
    </row>
    <row r="869">
      <c r="A869" s="7" t="n">
        <v>39627</v>
      </c>
      <c r="B869" s="7" t="n">
        <v>609986</v>
      </c>
      <c r="C869" s="7" t="n">
        <v>509989</v>
      </c>
      <c r="D869" s="7" t="n">
        <v>261005</v>
      </c>
      <c r="E869" s="8" t="n">
        <v>39922</v>
      </c>
      <c r="F869" s="7" t="n">
        <v>5</v>
      </c>
      <c r="G869" s="7" t="inlineStr">
        <is>
          <t>I left out the celery since I don't like it, but other than that followed the recipe.  I served it with french bread rolls.  Everyone loved it. The following day I served the leftovers over rice and again got rave reviews. I will definitely be making this again. Thanks so much for a great recipe.</t>
        </is>
      </c>
    </row>
    <row r="870">
      <c r="A870" s="7" t="n">
        <v>10252</v>
      </c>
      <c r="B870" s="7" t="n">
        <v>1053161</v>
      </c>
      <c r="C870" s="7" t="n">
        <v>551738</v>
      </c>
      <c r="D870" s="7" t="n">
        <v>13716</v>
      </c>
      <c r="E870" s="8" t="n">
        <v>39583</v>
      </c>
      <c r="F870" s="7" t="n">
        <v>5</v>
      </c>
      <c r="G870" s="7" t="inlineStr">
        <is>
          <t>This recipe is simple and easy to follow and makes a beautiful loaf. . . the texture and crust are unbeatable! This is now my favorite sourdough recipe and I'll be making it often.  I did half this recipe and froze one dough ball after the first rise.  A few days later I thawed it out, let rise until double and cooked as usual.  It turned out perfect!  Four loaves sounded like an aweful lot of work to me, but now that I know it freezes well, it doesn't sound like such a daunting task.</t>
        </is>
      </c>
    </row>
    <row r="871">
      <c r="A871" s="7" t="n">
        <v>84129</v>
      </c>
      <c r="B871" s="7" t="n">
        <v>47669</v>
      </c>
      <c r="C871" s="7" t="n">
        <v>55392</v>
      </c>
      <c r="D871" s="7" t="n">
        <v>49343</v>
      </c>
      <c r="E871" s="8" t="n">
        <v>38994</v>
      </c>
      <c r="F871" s="7" t="n">
        <v>5</v>
      </c>
      <c r="G871" s="7" t="inlineStr">
        <is>
          <t xml:space="preserve">I got this recipe off of Cook's Illustrated and was going to post it. But since it was already posted, I figured I'd review it! It is a really lovely recipe. I really like strong flavors, but they were very balanced in this recipe. Next time I think I will use better quality anchovies and capers, but it was still wonderful! My Fiancee hates these type of recipes, but I get a craving every once in a while. Thanks Sharlene! </t>
        </is>
      </c>
    </row>
    <row r="872">
      <c r="A872" s="7" t="n">
        <v>16570</v>
      </c>
      <c r="B872" s="7" t="n">
        <v>1089316</v>
      </c>
      <c r="C872" s="7" t="n">
        <v>52282</v>
      </c>
      <c r="D872" s="7" t="n">
        <v>51092</v>
      </c>
      <c r="E872" s="8" t="n">
        <v>37654</v>
      </c>
      <c r="F872" s="7" t="n">
        <v>4</v>
      </c>
      <c r="G872" s="7" t="inlineStr">
        <is>
          <t>i don't know where my processor attachments are , so i julienned the sweet potatoes with my mandoline.this was a real nice side dish, and i will be making this again, thanks heather</t>
        </is>
      </c>
    </row>
    <row r="873">
      <c r="A873" s="7" t="n">
        <v>69340</v>
      </c>
      <c r="B873" s="7" t="n">
        <v>38345</v>
      </c>
      <c r="C873" s="7" t="n">
        <v>126440</v>
      </c>
      <c r="D873" s="7" t="n">
        <v>166030</v>
      </c>
      <c r="E873" s="8" t="n">
        <v>43137</v>
      </c>
      <c r="F873" s="7" t="n">
        <v>5</v>
      </c>
      <c r="G873" s="7" t="inlineStr">
        <is>
          <t>Made as written but used Chipotle powder for chili powder. Excellent for use in our Crunchwrap Supreme</t>
        </is>
      </c>
    </row>
    <row r="874">
      <c r="A874" s="7" t="n">
        <v>88744</v>
      </c>
      <c r="B874" s="7" t="n">
        <v>451762</v>
      </c>
      <c r="C874" s="7" t="n">
        <v>58909</v>
      </c>
      <c r="D874" s="7" t="n">
        <v>81360</v>
      </c>
      <c r="E874" s="8" t="n">
        <v>38178</v>
      </c>
      <c r="F874" s="7" t="n">
        <v>5</v>
      </c>
      <c r="G874" s="7" t="inlineStr">
        <is>
          <t xml:space="preserve">These are the BEST.  They have completely replaced garlic bread in my family and no one well eat an Italian dish without these. Thanks </t>
        </is>
      </c>
    </row>
    <row r="875">
      <c r="A875" s="7" t="n">
        <v>95914</v>
      </c>
      <c r="B875" s="7" t="n">
        <v>993806</v>
      </c>
      <c r="C875" s="7" t="n">
        <v>321555</v>
      </c>
      <c r="D875" s="7" t="n">
        <v>30190</v>
      </c>
      <c r="E875" s="8" t="n">
        <v>38900</v>
      </c>
      <c r="F875" s="7" t="n">
        <v>5</v>
      </c>
      <c r="G875" s="7" t="inlineStr">
        <is>
          <t>My daughters and I inhaled a couple of batches of these. Very creamy-- almost ice creamy. Thanks much!</t>
        </is>
      </c>
    </row>
    <row r="876">
      <c r="A876" s="7" t="n">
        <v>13740</v>
      </c>
      <c r="B876" s="7" t="n">
        <v>967112</v>
      </c>
      <c r="C876" s="7" t="n">
        <v>27798</v>
      </c>
      <c r="D876" s="7" t="n">
        <v>44134</v>
      </c>
      <c r="E876" s="8" t="n">
        <v>37704</v>
      </c>
      <c r="F876" s="7" t="n">
        <v>5</v>
      </c>
      <c r="G876" s="7" t="inlineStr">
        <is>
          <t>This was an EXCELLENT, restaurant quality dish!!!  We loved it.  I followed the recipe  exactly using fresh spinach.  The only thing I did differently was to cut the tomatoes into smaller pieces.  This is definately worth a try and a great dish for company too.  It makes a lot....4 large, 6 medium size servings.  Thanks for the recipe!</t>
        </is>
      </c>
    </row>
    <row r="877">
      <c r="A877" s="7" t="n">
        <v>98836</v>
      </c>
      <c r="B877" s="7" t="n">
        <v>218766</v>
      </c>
      <c r="C877" s="7" t="n">
        <v>1800285169</v>
      </c>
      <c r="D877" s="7" t="n">
        <v>15345</v>
      </c>
      <c r="E877" s="8" t="n">
        <v>42965</v>
      </c>
      <c r="F877" s="7" t="n">
        <v>0</v>
      </c>
      <c r="G877" s="7" t="inlineStr">
        <is>
          <t>I don't know what I did wrong they had this nasty taste to them.. ??</t>
        </is>
      </c>
    </row>
    <row r="878">
      <c r="A878" s="7" t="n">
        <v>87872</v>
      </c>
      <c r="B878" s="7" t="n">
        <v>963860</v>
      </c>
      <c r="C878" s="7" t="n">
        <v>197023</v>
      </c>
      <c r="D878" s="7" t="n">
        <v>304266</v>
      </c>
      <c r="E878" s="8" t="n">
        <v>39871</v>
      </c>
      <c r="F878" s="7" t="n">
        <v>5</v>
      </c>
      <c r="G878" s="7" t="inlineStr">
        <is>
          <t>A delicious and super-easy, light Friday night meal. I'm not overly keen on horseradish and decided to give it a miss but we l-o-v-e-d some really flavoursome slices of turkey with the cranberry sauce and slices of Swiss cheese. I panfried these as I love sandwiches toasted that way. A yummy and eminently repeatable recipe which I know we'll enjoy any time. I wouldn't want to change a thing next time I make these. Thanks for sharing this recipe, Sydney Mike. Made for PRMR.</t>
        </is>
      </c>
    </row>
    <row r="879">
      <c r="A879" s="7" t="n">
        <v>122918</v>
      </c>
      <c r="B879" s="7" t="n">
        <v>188991</v>
      </c>
      <c r="C879" s="7" t="n">
        <v>2399085</v>
      </c>
      <c r="D879" s="7" t="n">
        <v>484223</v>
      </c>
      <c r="E879" s="8" t="n">
        <v>41253</v>
      </c>
      <c r="F879" s="7" t="n">
        <v>4</v>
      </c>
      <c r="G879" s="7" t="inlineStr">
        <is>
          <t>Great use of bananas, kids really enjoyed them. Thanks for the recipe!</t>
        </is>
      </c>
    </row>
    <row r="880">
      <c r="A880" s="7" t="n">
        <v>40169</v>
      </c>
      <c r="B880" s="7" t="n">
        <v>922047</v>
      </c>
      <c r="C880" s="7" t="n">
        <v>1052603</v>
      </c>
      <c r="D880" s="7" t="n">
        <v>18583</v>
      </c>
      <c r="E880" s="8" t="n">
        <v>39884</v>
      </c>
      <c r="F880" s="7" t="n">
        <v>4</v>
      </c>
      <c r="G880" s="7" t="inlineStr">
        <is>
          <t>We like this.  It was a little bland.  We put some parmesan and garlic in between the layers.  I'll play with it some.  It definitely has potential.  Thanks for posting!</t>
        </is>
      </c>
    </row>
    <row r="881">
      <c r="A881" s="7" t="n">
        <v>1823</v>
      </c>
      <c r="B881" s="7" t="n">
        <v>1074580</v>
      </c>
      <c r="C881" s="7" t="n">
        <v>1705262</v>
      </c>
      <c r="D881" s="7" t="n">
        <v>135350</v>
      </c>
      <c r="E881" s="8" t="n">
        <v>40542</v>
      </c>
      <c r="F881" s="7" t="n">
        <v>0</v>
      </c>
      <c r="G881" s="7" t="inlineStr">
        <is>
          <t>jensafrk commented that this recipe ''tastes like raw flour.'' The problem may be in making the roux, which is the carefully cooked, equal quantities of flour and butter. You must begin with low heat and the mixture must be stirred constantly to avoid scorching the flour. Start by melting the butter over low heat. When the foaming begins to subside, add the flour (do not include the salt and pepper yet) and stir constantly, watching the color of the mixture. It should become a light, nutty brown color. This may take five minutes or so. Do not go by the clock, but rather by the color. If the process is stopped too soon, while still white, it will taste like raw flour. If it gets too brown, the flour has scorched and it will taste burnt. As soon as the color is right, slowly add the room-temperature milk/cream in increments, continuing to stir constantly. When all of the milk has been added, turn the heat up to medium high and continue stirring until it begins to bubble, then reduce heat to a simmer and and continue stirring until it thickens. You now have the basic white sauce, béchamel, upon which many other cream sauces are built. In this recipe, that is a cheese sauce. Add the salt and pepper at this point and continue the recipe.</t>
        </is>
      </c>
    </row>
    <row r="882">
      <c r="A882" s="7" t="n">
        <v>82591</v>
      </c>
      <c r="B882" s="7" t="n">
        <v>574404</v>
      </c>
      <c r="C882" s="7" t="n">
        <v>438534</v>
      </c>
      <c r="D882" s="7" t="n">
        <v>13320</v>
      </c>
      <c r="E882" s="8" t="n">
        <v>40617</v>
      </c>
      <c r="F882" s="7" t="n">
        <v>0</v>
      </c>
      <c r="G882" s="7" t="inlineStr">
        <is>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is>
      </c>
    </row>
    <row r="883">
      <c r="A883" s="7" t="n">
        <v>31082</v>
      </c>
      <c r="B883" s="7" t="n">
        <v>120332</v>
      </c>
      <c r="C883" s="7" t="n">
        <v>285039</v>
      </c>
      <c r="D883" s="7" t="n">
        <v>225651</v>
      </c>
      <c r="E883" s="8" t="n">
        <v>41269</v>
      </c>
      <c r="F883" s="7" t="n">
        <v>5</v>
      </c>
      <c r="G883" s="7" t="inlineStr">
        <is>
          <t>Absolutely delicious!  I served these with my prime rib dinner on Christmas and will be putting them  on my menu next year.  I substituted onion powder for the green onion, and have to say they were even better reheated the next day!</t>
        </is>
      </c>
    </row>
    <row r="884">
      <c r="A884" s="7" t="n">
        <v>113955</v>
      </c>
      <c r="B884" s="7" t="n">
        <v>1125735</v>
      </c>
      <c r="C884" s="7" t="n">
        <v>2001450769</v>
      </c>
      <c r="D884" s="7" t="n">
        <v>325571</v>
      </c>
      <c r="E884" s="8" t="n">
        <v>42816</v>
      </c>
      <c r="F884" s="7" t="n">
        <v>5</v>
      </c>
      <c r="G884" s="7" t="inlineStr">
        <is>
          <t>Extremely easy to make and very delicious...two very important things :) Haven't tried to make loaves with the dough yet, only dinner rolls and hamburger buns so far.</t>
        </is>
      </c>
    </row>
    <row r="885">
      <c r="A885" s="7" t="n">
        <v>56865</v>
      </c>
      <c r="B885" s="7" t="n">
        <v>319128</v>
      </c>
      <c r="C885" s="7" t="n">
        <v>621626</v>
      </c>
      <c r="D885" s="7" t="n">
        <v>294059</v>
      </c>
      <c r="E885" s="8" t="n">
        <v>40539</v>
      </c>
      <c r="F885" s="7" t="n">
        <v>1</v>
      </c>
      <c r="G885" s="7" t="inlineStr">
        <is>
          <t>Tasted &amp; felt like dirt. One nibble &amp; the whole batch went into the trash.</t>
        </is>
      </c>
    </row>
    <row r="886">
      <c r="A886" s="7" t="n">
        <v>343</v>
      </c>
      <c r="B886" s="7" t="n">
        <v>1022855</v>
      </c>
      <c r="C886" s="7" t="n">
        <v>567219</v>
      </c>
      <c r="D886" s="7" t="n">
        <v>302933</v>
      </c>
      <c r="E886" s="8" t="n">
        <v>39580</v>
      </c>
      <c r="F886" s="7" t="n">
        <v>5</v>
      </c>
      <c r="G886" s="7" t="inlineStr">
        <is>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is>
      </c>
    </row>
    <row r="887">
      <c r="A887" s="7" t="n">
        <v>87464</v>
      </c>
      <c r="B887" s="7" t="n">
        <v>57762</v>
      </c>
      <c r="C887" s="7" t="n">
        <v>480195</v>
      </c>
      <c r="D887" s="7" t="n">
        <v>502906</v>
      </c>
      <c r="E887" s="8" t="n">
        <v>41479</v>
      </c>
      <c r="F887" s="7" t="n">
        <v>5</v>
      </c>
      <c r="G887" s="7" t="inlineStr">
        <is>
          <t>I doubled the recipe for a Greek buffet dinner party and this one one of two surprise hits of the meal! Everyone absolutely loved this and asked for the recipe. It was easy enough to make and very tasty. Thanks for sharing the recipe.</t>
        </is>
      </c>
    </row>
    <row r="888">
      <c r="A888" s="7" t="n">
        <v>85020</v>
      </c>
      <c r="B888" s="7" t="n">
        <v>422309</v>
      </c>
      <c r="C888" s="7" t="n">
        <v>288218</v>
      </c>
      <c r="D888" s="7" t="n">
        <v>230470</v>
      </c>
      <c r="E888" s="8" t="n">
        <v>39244</v>
      </c>
      <c r="F888" s="7" t="n">
        <v>5</v>
      </c>
      <c r="G888" s="7" t="inlineStr">
        <is>
          <t>Wow! Very hot and very tasty!!! A real winner! But unfortunatly I made some changes. My family don't want surprises in the filling and I didn't manage to persuade them. So I grilled the beef without the filling and on my burger I cut it in the middle and them added the onions, the cheese and the chili pepper. First time I used teriyaki sauce in a burger and wow! Also first time I had pineapple in burger, wow again! Its a keeper. Thaks Mamas!!!</t>
        </is>
      </c>
    </row>
    <row r="889">
      <c r="A889" s="7" t="n">
        <v>123996</v>
      </c>
      <c r="B889" s="7" t="n">
        <v>738523</v>
      </c>
      <c r="C889" s="7" t="n">
        <v>102937</v>
      </c>
      <c r="D889" s="7" t="n">
        <v>66099</v>
      </c>
      <c r="E889" s="8" t="n">
        <v>37927</v>
      </c>
      <c r="F889" s="7" t="n">
        <v>4</v>
      </c>
      <c r="G889" s="7" t="inlineStr">
        <is>
          <t>I made this yesterday for a party of 30+ people and everyone loved it!  I actually got 24 tarts out of it and used whole vanilla wafers.  Also, I only used 1/2 cup sugar and it was just right.  I don't like things too sweet.  Thank you for an easy and delicious recipe!</t>
        </is>
      </c>
    </row>
    <row r="890">
      <c r="A890" s="7" t="n">
        <v>73959</v>
      </c>
      <c r="B890" s="7" t="n">
        <v>260504</v>
      </c>
      <c r="C890" s="7" t="n">
        <v>380358</v>
      </c>
      <c r="D890" s="7" t="n">
        <v>1322</v>
      </c>
      <c r="E890" s="8" t="n">
        <v>40567</v>
      </c>
      <c r="F890" s="7" t="n">
        <v>4</v>
      </c>
      <c r="G890" s="7" t="inlineStr">
        <is>
          <t>Very good cupcakes.  i used margarine and added 1/2 tsp salt as some reviewers found it bland.  I will make this again.</t>
        </is>
      </c>
    </row>
    <row r="891">
      <c r="A891" s="7" t="n">
        <v>106448</v>
      </c>
      <c r="B891" s="7" t="n">
        <v>413497</v>
      </c>
      <c r="C891" s="7" t="n">
        <v>2000233075</v>
      </c>
      <c r="D891" s="7" t="n">
        <v>217440</v>
      </c>
      <c r="E891" s="8" t="n">
        <v>42186</v>
      </c>
      <c r="F891" s="7" t="n">
        <v>0</v>
      </c>
      <c r="G891" s="7" t="inlineStr">
        <is>
          <t>like it</t>
        </is>
      </c>
    </row>
    <row r="892">
      <c r="A892" s="7" t="n">
        <v>109407</v>
      </c>
      <c r="B892" s="7" t="n">
        <v>738671</v>
      </c>
      <c r="C892" s="7" t="n">
        <v>446143</v>
      </c>
      <c r="D892" s="7" t="n">
        <v>29365</v>
      </c>
      <c r="E892" s="8" t="n">
        <v>39175</v>
      </c>
      <c r="F892" s="7" t="n">
        <v>5</v>
      </c>
      <c r="G892" s="7" t="inlineStr">
        <is>
          <t>Awesome!</t>
        </is>
      </c>
    </row>
    <row r="893">
      <c r="A893" s="7" t="n">
        <v>35214</v>
      </c>
      <c r="B893" s="7" t="n">
        <v>249829</v>
      </c>
      <c r="C893" s="7" t="n">
        <v>56087</v>
      </c>
      <c r="D893" s="7" t="n">
        <v>199868</v>
      </c>
      <c r="E893" s="8" t="n">
        <v>39068</v>
      </c>
      <c r="F893" s="7" t="n">
        <v>5</v>
      </c>
      <c r="G893" s="7" t="inlineStr">
        <is>
          <t>Was glad I picked this recipe to make for you win in the Football pool !!  My family loved them and would like me to make them Christmas morning.  Eas much easier then it actually sounds as far as putting them together.  I did not use green onions as I forgot to get them at the market.  Congrats on your win and Thank you for sharing a recipe that made my family smile.</t>
        </is>
      </c>
    </row>
    <row r="894">
      <c r="A894" s="7" t="n">
        <v>78552</v>
      </c>
      <c r="B894" s="7" t="n">
        <v>365255</v>
      </c>
      <c r="C894" s="7" t="n">
        <v>222564</v>
      </c>
      <c r="D894" s="7" t="n">
        <v>85199</v>
      </c>
      <c r="E894" s="8" t="n">
        <v>40938</v>
      </c>
      <c r="F894" s="7" t="n">
        <v>5</v>
      </c>
      <c r="G894" s="7" t="inlineStr">
        <is>
          <t>Great beans! I made it in a pressure cooker. Soaked the beans overnight, added everything in the cooker but only 2 cups of beef stock and cooked it 15 minutes on high. Released pressure slowly. That's all, no fuss.</t>
        </is>
      </c>
    </row>
    <row r="895">
      <c r="A895" s="7" t="n">
        <v>82386</v>
      </c>
      <c r="B895" s="7" t="n">
        <v>408832</v>
      </c>
      <c r="C895" s="7" t="n">
        <v>170021</v>
      </c>
      <c r="D895" s="7" t="n">
        <v>27424</v>
      </c>
      <c r="E895" s="8" t="n">
        <v>38514</v>
      </c>
      <c r="F895" s="7" t="n">
        <v>5</v>
      </c>
      <c r="G895" s="7" t="inlineStr">
        <is>
          <t>First time trying this and it taste great. Hope to make more.</t>
        </is>
      </c>
    </row>
    <row r="896">
      <c r="A896" s="7" t="n">
        <v>18468</v>
      </c>
      <c r="B896" s="7" t="n">
        <v>675168</v>
      </c>
      <c r="C896" s="7" t="n">
        <v>434952</v>
      </c>
      <c r="D896" s="7" t="n">
        <v>78132</v>
      </c>
      <c r="E896" s="8" t="n">
        <v>41980</v>
      </c>
      <c r="F896" s="7" t="n">
        <v>5</v>
      </c>
      <c r="G896" s="7" t="inlineStr">
        <is>
          <t>I didn&amp;#039;t have cardamom on hand, so I replaced it with cayenne.  Sweet &amp;amp; spicy - YUM!!!!!!  (and I used non stick foil sprayed w butter flavored Pam.  It worked perfectly)</t>
        </is>
      </c>
    </row>
    <row r="897">
      <c r="A897" s="7" t="n">
        <v>27498</v>
      </c>
      <c r="B897" s="7" t="n">
        <v>818314</v>
      </c>
      <c r="C897" s="7" t="n">
        <v>1701427</v>
      </c>
      <c r="D897" s="7" t="n">
        <v>307910</v>
      </c>
      <c r="E897" s="8" t="n">
        <v>40461</v>
      </c>
      <c r="F897" s="7" t="n">
        <v>5</v>
      </c>
      <c r="G897" s="7" t="inlineStr">
        <is>
          <t>This recipe is incredible! Definitely my favorite vanilla cake recipe of all time. Note: Step 4 of the instructions does not say to add the 1/4 tsp of salt, but it should! Don't forget to add it!&lt;br/&gt;&lt;br/&gt;Love, love, love this cake! Hooray for vanilla bean awesomeness!</t>
        </is>
      </c>
    </row>
    <row r="898">
      <c r="A898" s="7" t="n">
        <v>22221</v>
      </c>
      <c r="B898" s="7" t="n">
        <v>455902</v>
      </c>
      <c r="C898" s="7" t="n">
        <v>157425</v>
      </c>
      <c r="D898" s="7" t="n">
        <v>240121</v>
      </c>
      <c r="E898" s="8" t="n">
        <v>39951</v>
      </c>
      <c r="F898" s="7" t="n">
        <v>5</v>
      </c>
      <c r="G898" s="7" t="inlineStr">
        <is>
          <t>We make potatoes similar to this for the grill but I have never used yukon gold potatoes before. Loved them for this recipe! I didnt make the full amount of house seasoning and used fresh minced garlic instead of garlic powder. DH cooked them on the grill for a total of 30 minutes and the were perfect. I have a feeling these potatoes will be made often. Thank you KissKiss for posting this recipe. Made and reviewed for ZWT5, Bodacious Brickhouse Babes team.</t>
        </is>
      </c>
    </row>
    <row r="899">
      <c r="A899" s="7" t="n">
        <v>97691</v>
      </c>
      <c r="B899" s="7" t="n">
        <v>1112484</v>
      </c>
      <c r="C899" s="7" t="n">
        <v>104295</v>
      </c>
      <c r="D899" s="7" t="n">
        <v>162347</v>
      </c>
      <c r="E899" s="8" t="n">
        <v>38887</v>
      </c>
      <c r="F899" s="7" t="n">
        <v>5</v>
      </c>
      <c r="G899" s="7" t="inlineStr">
        <is>
          <t>This is very similar to a standard family recipe here #74629.  The wine is different, as is the cheese.  I enjoyed both of these changes.  The wine gave it a nice fruity undertone, and I really enjoyed the mozzarella on top.  I'm not sure it will replace my traditional one, but it sure was good!  Thanks!</t>
        </is>
      </c>
    </row>
    <row r="900">
      <c r="A900" s="7" t="n">
        <v>92508</v>
      </c>
      <c r="B900" s="7" t="n">
        <v>516191</v>
      </c>
      <c r="C900" s="7" t="n">
        <v>177753</v>
      </c>
      <c r="D900" s="7" t="n">
        <v>97213</v>
      </c>
      <c r="E900" s="8" t="n">
        <v>39096</v>
      </c>
      <c r="F900" s="7" t="n">
        <v>5</v>
      </c>
      <c r="G900" s="7" t="inlineStr">
        <is>
          <t>I made this tonight for Recipe #147610 when we went over to our friends' house for dinner. It was perfect. It was so shiny and beautiful! It also had a great rich chocolate flavor that worked perfectly with the cake. Everyone wanted their share of the leftovers! Thanks!</t>
        </is>
      </c>
    </row>
    <row r="901">
      <c r="A901" s="7" t="n">
        <v>69399</v>
      </c>
      <c r="B901" s="7" t="n">
        <v>371359</v>
      </c>
      <c r="C901" s="7" t="n">
        <v>160018</v>
      </c>
      <c r="D901" s="7" t="n">
        <v>108030</v>
      </c>
      <c r="E901" s="8" t="n">
        <v>38367</v>
      </c>
      <c r="F901" s="7" t="n">
        <v>3</v>
      </c>
      <c r="G901" s="7" t="inlineStr">
        <is>
          <t>good and fast</t>
        </is>
      </c>
    </row>
    <row r="902">
      <c r="A902" s="7" t="n">
        <v>89140</v>
      </c>
      <c r="B902" s="7" t="n">
        <v>202852</v>
      </c>
      <c r="C902" s="7" t="n">
        <v>340130</v>
      </c>
      <c r="D902" s="7" t="n">
        <v>200799</v>
      </c>
      <c r="E902" s="8" t="n">
        <v>39409</v>
      </c>
      <c r="F902" s="7" t="n">
        <v>5</v>
      </c>
      <c r="G902" s="7" t="inlineStr">
        <is>
          <t>This was the best crock pot stuffing so far - moist and tasted just like it was cooked in the bird. It was a great time saver with all the other Thankgiving goodies going and DH said it was his favorite of them all!</t>
        </is>
      </c>
    </row>
    <row r="903">
      <c r="A903" s="7" t="n">
        <v>17624</v>
      </c>
      <c r="B903" s="7" t="n">
        <v>182818</v>
      </c>
      <c r="C903" s="7" t="n">
        <v>133174</v>
      </c>
      <c r="D903" s="7" t="n">
        <v>154351</v>
      </c>
      <c r="E903" s="8" t="n">
        <v>40343</v>
      </c>
      <c r="F903" s="7" t="n">
        <v>5</v>
      </c>
      <c r="G903" s="7" t="inlineStr">
        <is>
          <t>I made this to dress the salad tonight.  It is a very nice vinaigrette that I wouldn't hesitate to make again.</t>
        </is>
      </c>
    </row>
    <row r="904" ht="360" customHeight="1">
      <c r="A904" s="7" t="n">
        <v>34982</v>
      </c>
      <c r="B904" s="7" t="n">
        <v>1029105</v>
      </c>
      <c r="C904" s="7" t="n">
        <v>749214</v>
      </c>
      <c r="D904" s="7" t="n">
        <v>150209</v>
      </c>
      <c r="E904" s="8" t="n">
        <v>39830</v>
      </c>
      <c r="F904" s="7" t="n">
        <v>4</v>
      </c>
      <c r="G904" s="9" t="inlineStr">
        <is>
          <t>This quiche has a very delicate flavor and nice consistency. However, I used a Pillsbury ready-crust and should have pre-baked it as suggested--crust was soggy._x000D_
Easy to prepare.</t>
        </is>
      </c>
    </row>
    <row r="905">
      <c r="A905" s="7" t="n">
        <v>62000</v>
      </c>
      <c r="B905" s="7" t="n">
        <v>854467</v>
      </c>
      <c r="C905" s="7" t="n">
        <v>242970</v>
      </c>
      <c r="D905" s="7" t="n">
        <v>79970</v>
      </c>
      <c r="E905" s="8" t="n">
        <v>38983</v>
      </c>
      <c r="F905" s="7" t="n">
        <v>5</v>
      </c>
      <c r="G905" s="7" t="inlineStr">
        <is>
          <t>After sampling something similar, I had to try this recipe.  Sliced pickles pick up more of the horseradish flavor. Hubby's family loves them. I always have at least 2 jars made up in the fridge.</t>
        </is>
      </c>
    </row>
    <row r="906">
      <c r="A906" s="7" t="n">
        <v>12274</v>
      </c>
      <c r="B906" s="7" t="n">
        <v>537480</v>
      </c>
      <c r="C906" s="7" t="n">
        <v>537179</v>
      </c>
      <c r="D906" s="7" t="n">
        <v>320452</v>
      </c>
      <c r="E906" s="8" t="n">
        <v>39821</v>
      </c>
      <c r="F906" s="7" t="n">
        <v>4</v>
      </c>
      <c r="G906" s="7" t="inlineStr">
        <is>
          <t>Yummy! Just what I was looking for something to use up some pesto I already had. I made as directed except I added  a handful of chopped ham after the onions were carmelized. This was a great addition to an already fantastic dish. I used colby and jack cheese. I barely got a pic because DH was wanting to dig in as soon as I pulled it out of the oven. Thank You bluemoon downunder for a wonderful breakfast. Made for 123 hit wonders</t>
        </is>
      </c>
    </row>
    <row r="907">
      <c r="A907" s="7" t="n">
        <v>6508</v>
      </c>
      <c r="B907" s="7" t="n">
        <v>800005</v>
      </c>
      <c r="C907" s="7" t="n">
        <v>155607</v>
      </c>
      <c r="D907" s="7" t="n">
        <v>90246</v>
      </c>
      <c r="E907" s="8" t="n">
        <v>38578</v>
      </c>
      <c r="F907" s="7" t="n">
        <v>5</v>
      </c>
      <c r="G907" s="7" t="inlineStr">
        <is>
          <t>Too Good !!! MAde this for a girly weekend getaway _ I had breakkie duties, all loved it and left us satisfied well into the day</t>
        </is>
      </c>
    </row>
    <row r="908">
      <c r="A908" s="7" t="n">
        <v>30832</v>
      </c>
      <c r="B908" s="7" t="n">
        <v>141975</v>
      </c>
      <c r="C908" s="7" t="n">
        <v>331695</v>
      </c>
      <c r="D908" s="7" t="n">
        <v>164425</v>
      </c>
      <c r="E908" s="8" t="n">
        <v>38923</v>
      </c>
      <c r="F908" s="7" t="n">
        <v>4</v>
      </c>
      <c r="G908" s="7" t="inlineStr">
        <is>
          <t>Thanks so much, very good. I used 2 large fresh tomatoes but simple and very pretty.</t>
        </is>
      </c>
    </row>
    <row r="909" ht="409.5" customHeight="1">
      <c r="A909" s="7" t="n">
        <v>66647</v>
      </c>
      <c r="B909" s="7" t="n">
        <v>785575</v>
      </c>
      <c r="C909" s="7" t="n">
        <v>196819</v>
      </c>
      <c r="D909" s="7" t="n">
        <v>37625</v>
      </c>
      <c r="E909" s="8" t="n">
        <v>38760</v>
      </c>
      <c r="F909" s="7" t="n">
        <v>5</v>
      </c>
      <c r="G909" s="9" t="inlineStr">
        <is>
          <t>Excellent crumb cake,so moist &amp; yummy! The only thing I did different was use about 1/2 cup more of brown sugar and a litte more cinnamon. The crumbs were so good, I ended up mixing them by hand, when I sampled them before spreading I had to stop myself fom eating them all before topping the cake :)  As for the cake batter, people seem to have trouble spreading it but mine was fine. I spread it out with the spatula and went to make the crumbs, the batter evened itself out on its own,I just gave it a little shake before putting on the crumbs.  I did bake it for 15 minutes each time. DH &amp; I couldn't even wait for it to cool completely before_x000D_
we indulged. Thanks so much for posting this.</t>
        </is>
      </c>
    </row>
    <row r="910" ht="409.5" customHeight="1">
      <c r="A910" s="7" t="n">
        <v>81514</v>
      </c>
      <c r="B910" s="7" t="n">
        <v>13706</v>
      </c>
      <c r="C910" s="7" t="n">
        <v>182233</v>
      </c>
      <c r="D910" s="7" t="n">
        <v>15646</v>
      </c>
      <c r="E910" s="8" t="n">
        <v>38366</v>
      </c>
      <c r="F910" s="7" t="n">
        <v>0</v>
      </c>
      <c r="G910" s="9" t="inlineStr">
        <is>
          <t xml:space="preserve">Great recipe indeed. I've been making this for a decade. The "genius" creator of this dish is Larry Forgione. It's "restaurant quality" alright-- An American Place was of quality (that is, to us New Yorkers, before it moved to Lex.). We should give credit where it's due... its only right that we mention the source._x000D_
Update: Its published in his book, "An American Place" and posted on Food Network's site. Gimme a break! http://www.foodnetwork.com/food/recipes/recipe/0,,FOOD_9936_13658,00.html _x000D_
</t>
        </is>
      </c>
    </row>
    <row r="911">
      <c r="A911" s="7" t="n">
        <v>77288</v>
      </c>
      <c r="B911" s="7" t="n">
        <v>428366</v>
      </c>
      <c r="C911" s="7" t="n">
        <v>274212</v>
      </c>
      <c r="D911" s="7" t="n">
        <v>22149</v>
      </c>
      <c r="E911" s="8" t="n">
        <v>39217</v>
      </c>
      <c r="F911" s="7" t="n">
        <v>5</v>
      </c>
      <c r="G911" s="7" t="inlineStr">
        <is>
          <t>OUTSTANDING!!  Never thought to put milk in the water.  My picky eater ate 2 ears of corn.  I will definately be using this method from now on.</t>
        </is>
      </c>
    </row>
    <row r="912">
      <c r="A912" s="7" t="n">
        <v>81058</v>
      </c>
      <c r="B912" s="7" t="n">
        <v>94694</v>
      </c>
      <c r="C912" s="7" t="n">
        <v>247152</v>
      </c>
      <c r="D912" s="7" t="n">
        <v>361341</v>
      </c>
      <c r="E912" s="8" t="n">
        <v>39968</v>
      </c>
      <c r="F912" s="7" t="n">
        <v>5</v>
      </c>
      <c r="G912" s="7" t="inlineStr">
        <is>
          <t>This was great! I made half the marinade for two salmon filets. This had a nice flavor, I marinaded for about 9 hours but would like to try 24 hours next time so I can taste even more of this yummy marindade! Made for ZWT5.</t>
        </is>
      </c>
    </row>
    <row r="913">
      <c r="A913" s="7" t="n">
        <v>15075</v>
      </c>
      <c r="B913" s="7" t="n">
        <v>157782</v>
      </c>
      <c r="C913" s="7" t="n">
        <v>59686</v>
      </c>
      <c r="D913" s="7" t="n">
        <v>15948</v>
      </c>
      <c r="E913" s="8" t="n">
        <v>41517</v>
      </c>
      <c r="F913" s="7" t="n">
        <v>5</v>
      </c>
      <c r="G913" s="7" t="inlineStr">
        <is>
          <t>I&amp;#039;ve never seen Strawberry Snapple Tea in the stores, but seeing how I LOVE Iced Tea, I had to give this recipe a try. I did however, modify the recipe to my liking. I used 8 regular size tea bags, so the taste of tea would come through like the bottled version of Snapple Tea. (I always use 1 tea bag per 8 ounces of water whenever I make ice tea, to give iced tea that wonderful tea flavor.) Mirj, I did add 1 cup plus 1-2 tablespoons of granulated sugar, and added 1&amp;frac12;  tablespoons of Watkins Imitation Strawberry Extract, as the 1 tablespoon was not enough to give this iced tea a good strawberry flavor. I did not find this tea had a bitter taste like another reviewer posted. I enjoyed the tea and would make it again, but with the modifications I made. If I had to make as is, I would probably give/rate this recipe with just 1 star, as it does need tweaking in order to get more of that tea and strawberry flavor. But I think this is a good basic recipe to start with. Was glad to of found this recipe, and Mirj, thank you for sharing the recipe!</t>
        </is>
      </c>
    </row>
    <row r="914">
      <c r="A914" s="7" t="n">
        <v>86926</v>
      </c>
      <c r="B914" s="7" t="n">
        <v>1014969</v>
      </c>
      <c r="C914" s="7" t="n">
        <v>267157</v>
      </c>
      <c r="D914" s="7" t="n">
        <v>109943</v>
      </c>
      <c r="E914" s="8" t="n">
        <v>39052</v>
      </c>
      <c r="F914" s="7" t="n">
        <v>5</v>
      </c>
      <c r="G914" s="7" t="inlineStr">
        <is>
          <t>This was heavenly.  I loved the gravy that it made.  Thank You for sharing.</t>
        </is>
      </c>
    </row>
    <row r="915">
      <c r="A915" s="7" t="n">
        <v>46540</v>
      </c>
      <c r="B915" s="7" t="n">
        <v>1044337</v>
      </c>
      <c r="C915" s="7" t="n">
        <v>220348</v>
      </c>
      <c r="D915" s="7" t="n">
        <v>61851</v>
      </c>
      <c r="E915" s="8" t="n">
        <v>41318</v>
      </c>
      <c r="F915" s="7" t="n">
        <v>5</v>
      </c>
      <c r="G915" s="7" t="inlineStr">
        <is>
          <t>This was too good to be true. Nice and spicy, but nicely tempered by the sour cream. I don't think anyone in my family missed the meat in these tacos. In fact, they were surprised that there was no meat, but they still enjoyed it!</t>
        </is>
      </c>
    </row>
    <row r="916" ht="409.5" customHeight="1">
      <c r="A916" s="7" t="n">
        <v>13362</v>
      </c>
      <c r="B916" s="7" t="n">
        <v>518737</v>
      </c>
      <c r="C916" s="7" t="n">
        <v>140132</v>
      </c>
      <c r="D916" s="7" t="n">
        <v>54715</v>
      </c>
      <c r="E916" s="8" t="n">
        <v>39112</v>
      </c>
      <c r="F916" s="7" t="n">
        <v>5</v>
      </c>
      <c r="G916" s="9" t="inlineStr">
        <is>
          <t>I made this last night for dinner and my family devoured it.  I used 14 thinly sliced boneless pork chops and doubled the sauce recipe. There were none left!  The meat was so tender and flavorful that we cut it with our forks.  My 17 year old son ate 5 of them!!!!  I served this with ramen fried rice and stir fried zucchini in hoisen sauce......what a great meal.....thank you very much._x000D_
        Stephanie</t>
        </is>
      </c>
    </row>
    <row r="917">
      <c r="A917" s="7" t="n">
        <v>28722</v>
      </c>
      <c r="B917" s="7" t="n">
        <v>689409</v>
      </c>
      <c r="C917" s="7" t="n">
        <v>167782</v>
      </c>
      <c r="D917" s="7" t="n">
        <v>155216</v>
      </c>
      <c r="E917" s="8" t="n">
        <v>40651</v>
      </c>
      <c r="F917" s="7" t="n">
        <v>5</v>
      </c>
      <c r="G917" s="7" t="inlineStr">
        <is>
          <t>Very Yummy! I used ground turkey and saute'd with garlic and onion and added a little taco seasoning to the meat. I also used onion soup mix since I didn't have veggie. Love how quick it was to make! Thank you for sharing!</t>
        </is>
      </c>
    </row>
    <row r="918">
      <c r="A918" s="7" t="n">
        <v>114923</v>
      </c>
      <c r="B918" s="7" t="n">
        <v>657367</v>
      </c>
      <c r="C918" s="7" t="n">
        <v>26313</v>
      </c>
      <c r="D918" s="7" t="n">
        <v>27208</v>
      </c>
      <c r="E918" s="8" t="n">
        <v>41224</v>
      </c>
      <c r="F918" s="7" t="n">
        <v>4</v>
      </c>
      <c r="G918" s="7" t="inlineStr">
        <is>
          <t>I am updating my review as I tried it again and did a few things and now we love it&lt;br/&gt;&lt;br/&gt;I use ALL the seasoning packets&lt;br/&gt;I put the crockpot on high for 2 hours, ,then on low for the remainder (about 4) this kinda sears the meat a little bit&lt;br/&gt;Near the end, I open it up and shred it up a little bit. This will give flavor to more of the meat&lt;br/&gt;&lt;br/&gt;Also, even if it doesn't look like enough water, do not add more as it will drown the flavor!</t>
        </is>
      </c>
    </row>
    <row r="919">
      <c r="A919" s="7" t="n">
        <v>120785</v>
      </c>
      <c r="B919" s="7" t="n">
        <v>869135</v>
      </c>
      <c r="C919" s="7" t="n">
        <v>40961</v>
      </c>
      <c r="D919" s="7" t="n">
        <v>168388</v>
      </c>
      <c r="E919" s="8" t="n">
        <v>39567</v>
      </c>
      <c r="F919" s="7" t="n">
        <v>5</v>
      </c>
      <c r="G919" s="7" t="inlineStr">
        <is>
          <t>I have made breaded chicken over the years but this recipe turned out better than any of the others. I used thinly sliced boneless chicken breasts. They were moist and flavorfull and everyone really enjoyed them.  I think the combination of butter and olive oil makes them special I used garlic flavored bread crumbs. I know I will be making these regularly. thanks for sharing.</t>
        </is>
      </c>
    </row>
    <row r="920">
      <c r="A920" s="7" t="n">
        <v>44885</v>
      </c>
      <c r="B920" s="7" t="n">
        <v>978371</v>
      </c>
      <c r="C920" s="7" t="n">
        <v>512309</v>
      </c>
      <c r="D920" s="7" t="n">
        <v>277459</v>
      </c>
      <c r="E920" s="8" t="n">
        <v>39719</v>
      </c>
      <c r="F920" s="7" t="n">
        <v>5</v>
      </c>
      <c r="G920" s="7" t="inlineStr">
        <is>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is>
      </c>
    </row>
    <row r="921">
      <c r="A921" s="7" t="n">
        <v>111615</v>
      </c>
      <c r="B921" s="7" t="n">
        <v>984089</v>
      </c>
      <c r="C921" s="7" t="n">
        <v>14446</v>
      </c>
      <c r="D921" s="7" t="n">
        <v>9272</v>
      </c>
      <c r="E921" s="8" t="n">
        <v>37118</v>
      </c>
      <c r="F921" s="7" t="n">
        <v>5</v>
      </c>
      <c r="G921" s="7" t="inlineStr">
        <is>
          <t>This is a terrific recipe.  Very easy to can and wonderfully DELICIOUS!!</t>
        </is>
      </c>
    </row>
    <row r="922">
      <c r="A922" s="7" t="n">
        <v>10438</v>
      </c>
      <c r="B922" s="7" t="n">
        <v>1063119</v>
      </c>
      <c r="C922" s="7" t="n">
        <v>84438</v>
      </c>
      <c r="D922" s="7" t="n">
        <v>34372</v>
      </c>
      <c r="E922" s="8" t="n">
        <v>38204</v>
      </c>
      <c r="F922" s="7" t="n">
        <v>5</v>
      </c>
      <c r="G922" s="7" t="inlineStr">
        <is>
          <t>I've never tried cooking a cobbler in the crock-pot before. This was extremely easy and turned out better than I thought it would. I cooked mine for just a little past 2 hours. Tender crust and with yummy berries. Thanks.</t>
        </is>
      </c>
    </row>
    <row r="923">
      <c r="A923" s="7" t="n">
        <v>112463</v>
      </c>
      <c r="B923" s="7" t="n">
        <v>892271</v>
      </c>
      <c r="C923" s="7" t="n">
        <v>143318</v>
      </c>
      <c r="D923" s="7" t="n">
        <v>334124</v>
      </c>
      <c r="E923" s="8" t="n">
        <v>41314</v>
      </c>
      <c r="F923" s="7" t="n">
        <v>3</v>
      </c>
      <c r="G923" s="7" t="inlineStr">
        <is>
          <t>So easy to make! Would be a 4-5 star recipe with less pesto; the amount was too greasy for us. I would probably use half the amount, coating the chicken with it and/or smearing it across the crust and dotting some across the top for the same flavor but less of an oil slick. Maybe it was the pesto we used though!</t>
        </is>
      </c>
    </row>
    <row r="924" ht="360" customHeight="1">
      <c r="A924" s="7" t="n">
        <v>58249</v>
      </c>
      <c r="B924" s="7" t="n">
        <v>937757</v>
      </c>
      <c r="C924" s="7" t="n">
        <v>174711</v>
      </c>
      <c r="D924" s="7" t="n">
        <v>245415</v>
      </c>
      <c r="E924" s="8" t="n">
        <v>39484</v>
      </c>
      <c r="F924" s="7" t="n">
        <v>4</v>
      </c>
      <c r="G924" s="9" t="inlineStr">
        <is>
          <t>Delicious! I doubled the recipe and had to cook it longer than specified but the potatoes were a huge hit.
Thank you for posting this one. It is very easy with wonderful results.</t>
        </is>
      </c>
    </row>
    <row r="925">
      <c r="A925" s="7" t="n">
        <v>6973</v>
      </c>
      <c r="B925" s="7" t="n">
        <v>523480</v>
      </c>
      <c r="C925" s="7" t="n">
        <v>757856</v>
      </c>
      <c r="D925" s="7" t="n">
        <v>132335</v>
      </c>
      <c r="E925" s="8" t="n">
        <v>39595</v>
      </c>
      <c r="F925" s="7" t="n">
        <v>4</v>
      </c>
      <c r="G925" s="7" t="inlineStr">
        <is>
          <t>The presentation is not as pretty as I hoped, but the saltines with the pudding was surprisingly delicious. No one guessed.</t>
        </is>
      </c>
    </row>
    <row r="926">
      <c r="A926" s="7" t="n">
        <v>82554</v>
      </c>
      <c r="B926" s="7" t="n">
        <v>671776</v>
      </c>
      <c r="C926" s="7" t="n">
        <v>795897</v>
      </c>
      <c r="D926" s="7" t="n">
        <v>110944</v>
      </c>
      <c r="E926" s="8" t="n">
        <v>39718</v>
      </c>
      <c r="F926" s="7" t="n">
        <v>5</v>
      </c>
      <c r="G926" s="7" t="inlineStr">
        <is>
          <t>This was a great burger. Even my non-vegetarian friends were raving about it. I used a lot more spice, because it was a little bland to begin with. I also doubled the recipe and had plenty for leftovers for the week. I used this base for burritos also. Thanks for the great recipe!</t>
        </is>
      </c>
    </row>
    <row r="927">
      <c r="A927" s="7" t="n">
        <v>111959</v>
      </c>
      <c r="B927" s="7" t="n">
        <v>127091</v>
      </c>
      <c r="C927" s="7" t="n">
        <v>352538</v>
      </c>
      <c r="D927" s="7" t="n">
        <v>84067</v>
      </c>
      <c r="E927" s="8" t="n">
        <v>39987</v>
      </c>
      <c r="F927" s="7" t="n">
        <v>5</v>
      </c>
      <c r="G927" s="7" t="inlineStr">
        <is>
          <t>As the other reviewers said, very good buttery cookies.  Not initially thin nor crispy here either.  I took the advice of Kit Jun (partially!) and instead of making her/his recipe, I just omitted one of the eggs.  I also flattened the cookie dough on the sheet before I put the sheet in the oven and baked 9 minutes.  Still soft with slightly crisp edges.  The last tray of cookies was in the oven about 2 minutes longer than all the others - this tray was crispy and much more what I was looking for.  So in my oven they need 11-12 minutes and need to be browner than they are in the photograph.  And don't forget to flatten the teaspoons of dough when you put them on the cookie sheets.  Very good cookies - thanks!</t>
        </is>
      </c>
    </row>
    <row r="928">
      <c r="A928" s="7" t="n">
        <v>5423</v>
      </c>
      <c r="B928" s="7" t="n">
        <v>1084648</v>
      </c>
      <c r="C928" s="7" t="n">
        <v>818228</v>
      </c>
      <c r="D928" s="7" t="n">
        <v>133750</v>
      </c>
      <c r="E928" s="8" t="n">
        <v>39839</v>
      </c>
      <c r="F928" s="7" t="n">
        <v>5</v>
      </c>
      <c r="G928" s="7" t="inlineStr">
        <is>
          <t>So good! I used the peanut butter chips and milk chocolate it was great either way. I served it at a play date it was gone in about ten minutes!</t>
        </is>
      </c>
    </row>
    <row r="929">
      <c r="A929" s="7" t="n">
        <v>113530</v>
      </c>
      <c r="B929" s="7" t="n">
        <v>392652</v>
      </c>
      <c r="C929" s="7" t="n">
        <v>724516</v>
      </c>
      <c r="D929" s="7" t="n">
        <v>328708</v>
      </c>
      <c r="E929" s="8" t="n">
        <v>40515</v>
      </c>
      <c r="F929" s="7" t="n">
        <v>5</v>
      </c>
      <c r="G929" s="7" t="inlineStr">
        <is>
          <t>What a wonderful, comforting, soup, I made it to the recipe with no changes. You are right when you said about the soy sauce, I tasted before and after and it definitely makes a big difference, so don't leave it out. It does thicken up a lot the next day but that's fine, it's a meal in it's self very very nice. Thank you for posting. Made for Let's party December 2010 and my dinner guests loved this.</t>
        </is>
      </c>
    </row>
    <row r="930">
      <c r="A930" s="7" t="n">
        <v>103085</v>
      </c>
      <c r="B930" s="7" t="n">
        <v>715169</v>
      </c>
      <c r="C930" s="7" t="n">
        <v>533820</v>
      </c>
      <c r="D930" s="7" t="n">
        <v>138239</v>
      </c>
      <c r="E930" s="8" t="n">
        <v>40715</v>
      </c>
      <c r="F930" s="7" t="n">
        <v>0</v>
      </c>
      <c r="G930" s="7" t="inlineStr">
        <is>
          <t>This is an awesome recipe! I've made this a few times now w/the mustard and horseradish and adjusted to less meat (so, less broth, onion soup mix, salt...still used the same amount of A1, onion and garlic)  Do be careful with the salt...I used the beef broth paste one time and it was over the top salty (and I love my salt).  My picky brother even liked it and and told our mom to get the recipe so she could make it for him!  Oh, and I've made it with cooked dry pasta and it came out just as yummy, as well as white rice, brown rice, etc.  Trying with quinoa tonight.</t>
        </is>
      </c>
    </row>
    <row r="931">
      <c r="A931" s="7" t="n">
        <v>4666</v>
      </c>
      <c r="B931" s="7" t="n">
        <v>820449</v>
      </c>
      <c r="C931" s="7" t="n">
        <v>651609</v>
      </c>
      <c r="D931" s="7" t="n">
        <v>194466</v>
      </c>
      <c r="E931" s="8" t="n">
        <v>39404</v>
      </c>
      <c r="F931" s="7" t="n">
        <v>5</v>
      </c>
      <c r="G931" s="7" t="inlineStr">
        <is>
          <t>My family and I do not like mushrooms, so instead of cream of mushroom, I used cream of chicken, and this was amazing! Great Dish!</t>
        </is>
      </c>
    </row>
    <row r="932">
      <c r="A932" t="n">
        <v>48432</v>
      </c>
      <c r="B932" t="n">
        <v>932212</v>
      </c>
      <c r="C932" t="n">
        <v>300282</v>
      </c>
      <c r="D932" t="n">
        <v>19517</v>
      </c>
      <c r="E932" s="1" t="n">
        <v>39819</v>
      </c>
      <c r="F932" t="n">
        <v>5</v>
      </c>
      <c r="G932" t="inlineStr">
        <is>
          <t>These are really good biscuits, and I as light as described. I made these for my mom and she loved them.</t>
        </is>
      </c>
    </row>
    <row r="933">
      <c r="A933" s="7" t="n">
        <v>102907</v>
      </c>
      <c r="B933" s="7" t="n">
        <v>828186</v>
      </c>
      <c r="C933" s="7" t="n">
        <v>38182</v>
      </c>
      <c r="D933" s="7" t="n">
        <v>290769</v>
      </c>
      <c r="E933" s="8" t="n">
        <v>39722</v>
      </c>
      <c r="F933" s="7" t="n">
        <v>5</v>
      </c>
      <c r="G933" s="7" t="inlineStr">
        <is>
          <t>I'm with January Bride, there is nothing better than soup. I loved the original recipe and I love JanuaryBride's slow cook method as well. I'll save them both. Thanks a bunch.</t>
        </is>
      </c>
    </row>
    <row r="934">
      <c r="A934" s="7" t="n">
        <v>86006</v>
      </c>
      <c r="B934" s="7" t="n">
        <v>1095867</v>
      </c>
      <c r="C934" s="7" t="n">
        <v>727740</v>
      </c>
      <c r="D934" s="7" t="n">
        <v>243642</v>
      </c>
      <c r="E934" s="8" t="n">
        <v>39485</v>
      </c>
      <c r="F934" s="7" t="n">
        <v>5</v>
      </c>
      <c r="G934" s="7" t="inlineStr">
        <is>
          <t>My husband loved this! We used motzzarella cheese instead of cheddar.</t>
        </is>
      </c>
    </row>
    <row r="935">
      <c r="A935" s="7" t="n">
        <v>30024</v>
      </c>
      <c r="B935" s="7" t="n">
        <v>405451</v>
      </c>
      <c r="C935" s="7" t="n">
        <v>88378</v>
      </c>
      <c r="D935" s="7" t="n">
        <v>110077</v>
      </c>
      <c r="E935" s="8" t="n">
        <v>40668</v>
      </c>
      <c r="F935" s="7" t="n">
        <v>5</v>
      </c>
      <c r="G935" s="7" t="inlineStr">
        <is>
          <t>Perfect!  And smelled so good while simmering.  This made just the right amount for two 12" pizzas and tasted fabulous.  Easy, too.  Winner!!</t>
        </is>
      </c>
    </row>
    <row r="936">
      <c r="A936" s="7" t="n">
        <v>36984</v>
      </c>
      <c r="B936" s="7" t="n">
        <v>1111191</v>
      </c>
      <c r="C936" s="7" t="n">
        <v>2001527007</v>
      </c>
      <c r="D936" s="7" t="n">
        <v>186256</v>
      </c>
      <c r="E936" s="8" t="n">
        <v>42863</v>
      </c>
      <c r="F936" s="7" t="n">
        <v>5</v>
      </c>
      <c r="G936" s="7" t="inlineStr">
        <is>
          <t>This recipe was a wonderful starter recipe . I seen the chicken and instantly knew I wasn't utilizing any of the seasoning. I used garlic and herb seasoning along with other seasonings in a garlic butter mixture I utilized a fourth cup of butter and eye balled the broth. The chicken was nice and tender . I will make again. I cooked on low for 6 hours . My version was extremely flavorful.</t>
        </is>
      </c>
    </row>
    <row r="937">
      <c r="A937" s="7" t="n">
        <v>114964</v>
      </c>
      <c r="B937" s="7" t="n">
        <v>838997</v>
      </c>
      <c r="C937" s="7" t="n">
        <v>178427</v>
      </c>
      <c r="D937" s="7" t="n">
        <v>378097</v>
      </c>
      <c r="E937" s="8" t="n">
        <v>41064</v>
      </c>
      <c r="F937" s="7" t="n">
        <v>4</v>
      </c>
      <c r="G937" s="7" t="inlineStr">
        <is>
          <t>These were a little bland for my taste but easy enough to make using just a few ingredients. They would work well at a family gathering since the mild flavor would appeal to children and picky adults. Thanks for sharing. Made for My 3 Chefs 2012.</t>
        </is>
      </c>
    </row>
    <row r="938">
      <c r="A938" s="7" t="n">
        <v>64375</v>
      </c>
      <c r="B938" s="7" t="n">
        <v>3209</v>
      </c>
      <c r="C938" s="7" t="n">
        <v>507160</v>
      </c>
      <c r="D938" s="7" t="n">
        <v>146038</v>
      </c>
      <c r="E938" s="8" t="n">
        <v>39363</v>
      </c>
      <c r="F938" s="7" t="n">
        <v>4</v>
      </c>
      <c r="G938" s="7" t="inlineStr">
        <is>
          <t>Was good and easy to make.  I cooked the chicken and the bacon together to give the chicken more flavor.  It made alot so we had a lot of leftovers even though I cut back on some of the ingredients.</t>
        </is>
      </c>
    </row>
    <row r="939">
      <c r="A939" s="7" t="n">
        <v>50220</v>
      </c>
      <c r="B939" s="7" t="n">
        <v>263550</v>
      </c>
      <c r="C939" s="7" t="n">
        <v>440383</v>
      </c>
      <c r="D939" s="7" t="n">
        <v>44990</v>
      </c>
      <c r="E939" s="8" t="n">
        <v>39723</v>
      </c>
      <c r="F939" s="7" t="n">
        <v>5</v>
      </c>
      <c r="G939" s="7" t="inlineStr">
        <is>
          <t>I was worried that this would be too salty, but it was heavenly!  Just the very best flavor.  I used a 3lb. Bread &amp; Butter Roast (never heard of that before, it was like a pot roast, I guess).  I followed the directions exactly as stated here, using 15lbs of pressure for about 45 min. I then took out the potatoes and carrots and put the roast back in for about 10-15 min. longer.  I then thickened the broth using 2Tbls. of flour mixed into 2Tbls. of butter-with a fork, work these two together to a smooth paste then add to boiling broth, it makes a lovely smooth gravy.  I also used red potatoes with the skin, and sliced only in half, the carrots I also used in very large chunks and they were both cooked perfectly.  This was just delicious!!</t>
        </is>
      </c>
    </row>
    <row r="940">
      <c r="A940" s="7" t="n">
        <v>37461</v>
      </c>
      <c r="B940" s="7" t="n">
        <v>377971</v>
      </c>
      <c r="C940" s="7" t="n">
        <v>346939</v>
      </c>
      <c r="D940" s="7" t="n">
        <v>179846</v>
      </c>
      <c r="E940" s="8" t="n">
        <v>38958</v>
      </c>
      <c r="F940" s="7" t="n">
        <v>5</v>
      </c>
      <c r="G940" s="7" t="inlineStr">
        <is>
          <t>this recipe is great. the only thing i did different was 1 c white &amp; 1 1/2 cups whole wheat!</t>
        </is>
      </c>
    </row>
    <row r="941">
      <c r="A941" s="7" t="n">
        <v>86300</v>
      </c>
      <c r="B941" s="7" t="n">
        <v>61365</v>
      </c>
      <c r="C941" s="7" t="n">
        <v>290010</v>
      </c>
      <c r="D941" s="7" t="n">
        <v>58387</v>
      </c>
      <c r="E941" s="8" t="n">
        <v>39781</v>
      </c>
      <c r="F941" s="7" t="n">
        <v>4</v>
      </c>
      <c r="G941" s="7" t="inlineStr">
        <is>
          <t>I was looking for a recipe to use up my cranberries so I made this.  These are more like biscuits than muffins, but they are good.  I got 15 muffins out of the recipe.  I also used granny smith apples because that is what I had on hand.</t>
        </is>
      </c>
    </row>
    <row r="942">
      <c r="A942" s="7" t="n">
        <v>71066</v>
      </c>
      <c r="B942" s="7" t="n">
        <v>699690</v>
      </c>
      <c r="C942" s="7" t="n">
        <v>126435</v>
      </c>
      <c r="D942" s="7" t="n">
        <v>89751</v>
      </c>
      <c r="E942" s="8" t="n">
        <v>39527</v>
      </c>
      <c r="F942" s="7" t="n">
        <v>5</v>
      </c>
      <c r="G942" s="7" t="inlineStr">
        <is>
          <t>Absolute perfection!  These cupcakes taste like a professional batter. The texture was firm, not crumbly, and the perfect amount of moistness. They were a HUGE hit with my kids!  I halved the recipe, and made them in individual star shaped foils. It filled 8, so we had 2 for each of us. I topped them with recipe#282040, and would have SWORN I was eating birthday cake from a bakery! And to top it off, it couldn't be easier!  Thanks so much Kitten, I know I can ALWAYS count on your recipes!</t>
        </is>
      </c>
    </row>
    <row r="943">
      <c r="A943" s="7" t="n">
        <v>115786</v>
      </c>
      <c r="B943" s="7" t="n">
        <v>414405</v>
      </c>
      <c r="C943" s="7" t="n">
        <v>394085</v>
      </c>
      <c r="D943" s="7" t="n">
        <v>322816</v>
      </c>
      <c r="E943" s="8" t="n">
        <v>39726</v>
      </c>
      <c r="F943" s="7" t="n">
        <v>4</v>
      </c>
      <c r="G943" s="7" t="inlineStr">
        <is>
          <t>Delicious! with an almost custardy texture when freshly baked.  I will be making this again.</t>
        </is>
      </c>
    </row>
    <row r="944">
      <c r="A944" s="7" t="n">
        <v>50059</v>
      </c>
      <c r="B944" s="7" t="n">
        <v>1130023</v>
      </c>
      <c r="C944" s="7" t="n">
        <v>149075</v>
      </c>
      <c r="D944" s="7" t="n">
        <v>137575</v>
      </c>
      <c r="E944" s="8" t="n">
        <v>39038</v>
      </c>
      <c r="F944" s="7" t="n">
        <v>5</v>
      </c>
      <c r="G944" s="7" t="inlineStr">
        <is>
          <t>I'm going to have to add to the accolades here. wonderful recipe. I used leftover salmon and my picky boy ate 2 big patties. We like ours with lemon and shoyu, or maybe a tongatsu sauce. Good stuff!</t>
        </is>
      </c>
    </row>
    <row r="945">
      <c r="A945" s="7" t="n">
        <v>56416</v>
      </c>
      <c r="B945" s="7" t="n">
        <v>717736</v>
      </c>
      <c r="C945" s="7" t="n">
        <v>133174</v>
      </c>
      <c r="D945" s="7" t="n">
        <v>517622</v>
      </c>
      <c r="E945" s="8" t="n">
        <v>41860</v>
      </c>
      <c r="F945" s="7" t="n">
        <v>5</v>
      </c>
      <c r="G945" s="7" t="inlineStr">
        <is>
          <t>This soup was made for the Culinary Quest Soups On Challenge.  I&amp;#039;m not sure if I have ever had borscht every and am not sure what I was expecting.  The recipe was adapted for the slow cooker.  The onions and garlic were browned in oil and the chicken tossed and browned lightly.  The beets were roasted and peeled.  I wasn&amp;#039;t sure how grated carrots and beets would do over an extended cook time so I opted to dice them.  The water was reduced to 1 quart.  The beets and beans were added the last 30 minutes or so in order for the flavors to meld.  The only thing I would recommend is to pre-cook the chicken and add at the same time the beets and beans were added.  My chicken was a little dry.  No fault of the recipe just a conversion error on my part.  The soup was cooked on medium to low heat and was ready in about 3 1/2 hours.  Fresh dill was used in the soup and additional used as a garnish.  Really good.</t>
        </is>
      </c>
    </row>
    <row r="946">
      <c r="A946" s="7" t="n">
        <v>9928</v>
      </c>
      <c r="B946" s="7" t="n">
        <v>204839</v>
      </c>
      <c r="C946" s="7" t="n">
        <v>60260</v>
      </c>
      <c r="D946" s="7" t="n">
        <v>78938</v>
      </c>
      <c r="E946" s="8" t="n">
        <v>38636</v>
      </c>
      <c r="F946" s="7" t="n">
        <v>5</v>
      </c>
      <c r="G946" s="7" t="inlineStr">
        <is>
          <t xml:space="preserve">What a tasty way to make plain 'ol green beans taste really good! I made with 2 cans of beans and adjusted the ingredients down a bit and simmered around 35-40 minutes while I was doing my other cooking.  The long cooking time worried me, thinking it would turn into mush but it didn't.  It will be a nice side to have in my book.  </t>
        </is>
      </c>
    </row>
    <row r="947">
      <c r="A947" s="7" t="n">
        <v>12613</v>
      </c>
      <c r="B947" s="7" t="n">
        <v>564471</v>
      </c>
      <c r="C947" s="7" t="n">
        <v>982798</v>
      </c>
      <c r="D947" s="7" t="n">
        <v>256914</v>
      </c>
      <c r="E947" s="8" t="n">
        <v>41758</v>
      </c>
      <c r="F947" s="7" t="n">
        <v>5</v>
      </c>
      <c r="G947" s="7" t="inlineStr">
        <is>
          <t>Perfect</t>
        </is>
      </c>
    </row>
    <row r="948">
      <c r="A948" s="7" t="n">
        <v>30005</v>
      </c>
      <c r="B948" s="7" t="n">
        <v>70300</v>
      </c>
      <c r="C948" s="7" t="n">
        <v>32323</v>
      </c>
      <c r="D948" s="7" t="n">
        <v>18829</v>
      </c>
      <c r="E948" s="8" t="n">
        <v>37527</v>
      </c>
      <c r="F948" s="7" t="n">
        <v>2</v>
      </c>
      <c r="G948" s="7" t="inlineStr">
        <is>
          <t>I've enjoyed other Inez recipes but I thought this dish was bland.</t>
        </is>
      </c>
    </row>
    <row r="949">
      <c r="A949" t="n">
        <v>68147</v>
      </c>
      <c r="B949" t="n">
        <v>367088</v>
      </c>
      <c r="C949" t="n">
        <v>797211</v>
      </c>
      <c r="D949" t="n">
        <v>22015</v>
      </c>
      <c r="E949" s="1" t="n">
        <v>40520</v>
      </c>
      <c r="F949" t="n">
        <v>5</v>
      </c>
      <c r="G949" t="inlineStr">
        <is>
          <t>So many people were like "This is the best fudge I have ever tasted." I was very simple to make. I left out the nuts due to taste preferences. Thank you so much for the recipe!</t>
        </is>
      </c>
    </row>
    <row r="950">
      <c r="A950" t="n">
        <v>89545</v>
      </c>
      <c r="B950" t="n">
        <v>938585</v>
      </c>
      <c r="C950" t="n">
        <v>494084</v>
      </c>
      <c r="D950" t="n">
        <v>82102</v>
      </c>
      <c r="E950" s="1" t="n">
        <v>41280</v>
      </c>
      <c r="F950" t="n">
        <v>5</v>
      </c>
      <c r="G950" t="inlineStr">
        <is>
          <t>Great!  That is pretty much it!  I did have 1 bit of trouble though.  Because the chicken was cold, when I added it to the butter it hardened.  I threw it in the microwave for a few seconds and it worked out OK.  The flavor turned out great!  Thanks for another great one Kittencal....</t>
        </is>
      </c>
    </row>
    <row r="951">
      <c r="A951" s="7" t="n">
        <v>112862</v>
      </c>
      <c r="B951" s="7" t="n">
        <v>1074787</v>
      </c>
      <c r="C951" s="7" t="n">
        <v>2743576</v>
      </c>
      <c r="D951" s="7" t="n">
        <v>135350</v>
      </c>
      <c r="E951" s="8" t="n">
        <v>41352</v>
      </c>
      <c r="F951" s="7" t="n">
        <v>5</v>
      </c>
      <c r="G951" s="7" t="inlineStr">
        <is>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is>
      </c>
    </row>
    <row r="952">
      <c r="A952" s="7" t="n">
        <v>84362</v>
      </c>
      <c r="B952" s="7" t="n">
        <v>131418</v>
      </c>
      <c r="C952" s="7" t="n">
        <v>104295</v>
      </c>
      <c r="D952" s="7" t="n">
        <v>76540</v>
      </c>
      <c r="E952" s="8" t="n">
        <v>38767</v>
      </c>
      <c r="F952" s="7" t="n">
        <v>5</v>
      </c>
      <c r="G952" s="7" t="inlineStr">
        <is>
          <t xml:space="preserve">A great easy treat that I could make with what I had in the house as it is icy outside.  I used powdered sugar to roll in and, although they were messy, they were really great.  I did find, as someone who never fries things, that I had a bit of a hard time getting the right temp. on the oil.  Not quite high worked best for me.  </t>
        </is>
      </c>
    </row>
    <row r="953" ht="409.5" customHeight="1">
      <c r="A953" s="7" t="n">
        <v>119377</v>
      </c>
      <c r="B953" s="7" t="n">
        <v>522007</v>
      </c>
      <c r="C953" s="7" t="n">
        <v>1237790</v>
      </c>
      <c r="D953" s="7" t="n">
        <v>52182</v>
      </c>
      <c r="E953" s="8" t="n">
        <v>39976</v>
      </c>
      <c r="F953" s="7" t="n">
        <v>4</v>
      </c>
      <c r="G953" s="9" t="inlineStr">
        <is>
          <t>I wish I could give 3 1/2....This was good because it was quick and easy. It was a very tender chop but I felt it was lacking.I seasoned my chops with s and p  and Garlic Pwdr. I made extra "gravy" and served over rice. Thanks for the quick weekday 
recipe.</t>
        </is>
      </c>
    </row>
    <row r="954">
      <c r="A954" s="7" t="n">
        <v>79290</v>
      </c>
      <c r="B954" s="7" t="n">
        <v>823848</v>
      </c>
      <c r="C954" s="7" t="n">
        <v>198923</v>
      </c>
      <c r="D954" s="7" t="n">
        <v>78814</v>
      </c>
      <c r="E954" s="8" t="n">
        <v>38436</v>
      </c>
      <c r="F954" s="7" t="n">
        <v>4</v>
      </c>
      <c r="G954" s="7" t="inlineStr">
        <is>
          <t>this is very good. the soup makes it a litle salty, so i choose to dilute it just a tiny bit. :)</t>
        </is>
      </c>
    </row>
    <row r="955">
      <c r="A955" s="7" t="n">
        <v>124421</v>
      </c>
      <c r="B955" s="7" t="n">
        <v>524966</v>
      </c>
      <c r="C955" s="7" t="n">
        <v>17404</v>
      </c>
      <c r="D955" s="7" t="n">
        <v>17398</v>
      </c>
      <c r="E955" s="8" t="n">
        <v>37666</v>
      </c>
      <c r="F955" s="7" t="n">
        <v>5</v>
      </c>
      <c r="G955" s="7" t="inlineStr">
        <is>
          <t>We eat a lot of broccoli and this is a good recipe for us as we like spicy and garlic! Easy and good and goes well with any meat entree.</t>
        </is>
      </c>
    </row>
    <row r="956">
      <c r="A956" s="7" t="n">
        <v>66031</v>
      </c>
      <c r="B956" s="7" t="n">
        <v>231976</v>
      </c>
      <c r="C956" s="7" t="n">
        <v>166642</v>
      </c>
      <c r="D956" s="7" t="n">
        <v>449047</v>
      </c>
      <c r="E956" s="8" t="n">
        <v>40713</v>
      </c>
      <c r="F956" s="7" t="n">
        <v>5</v>
      </c>
      <c r="G956" s="7" t="inlineStr">
        <is>
          <t>These are very good! The cayenne is nice! Very unique but delicious. Thanks for sharing. Made for ZWT7 for the Vivacious Violets.</t>
        </is>
      </c>
    </row>
    <row r="957">
      <c r="A957" s="7" t="n">
        <v>10188</v>
      </c>
      <c r="B957" s="7" t="n">
        <v>748616</v>
      </c>
      <c r="C957" s="7" t="n">
        <v>409228</v>
      </c>
      <c r="D957" s="7" t="n">
        <v>268671</v>
      </c>
      <c r="E957" s="8" t="n">
        <v>41490</v>
      </c>
      <c r="F957" s="7" t="n">
        <v>5</v>
      </c>
      <c r="G957" s="7" t="inlineStr">
        <is>
          <t>What a great recipe for those who love tuna salad but don&amp;#039;t care for mayo!</t>
        </is>
      </c>
    </row>
    <row r="958">
      <c r="A958" s="7" t="n">
        <v>99388</v>
      </c>
      <c r="B958" s="7" t="n">
        <v>858253</v>
      </c>
      <c r="C958" s="7" t="n">
        <v>37449</v>
      </c>
      <c r="D958" s="7" t="n">
        <v>94356</v>
      </c>
      <c r="E958" s="8" t="n">
        <v>38455</v>
      </c>
      <c r="F958" s="7" t="n">
        <v>5</v>
      </c>
      <c r="G958" s="7" t="inlineStr">
        <is>
          <t>This made a yummy brunch today. I followed directions, except I halved it just for me. Thanks for a nice light lunch. I served this with a salad.</t>
        </is>
      </c>
    </row>
    <row r="959">
      <c r="A959" s="7" t="n">
        <v>97499</v>
      </c>
      <c r="B959" s="7" t="n">
        <v>229049</v>
      </c>
      <c r="C959" s="7" t="n">
        <v>81611</v>
      </c>
      <c r="D959" s="7" t="n">
        <v>32031</v>
      </c>
      <c r="E959" s="8" t="n">
        <v>37868</v>
      </c>
      <c r="F959" s="7" t="n">
        <v>5</v>
      </c>
      <c r="G959" s="7" t="inlineStr">
        <is>
          <t>Wouldn't call it a cookie, but rather a "flat muffin" or "breakfast bar". They were more cake-like than I expected. Delicious and healthy! I made mine extra healthy with 1/2 c whole wheat flour and 1/4 c honey instead of the white sugar. I also used 1/2 c rolled barley instead of rolled oats. I think next time I will cook at 325 for longer, to give the oats more time to soften. I also DOUBLED the cinn and nutmeg and added 1/4 t allspice--I always double my spices, plus I used applesauce which doesn't have the spices of some apple butters (but why would you waste yummy apple butter in a recipe?!) Thanks, Dancer, this one I can feel good about giving to my kids!</t>
        </is>
      </c>
    </row>
    <row r="960" ht="165" customHeight="1">
      <c r="A960" s="7" t="n">
        <v>35427</v>
      </c>
      <c r="B960" s="7" t="n">
        <v>489533</v>
      </c>
      <c r="C960" s="7" t="n">
        <v>741299</v>
      </c>
      <c r="D960" s="7" t="n">
        <v>283945</v>
      </c>
      <c r="E960" s="8" t="n">
        <v>39899</v>
      </c>
      <c r="F960" s="7" t="n">
        <v>5</v>
      </c>
      <c r="G960" s="9" t="inlineStr">
        <is>
          <t>This is the best mac &amp; cheese. My family just loves it. _x000D_
Thanks for posting.</t>
        </is>
      </c>
    </row>
    <row r="961">
      <c r="A961" s="7" t="n">
        <v>5991</v>
      </c>
      <c r="B961" s="7" t="n">
        <v>162132</v>
      </c>
      <c r="C961" s="7" t="n">
        <v>591314</v>
      </c>
      <c r="D961" s="7" t="n">
        <v>134951</v>
      </c>
      <c r="E961" s="8" t="n">
        <v>39682</v>
      </c>
      <c r="F961" s="7" t="n">
        <v>5</v>
      </c>
      <c r="G961" s="7" t="inlineStr">
        <is>
          <t>I used panko crumbs for these luscious scallops and they worked perfectly!  They turned nice and brown and had no problems with the crumbs falling off while searing them.  I didn't sear with the lemon but dipped the scallops in lemon before dipping into the panko crumbs, then adding more lemon to taste right before we ate them.  Worked out great for us!  This is a keeper and one I can now call a favorite!</t>
        </is>
      </c>
    </row>
    <row r="962">
      <c r="A962" s="7" t="n">
        <v>67452</v>
      </c>
      <c r="B962" s="7" t="n">
        <v>564452</v>
      </c>
      <c r="C962" s="7" t="n">
        <v>2747668</v>
      </c>
      <c r="D962" s="7" t="n">
        <v>256914</v>
      </c>
      <c r="E962" s="8" t="n">
        <v>41503</v>
      </c>
      <c r="F962" s="7" t="n">
        <v>5</v>
      </c>
      <c r="G962" s="7" t="inlineStr">
        <is>
          <t>Delicious!!! Tasted just like Red Lobster and easy to make!!!</t>
        </is>
      </c>
    </row>
    <row r="963">
      <c r="A963" s="7" t="n">
        <v>35346</v>
      </c>
      <c r="B963" s="7" t="n">
        <v>363054</v>
      </c>
      <c r="C963" s="7" t="n">
        <v>78266</v>
      </c>
      <c r="D963" s="7" t="n">
        <v>37547</v>
      </c>
      <c r="E963" s="8" t="n">
        <v>39100</v>
      </c>
      <c r="F963" s="7" t="n">
        <v>5</v>
      </c>
      <c r="G963" s="7" t="inlineStr">
        <is>
          <t>These cookies are AWESOME! I drizzle melted white almond bark over them after they cool (using a plastic sandwich bag with tip cut off).</t>
        </is>
      </c>
    </row>
    <row r="964">
      <c r="A964" s="7" t="n">
        <v>75302</v>
      </c>
      <c r="B964" s="7" t="n">
        <v>664847</v>
      </c>
      <c r="C964" s="7" t="n">
        <v>310313</v>
      </c>
      <c r="D964" s="7" t="n">
        <v>356975</v>
      </c>
      <c r="E964" s="8" t="n">
        <v>42867</v>
      </c>
      <c r="F964" s="7" t="n">
        <v>5</v>
      </c>
      <c r="G964" s="7" t="inlineStr">
        <is>
          <t>I have made this multiple times and it is so light and refreshing. Great with using lots of spinich from the garden. I even leave out the pasta if I don't have any. Great in the summer! Thanks :-)</t>
        </is>
      </c>
    </row>
    <row r="965">
      <c r="A965" s="7" t="n">
        <v>62981</v>
      </c>
      <c r="B965" s="7" t="n">
        <v>510146</v>
      </c>
      <c r="C965" s="7" t="n">
        <v>168462</v>
      </c>
      <c r="D965" s="7" t="n">
        <v>89207</v>
      </c>
      <c r="E965" s="8" t="n">
        <v>39744</v>
      </c>
      <c r="F965" s="7" t="n">
        <v>5</v>
      </c>
      <c r="G965" s="7" t="inlineStr">
        <is>
          <t>Excellent icing. I had to make a cake today for the fun fair at my daughter school (for the cake walk).  This was so easy to make and spread beautifully. It wasn't too sweet either. Thanks for the recipe.</t>
        </is>
      </c>
    </row>
    <row r="966">
      <c r="A966" s="7" t="n">
        <v>52155</v>
      </c>
      <c r="B966" s="7" t="n">
        <v>995954</v>
      </c>
      <c r="C966" s="7" t="n">
        <v>801264</v>
      </c>
      <c r="D966" s="7" t="n">
        <v>36336</v>
      </c>
      <c r="E966" s="8" t="n">
        <v>39653</v>
      </c>
      <c r="F966" s="7" t="n">
        <v>4</v>
      </c>
      <c r="G966" s="7" t="inlineStr">
        <is>
          <t>Keeping with the Hawaiian theme I added 1/2 cup of grated sweetened coconut. My loafs were done in about 1 hr 10min. I couldnâ€™t taste the pineapple as much as I would have liked. Next time I will try adding more pineapple and some macadamia nuts .</t>
        </is>
      </c>
    </row>
    <row r="967">
      <c r="A967" s="7" t="n">
        <v>36401</v>
      </c>
      <c r="B967" s="7" t="n">
        <v>549414</v>
      </c>
      <c r="C967" s="7" t="n">
        <v>55578</v>
      </c>
      <c r="D967" s="7" t="n">
        <v>418827</v>
      </c>
      <c r="E967" s="8" t="n">
        <v>40447</v>
      </c>
      <c r="F967" s="7" t="n">
        <v>4</v>
      </c>
      <c r="G967" s="7" t="inlineStr">
        <is>
          <t>Quick and easy to make, but not as fluffy as I would like.  And don't forget it only makes a cup, make sure you make enough.  The taste is great!</t>
        </is>
      </c>
    </row>
    <row r="968">
      <c r="A968" s="7" t="n">
        <v>11930</v>
      </c>
      <c r="B968" s="7" t="n">
        <v>971875</v>
      </c>
      <c r="C968" s="7" t="n">
        <v>147430</v>
      </c>
      <c r="D968" s="7" t="n">
        <v>140878</v>
      </c>
      <c r="E968" s="8" t="n">
        <v>39154</v>
      </c>
      <c r="F968" s="7" t="n">
        <v>5</v>
      </c>
      <c r="G968" s="7" t="inlineStr">
        <is>
          <t>Excellent! I did make a couple of changes - Didn't use as much salt/pepper and it was still plenty salty.  I also added a couple of sliced onions.  Put it on in the morning, then went to a picnic at night and everyone had at least one helping with many going back for more.  This is a keeper.</t>
        </is>
      </c>
    </row>
    <row r="969" ht="409.5" customHeight="1">
      <c r="A969" s="7" t="n">
        <v>46270</v>
      </c>
      <c r="B969" s="7" t="n">
        <v>513371</v>
      </c>
      <c r="C969" s="7" t="n">
        <v>102058</v>
      </c>
      <c r="D969" s="7" t="n">
        <v>318079</v>
      </c>
      <c r="E969" s="8" t="n">
        <v>39760</v>
      </c>
      <c r="F969" s="7" t="n">
        <v>4</v>
      </c>
      <c r="G969" s="9" t="inlineStr">
        <is>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pieces._x000D_
Please see my Rating System: 4 excellent stars for a very tasty recipe that I will be making again soon becuase the flavours are wonderful. Thanks!</t>
        </is>
      </c>
    </row>
    <row r="970">
      <c r="A970" s="7" t="n">
        <v>60156</v>
      </c>
      <c r="B970" s="7" t="n">
        <v>939829</v>
      </c>
      <c r="C970" s="7" t="n">
        <v>75170</v>
      </c>
      <c r="D970" s="7" t="n">
        <v>47195</v>
      </c>
      <c r="E970" s="8" t="n">
        <v>37709</v>
      </c>
      <c r="F970" s="7" t="n">
        <v>5</v>
      </c>
      <c r="G970" s="7" t="inlineStr">
        <is>
          <t>I read about your chips in the latest issue of Eater's Digest and couldn't believe, how many good rewievs the recipe got. So I gave it a try, thinking it never can be a substitution to "real" and fatty chips. How wrong I was! They came out crispy, tasty and it is simply addictive to eat them. Later this afternoon I will try to make it with zucchini and carrots. Thank you for sharing, this will be a family's favorite.</t>
        </is>
      </c>
    </row>
    <row r="971">
      <c r="A971" s="7" t="n">
        <v>20223</v>
      </c>
      <c r="B971" s="7" t="n">
        <v>700769</v>
      </c>
      <c r="C971" s="7" t="n">
        <v>2000045647</v>
      </c>
      <c r="D971" s="7" t="n">
        <v>279447</v>
      </c>
      <c r="E971" s="8" t="n">
        <v>43346</v>
      </c>
      <c r="F971" s="7" t="n">
        <v>0</v>
      </c>
      <c r="G971" s="7" t="inlineStr">
        <is>
          <t>Making tomorrow for Labor Day picnic. Had to find quick and easy and I think I found it!! Thanks, I'll let you know how it goes. :))</t>
        </is>
      </c>
    </row>
    <row r="972">
      <c r="A972" t="n">
        <v>17405</v>
      </c>
      <c r="B972" t="n">
        <v>513054</v>
      </c>
      <c r="C972" t="n">
        <v>780172</v>
      </c>
      <c r="D972" t="n">
        <v>335140</v>
      </c>
      <c r="E972" s="1" t="n">
        <v>39797</v>
      </c>
      <c r="F972" t="n">
        <v>4</v>
      </c>
      <c r="G972" t="inlineStr">
        <is>
          <t>These were quick and easy to make and they were quite tasty. I cooked up some chicken breasts, but would work great with leftovers. Only change I would make next time is to actually use more chicken. Nice recipe.</t>
        </is>
      </c>
    </row>
    <row r="973">
      <c r="A973" s="7" t="n">
        <v>37128</v>
      </c>
      <c r="B973" s="7" t="n">
        <v>1065899</v>
      </c>
      <c r="C973" s="7" t="n">
        <v>396908</v>
      </c>
      <c r="D973" s="7" t="n">
        <v>13707</v>
      </c>
      <c r="E973" s="8" t="n">
        <v>39394</v>
      </c>
      <c r="F973" s="7" t="n">
        <v>5</v>
      </c>
      <c r="G973" s="7" t="inlineStr">
        <is>
          <t>5 stars all the way....Followed the recipe as followed but used fresh garlic, and a hint of fresh ginger. My hubby is very ticky about what he eats and  I know he must eat a pound by himself. Great recipe, thanks for sharing.</t>
        </is>
      </c>
    </row>
    <row r="974">
      <c r="A974" s="7" t="n">
        <v>109635</v>
      </c>
      <c r="B974" s="7" t="n">
        <v>565391</v>
      </c>
      <c r="C974" s="7" t="n">
        <v>176615</v>
      </c>
      <c r="D974" s="7" t="n">
        <v>298089</v>
      </c>
      <c r="E974" s="8" t="n">
        <v>39712</v>
      </c>
      <c r="F974" s="7" t="n">
        <v>5</v>
      </c>
      <c r="G974" s="7" t="inlineStr">
        <is>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is>
      </c>
    </row>
    <row r="975">
      <c r="A975" s="7" t="n">
        <v>52730</v>
      </c>
      <c r="B975" s="7" t="n">
        <v>378453</v>
      </c>
      <c r="C975" s="7" t="n">
        <v>302486</v>
      </c>
      <c r="D975" s="7" t="n">
        <v>214687</v>
      </c>
      <c r="E975" s="8" t="n">
        <v>40822</v>
      </c>
      <c r="F975" s="7" t="n">
        <v>5</v>
      </c>
      <c r="G975" s="7" t="inlineStr">
        <is>
          <t>This was fantastic, we really enjoyed this. Thanks for posting!</t>
        </is>
      </c>
    </row>
    <row r="976">
      <c r="A976" s="7" t="n">
        <v>41444</v>
      </c>
      <c r="B976" s="7" t="n">
        <v>16746</v>
      </c>
      <c r="C976" s="7" t="n">
        <v>528468</v>
      </c>
      <c r="D976" s="7" t="n">
        <v>10876</v>
      </c>
      <c r="E976" s="8" t="n">
        <v>39739</v>
      </c>
      <c r="F976" s="7" t="n">
        <v>5</v>
      </c>
      <c r="G976" s="7" t="inlineStr">
        <is>
          <t>This was very easy and tasty. I followed the advice of chef #189563 and it turned out perfect!</t>
        </is>
      </c>
    </row>
    <row r="977">
      <c r="A977" s="7" t="n">
        <v>13357</v>
      </c>
      <c r="B977" s="7" t="n">
        <v>303847</v>
      </c>
      <c r="C977" s="7" t="n">
        <v>88769</v>
      </c>
      <c r="D977" s="7" t="n">
        <v>78011</v>
      </c>
      <c r="E977" s="8" t="n">
        <v>38137</v>
      </c>
      <c r="F977" s="7" t="n">
        <v>5</v>
      </c>
      <c r="G977" s="7" t="inlineStr">
        <is>
          <t>I left out the brown sugar - for dietary reasons - and they were just scrumpious.  My kids love them and we serve them often.</t>
        </is>
      </c>
    </row>
    <row r="978" ht="409.5" customHeight="1">
      <c r="A978" s="7" t="n">
        <v>83638</v>
      </c>
      <c r="B978" s="7" t="n">
        <v>251602</v>
      </c>
      <c r="C978" s="7" t="n">
        <v>591307</v>
      </c>
      <c r="D978" s="7" t="n">
        <v>110397</v>
      </c>
      <c r="E978" s="8" t="n">
        <v>39409</v>
      </c>
      <c r="F978" s="7" t="n">
        <v>5</v>
      </c>
      <c r="G978" s="9" t="inlineStr">
        <is>
          <t>I made this along with a few other pies for Thanksgiving.  It's a keeper.  Delicious!  I followed the recipe exactly except I added the candybar in with the unsweetened chocolate. and everyone loved it!  Thank you for sharing._x000D_
Debbie</t>
        </is>
      </c>
    </row>
    <row r="979">
      <c r="A979" s="7" t="n">
        <v>122597</v>
      </c>
      <c r="B979" s="7" t="n">
        <v>350463</v>
      </c>
      <c r="C979" s="7" t="n">
        <v>88099</v>
      </c>
      <c r="D979" s="7" t="n">
        <v>380491</v>
      </c>
      <c r="E979" s="8" t="n">
        <v>40865</v>
      </c>
      <c r="F979" s="7" t="n">
        <v>4</v>
      </c>
      <c r="G979" s="7" t="inlineStr">
        <is>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is>
      </c>
    </row>
    <row r="980">
      <c r="A980" s="7" t="n">
        <v>2261</v>
      </c>
      <c r="B980" s="7" t="n">
        <v>931346</v>
      </c>
      <c r="C980" s="7" t="n">
        <v>131674</v>
      </c>
      <c r="D980" s="7" t="n">
        <v>83570</v>
      </c>
      <c r="E980" s="8" t="n">
        <v>38370</v>
      </c>
      <c r="F980" s="7" t="n">
        <v>5</v>
      </c>
      <c r="G980" s="7" t="inlineStr">
        <is>
          <t>My best friend's son is on a low-carb diet and loves to cook.  I gave her this recipe and it got 5 stars at their house.  Thanks for an easy low-carb recipe!</t>
        </is>
      </c>
    </row>
    <row r="981" ht="409.5" customHeight="1">
      <c r="A981" s="7" t="n">
        <v>110107</v>
      </c>
      <c r="B981" s="7" t="n">
        <v>782723</v>
      </c>
      <c r="C981" s="7" t="n">
        <v>323186</v>
      </c>
      <c r="D981" s="7" t="n">
        <v>336083</v>
      </c>
      <c r="E981" s="8" t="n">
        <v>40185</v>
      </c>
      <c r="F981" s="7" t="n">
        <v>5</v>
      </c>
      <c r="G981" s="9" t="inlineStr">
        <is>
          <t>I made this for a Welcome Home supper for my children, meatloaf is DD1s favourite!    Very good and very easily prepared, I used ground chicken rather than turkey since it is more easily available here. 
It sliced very well, was soft, tender with good flavour, and I suspect the little that was left has already been eaten as breakfast!
Served with katews Recipe#405943, this was a veritable feast, thank you I&lt;3 Cookbooks!
Made for Aus/NZ swap#36</t>
        </is>
      </c>
    </row>
    <row r="982">
      <c r="A982" s="7" t="n">
        <v>37611</v>
      </c>
      <c r="B982" s="7" t="n">
        <v>374708</v>
      </c>
      <c r="C982" s="7" t="n">
        <v>369715</v>
      </c>
      <c r="D982" s="7" t="n">
        <v>308565</v>
      </c>
      <c r="E982" s="8" t="n">
        <v>40605</v>
      </c>
      <c r="F982" s="7" t="n">
        <v>4</v>
      </c>
      <c r="G982" s="7" t="inlineStr">
        <is>
          <t>I always have cake mixes on hand so this is a good recipe to keep. I used a milk chocolate cake and didn't add anything extra. They were chewy and good. Made for Spring PAC 2011.</t>
        </is>
      </c>
    </row>
    <row r="983">
      <c r="A983" s="7" t="n">
        <v>56870</v>
      </c>
      <c r="B983" s="7" t="n">
        <v>1092844</v>
      </c>
      <c r="C983" s="7" t="n">
        <v>1642173</v>
      </c>
      <c r="D983" s="7" t="n">
        <v>41733</v>
      </c>
      <c r="E983" s="8" t="n">
        <v>40361</v>
      </c>
      <c r="F983" s="7" t="n">
        <v>3</v>
      </c>
      <c r="G983" s="7" t="inlineStr">
        <is>
          <t>This chili tastes ok, but it is not what I expected.  The color, consistency, and taste is not exactly what I was looking for.  It was easy and probably has the ingredients I am looking for, but not the right amounts. You really should cook the hamburger first so you can drain the fat off.  If you do that later after the spices have been added, much of the flavor is drained off as well.  I found that it had a sweet taste, so I added quite a bit more salt than a dash.</t>
        </is>
      </c>
    </row>
    <row r="984">
      <c r="A984" s="7" t="n">
        <v>2246</v>
      </c>
      <c r="B984" s="7" t="n">
        <v>674041</v>
      </c>
      <c r="C984" s="7" t="n">
        <v>39547</v>
      </c>
      <c r="D984" s="7" t="n">
        <v>143504</v>
      </c>
      <c r="E984" s="8" t="n">
        <v>39498</v>
      </c>
      <c r="F984" s="7" t="n">
        <v>5</v>
      </c>
      <c r="G984" s="7" t="inlineStr">
        <is>
          <t>This recipe was quite easy to put together, and very tasty1  Differences in how we made it were:  1) instead of baking, we layered it in our large Le Creuset and cooked it on the stovetop, and 2) I had some tan sweet potatoes - the dense not-very-sweet kind - to use up and so used them in place of regular potatoes.  The dish came out quite nicely!  With the leftovers, I removed the chicken from the bone, added more onion and chunked potatoes, and now we have a nice stew.  :)  Thanks, Kittencal!</t>
        </is>
      </c>
    </row>
    <row r="985">
      <c r="A985" s="7" t="n">
        <v>2552</v>
      </c>
      <c r="B985" s="7" t="n">
        <v>1099735</v>
      </c>
      <c r="C985" s="7" t="n">
        <v>526666</v>
      </c>
      <c r="D985" s="7" t="n">
        <v>374987</v>
      </c>
      <c r="E985" s="8" t="n">
        <v>40007</v>
      </c>
      <c r="F985" s="7" t="n">
        <v>5</v>
      </c>
      <c r="G985" s="7" t="inlineStr">
        <is>
          <t>I have to echo another reviewer and say moist and delicious! I had the ingredients on hand, and tossed all in a Ziploc for 4 hours; grilled and succulent! I did reduced the recipe by half, to make 4 breasts. Thanks so much for sharing, kittycatmom!</t>
        </is>
      </c>
    </row>
    <row r="986">
      <c r="A986" s="7" t="n">
        <v>46525</v>
      </c>
      <c r="B986" s="7" t="n">
        <v>190522</v>
      </c>
      <c r="C986" s="7" t="n">
        <v>593513</v>
      </c>
      <c r="D986" s="7" t="n">
        <v>131354</v>
      </c>
      <c r="E986" s="8" t="n">
        <v>39957</v>
      </c>
      <c r="F986" s="7" t="n">
        <v>4</v>
      </c>
      <c r="G986" s="7" t="inlineStr">
        <is>
          <t>This was really good. I made it for a picnic for 10 people Memorial day weekend and they all loved it. First they said ewww Kraft Dinner....but then they tried it and said Yummm. I made this the night before so it could really blend flavors. I did everything as written. I still have lots left over for my lunches only cause I had so many dishes. But this dish was enjoyed by all. Thanks for posting this recipe BakinBaby</t>
        </is>
      </c>
    </row>
    <row r="987">
      <c r="A987" s="7" t="n">
        <v>98940</v>
      </c>
      <c r="B987" s="7" t="n">
        <v>1055516</v>
      </c>
      <c r="C987" s="7" t="n">
        <v>58104</v>
      </c>
      <c r="D987" s="7" t="n">
        <v>392146</v>
      </c>
      <c r="E987" s="8" t="n">
        <v>40275</v>
      </c>
      <c r="F987" s="7" t="n">
        <v>5</v>
      </c>
      <c r="G987" s="7" t="inlineStr">
        <is>
          <t>I used frozen corn(not in season yet even though it is in the 80`s here) Used 2 teaspoons butter and 2 teaspoons olive oil. Yum! Thanks!</t>
        </is>
      </c>
    </row>
    <row r="988">
      <c r="A988" s="7" t="n">
        <v>61710</v>
      </c>
      <c r="B988" s="7" t="n">
        <v>1056177</v>
      </c>
      <c r="C988" s="7" t="n">
        <v>26313</v>
      </c>
      <c r="D988" s="7" t="n">
        <v>227605</v>
      </c>
      <c r="E988" s="8" t="n">
        <v>39985</v>
      </c>
      <c r="F988" s="7" t="n">
        <v>5</v>
      </c>
      <c r="G988" s="7" t="inlineStr">
        <is>
          <t>We really enjoyed this chicken. The chicken was super moist, you could cut it with a fork. Lots of flavor! We made the kids into "tenders" They liked it as well! I didn't have Dijon mustard so I put in a little ground mustard. It was very, very good!</t>
        </is>
      </c>
    </row>
    <row r="989">
      <c r="A989" s="7" t="n">
        <v>92230</v>
      </c>
      <c r="B989" s="7" t="n">
        <v>567849</v>
      </c>
      <c r="C989" s="7" t="n">
        <v>280605</v>
      </c>
      <c r="D989" s="7" t="n">
        <v>159635</v>
      </c>
      <c r="E989" s="8" t="n">
        <v>38970</v>
      </c>
      <c r="F989" s="7" t="n">
        <v>5</v>
      </c>
      <c r="G989" s="7" t="inlineStr">
        <is>
          <t>Great taste!  I cubed my pork, added the ingredients (I used garlic powder) and slow cooked it for 7 hours.  It was divine!</t>
        </is>
      </c>
    </row>
    <row r="990">
      <c r="A990" s="7" t="n">
        <v>74914</v>
      </c>
      <c r="B990" s="7" t="n">
        <v>619863</v>
      </c>
      <c r="C990" s="7" t="n">
        <v>89831</v>
      </c>
      <c r="D990" s="7" t="n">
        <v>250575</v>
      </c>
      <c r="E990" s="8" t="n">
        <v>40220</v>
      </c>
      <c r="F990" s="7" t="n">
        <v>5</v>
      </c>
      <c r="G990" s="7" t="inlineStr">
        <is>
          <t>Once you make this salad you just cannot stop eating it, it is that good1 I did add in a small minced garlic clove to the dressing, about 1 teaspoon if that, I used chopped cashews in place of the almonds as that is all I had, thanks for this great recipe Shar!</t>
        </is>
      </c>
    </row>
    <row r="991">
      <c r="A991" s="7" t="n">
        <v>121499</v>
      </c>
      <c r="B991" s="7" t="n">
        <v>835654</v>
      </c>
      <c r="C991" s="7" t="n">
        <v>7108</v>
      </c>
      <c r="D991" s="7" t="n">
        <v>65276</v>
      </c>
      <c r="E991" s="8" t="n">
        <v>38529</v>
      </c>
      <c r="F991" s="7" t="n">
        <v>4</v>
      </c>
      <c r="G991" s="7" t="inlineStr">
        <is>
          <t xml:space="preserve">Very good!  At the last minute, I wanted to do something different with my tenderloin; I searched and decided upon this recipe.  I cooked the tenderloin as stated and the meat came out a perfect medium rare.  I sauteed the meat in butter and garlic. I did not have gorgonzola but I had some bleu cheese and used that instead, which worked out just fine.  The broth was delicious!  I also served this with sauteed mushrooms and onions.  Next time, I may omit the cheese and just serve it with this yummy broth.  </t>
        </is>
      </c>
    </row>
    <row r="992">
      <c r="A992" s="7" t="n">
        <v>80233</v>
      </c>
      <c r="B992" s="7" t="n">
        <v>198009</v>
      </c>
      <c r="C992" s="7" t="n">
        <v>840768</v>
      </c>
      <c r="D992" s="7" t="n">
        <v>111315</v>
      </c>
      <c r="E992" s="8" t="n">
        <v>40998</v>
      </c>
      <c r="F992" s="7" t="n">
        <v>5</v>
      </c>
      <c r="G992" s="7" t="inlineStr">
        <is>
          <t>Definate 5 star one for us.  Loved the combination &amp; addition of the pickles, peppers &amp; pimentos.  My DH isn't real crazy about cabbage, however, he really enjoys this dish.  Awesome recipe, thanks for sharing.</t>
        </is>
      </c>
    </row>
    <row r="993">
      <c r="A993" s="7" t="n">
        <v>104029</v>
      </c>
      <c r="B993" s="7" t="n">
        <v>312943</v>
      </c>
      <c r="C993" s="7" t="n">
        <v>2000669782</v>
      </c>
      <c r="D993" s="7" t="n">
        <v>124259</v>
      </c>
      <c r="E993" s="8" t="n">
        <v>42913</v>
      </c>
      <c r="F993" s="7" t="n">
        <v>0</v>
      </c>
      <c r="G993" s="7" t="inlineStr">
        <is>
          <t>Fabulous! I find that making the crumble with melted butter makes it less likely to turn soggy. Also added some sour cream to filling and used some strawberries with the rhubarb. My new go to recipe for rhubarb pie. Nora</t>
        </is>
      </c>
    </row>
    <row r="994">
      <c r="A994" s="7" t="n">
        <v>75711</v>
      </c>
      <c r="B994" s="7" t="n">
        <v>423415</v>
      </c>
      <c r="C994" s="7" t="n">
        <v>5060</v>
      </c>
      <c r="D994" s="7" t="n">
        <v>105134</v>
      </c>
      <c r="E994" s="8" t="n">
        <v>38501</v>
      </c>
      <c r="F994" s="7" t="n">
        <v>4</v>
      </c>
      <c r="G994" s="7" t="inlineStr">
        <is>
          <t>This was certainly very tender with lots of gravy. I used a good "Aussie" wine, Rosemount cabernet, it did add good taste. I guess I was a little disappointed because I was expecting to stand two shanks up against the mashed potatoes, but this was impossible, all the meat had fallen away from the bones and actually this turned into quite a tasty lamb stew. I cooked it just as instructed for 3 hours, another time I might lower the oven temp and cook maybe less/more time, not sure what it should have been.</t>
        </is>
      </c>
    </row>
    <row r="995">
      <c r="A995" s="7" t="n">
        <v>4280</v>
      </c>
      <c r="B995" s="7" t="n">
        <v>312930</v>
      </c>
      <c r="C995" s="7" t="n">
        <v>1298905</v>
      </c>
      <c r="D995" s="7" t="n">
        <v>124259</v>
      </c>
      <c r="E995" s="8" t="n">
        <v>39981</v>
      </c>
      <c r="F995" s="7" t="n">
        <v>5</v>
      </c>
      <c r="G995" s="7" t="inlineStr">
        <is>
          <t>i only do one rhubarb thing every year, and this will be it from now on! i had a slice for breakfast and one for lunch ~ thanks for the recipe!</t>
        </is>
      </c>
    </row>
    <row r="996">
      <c r="A996" s="7" t="n">
        <v>103414</v>
      </c>
      <c r="B996" s="7" t="n">
        <v>1068660</v>
      </c>
      <c r="C996" s="7" t="n">
        <v>429769</v>
      </c>
      <c r="D996" s="7" t="n">
        <v>30018</v>
      </c>
      <c r="E996" s="8" t="n">
        <v>39735</v>
      </c>
      <c r="F996" s="7" t="n">
        <v>5</v>
      </c>
      <c r="G996" s="7" t="inlineStr">
        <is>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is>
      </c>
    </row>
    <row r="997">
      <c r="A997" s="7" t="n">
        <v>55381</v>
      </c>
      <c r="B997" s="7" t="n">
        <v>1042912</v>
      </c>
      <c r="C997" s="7" t="n">
        <v>1332313</v>
      </c>
      <c r="D997" s="7" t="n">
        <v>17073</v>
      </c>
      <c r="E997" s="8" t="n">
        <v>40016</v>
      </c>
      <c r="F997" s="7" t="n">
        <v>4</v>
      </c>
      <c r="G997" s="7" t="inlineStr">
        <is>
          <t>Very , good on chicken. I used the leftover crushed pinapple to make a dessert topping. melt a little brown sugar and butter in a pan. add pineapple, season with cinnamon and maybe a splash of rum. serve over icecream or poundcake.</t>
        </is>
      </c>
    </row>
    <row r="998">
      <c r="A998" t="n">
        <v>120059</v>
      </c>
      <c r="B998" t="n">
        <v>931588</v>
      </c>
      <c r="C998" t="n">
        <v>147027</v>
      </c>
      <c r="D998" t="n">
        <v>121823</v>
      </c>
      <c r="E998" s="1" t="n">
        <v>38904</v>
      </c>
      <c r="F998" t="n">
        <v>5</v>
      </c>
      <c r="G998" t="inlineStr">
        <is>
          <t>This was very, very nice! I did make a few minor changes to cut the calories and use more authentic ingredients. I used rice wine vinegar instead of red wine vinegar, shao xing rather than sherry. I would definately use light soy sauce next time too, as it was a little salty for our tastes. Beautiful sauce though! I used hokkein noodles and just cut my chicken into stir fry strips and didn't do the whole coating and deep frying thing at all. We'll be making this one again, thanks for posting!</t>
        </is>
      </c>
    </row>
    <row r="999">
      <c r="A999" s="7" t="n">
        <v>46574</v>
      </c>
      <c r="B999" s="7" t="n">
        <v>300132</v>
      </c>
      <c r="C999" s="7" t="n">
        <v>366373</v>
      </c>
      <c r="D999" s="7" t="n">
        <v>97085</v>
      </c>
      <c r="E999" s="8" t="n">
        <v>39893</v>
      </c>
      <c r="F999" s="7" t="n">
        <v>5</v>
      </c>
      <c r="G999" s="7" t="inlineStr">
        <is>
          <t>I skipped the salt, sugar, and paprika, and added cayenne to taste instead. I don't like Velveeta much, but lost the vote, but I actually loved the way this sauce turned out with it. This'll be a keeper for me, thank you!</t>
        </is>
      </c>
    </row>
    <row r="1000" ht="409.5" customHeight="1">
      <c r="A1000" s="7" t="n">
        <v>4977</v>
      </c>
      <c r="B1000" s="7" t="n">
        <v>92909</v>
      </c>
      <c r="C1000" s="7" t="n">
        <v>86520</v>
      </c>
      <c r="D1000" s="7" t="n">
        <v>27524</v>
      </c>
      <c r="E1000" s="8" t="n">
        <v>38342</v>
      </c>
      <c r="F1000" s="7" t="n">
        <v>4</v>
      </c>
      <c r="G1000" s="9" t="inlineStr">
        <is>
          <t xml:space="preserve">The flavour of these was good. When baked the slices were about 1/14" to 1 1/2" think. You didn't specify a pan size. I googled slice tray and they come in different sizes. I put in a request for anyone who could give me a pan size. No one was sure. I used an 8"X11" pan but it took an extra 15 minutes to bake. I think a pan about 9 1/2" X 13 1/2" would have been better. It would be helpful if you could put pan sizes in your recipes.Thanks._x000D_
</t>
        </is>
      </c>
    </row>
    <row r="1001">
      <c r="A1001" t="n">
        <v>20953</v>
      </c>
      <c r="B1001" t="n">
        <v>865224</v>
      </c>
      <c r="C1001" t="n">
        <v>1883873</v>
      </c>
      <c r="D1001" t="n">
        <v>213314</v>
      </c>
      <c r="E1001" s="1" t="n">
        <v>40647</v>
      </c>
      <c r="F1001" t="n">
        <v>5</v>
      </c>
      <c r="G1001" t="inlineStr">
        <is>
          <t>Great dinner. I made it last night and everyone liked it. I doubled the recipe and it turned out great. I like that it uses crushed tomatoes instead of spaghetti sauce- makes it taste lighter. Good dish!</t>
        </is>
      </c>
    </row>
    <row r="1002">
      <c r="A1002" s="7" t="n">
        <v>8925</v>
      </c>
      <c r="B1002" s="7" t="n">
        <v>41829</v>
      </c>
      <c r="C1002" s="7" t="n">
        <v>171790</v>
      </c>
      <c r="D1002" s="7" t="n">
        <v>97601</v>
      </c>
      <c r="E1002" s="8" t="n">
        <v>39789</v>
      </c>
      <c r="F1002" s="7" t="n">
        <v>5</v>
      </c>
      <c r="G1002" s="7" t="inlineStr">
        <is>
          <t>If you love egg salad and green olives you'll love them combined in this salad. Had it in fresh pita bread and with crunchy lettuce for today's lunch.</t>
        </is>
      </c>
    </row>
    <row r="1003">
      <c r="A1003" s="7" t="n">
        <v>38304</v>
      </c>
      <c r="B1003" s="7" t="n">
        <v>20296</v>
      </c>
      <c r="C1003" s="7" t="n">
        <v>162826</v>
      </c>
      <c r="D1003" s="7" t="n">
        <v>133946</v>
      </c>
      <c r="E1003" s="8" t="n">
        <v>39242</v>
      </c>
      <c r="F1003" s="7" t="n">
        <v>5</v>
      </c>
      <c r="G1003" s="7" t="inlineStr">
        <is>
          <t>Excellent!!!!! using Mahi Mahi, Took Thorsten's lead and used more water *which I didn't need* and some extra cayenne * which I did need* Very very good. Made for ZWT3.</t>
        </is>
      </c>
    </row>
    <row r="1004">
      <c r="A1004" s="7" t="n">
        <v>44413</v>
      </c>
      <c r="B1004" s="7" t="n">
        <v>52870</v>
      </c>
      <c r="C1004" s="7" t="n">
        <v>1802639346</v>
      </c>
      <c r="D1004" s="7" t="n">
        <v>515167</v>
      </c>
      <c r="E1004" s="8" t="n">
        <v>41732</v>
      </c>
      <c r="F1004" s="7" t="n">
        <v>5</v>
      </c>
      <c r="G1004" s="7" t="inlineStr">
        <is>
          <t>my new favorite dish, thanks for sharing!</t>
        </is>
      </c>
    </row>
    <row r="1005">
      <c r="A1005" s="7" t="n">
        <v>26579</v>
      </c>
      <c r="B1005" s="7" t="n">
        <v>529290</v>
      </c>
      <c r="C1005" s="7" t="n">
        <v>2001395169</v>
      </c>
      <c r="D1005" s="7" t="n">
        <v>486732</v>
      </c>
      <c r="E1005" s="8" t="n">
        <v>42783</v>
      </c>
      <c r="F1005" s="7" t="n">
        <v>4</v>
      </c>
      <c r="G1005" s="7" t="inlineStr">
        <is>
          <t>I wanted to make Paneer Tikka but it is very different from this http://www.health-total.com/recipe/mushroom-and-paneer-tikka/ So, I tried both and ended with making Paneer Tikka Masala more tasty. :-P Nice Recipe, Indeed !</t>
        </is>
      </c>
    </row>
    <row r="1006">
      <c r="A1006" s="7" t="n">
        <v>91034</v>
      </c>
      <c r="B1006" s="7" t="n">
        <v>430052</v>
      </c>
      <c r="C1006" s="7" t="n">
        <v>42429</v>
      </c>
      <c r="D1006" s="7" t="n">
        <v>18400</v>
      </c>
      <c r="E1006" s="8" t="n">
        <v>37406</v>
      </c>
      <c r="F1006" s="7" t="n">
        <v>4</v>
      </c>
      <c r="G1006" s="7" t="inlineStr">
        <is>
          <t>I served this at my vegan dinner party, and it was a big hit.  I used the white wine vinegar, and I may have used too much since it seemed very vinegary to me.  But my guests commented that it went perfectly alongside "Taste of Morocco", another recipe I found here.</t>
        </is>
      </c>
    </row>
    <row r="1007">
      <c r="A1007" s="7" t="n">
        <v>12911</v>
      </c>
      <c r="B1007" s="7" t="n">
        <v>745896</v>
      </c>
      <c r="C1007" s="7" t="n">
        <v>37584</v>
      </c>
      <c r="D1007" s="7" t="n">
        <v>351608</v>
      </c>
      <c r="E1007" s="8" t="n">
        <v>40404</v>
      </c>
      <c r="F1007" s="7" t="n">
        <v>4</v>
      </c>
      <c r="G1007" s="7" t="inlineStr">
        <is>
          <t>Very filling and easy to prepare, with ingredients available at the grocery store. It is delicious, I made burritos and added sour cream and Mexican cheese to mine, but it would taste good on its own in a burrito.</t>
        </is>
      </c>
    </row>
    <row r="1008">
      <c r="A1008" s="7" t="n">
        <v>107337</v>
      </c>
      <c r="B1008" s="7" t="n">
        <v>75062</v>
      </c>
      <c r="C1008" s="7" t="n">
        <v>209747</v>
      </c>
      <c r="D1008" s="7" t="n">
        <v>169291</v>
      </c>
      <c r="E1008" s="8" t="n">
        <v>39601</v>
      </c>
      <c r="F1008" s="7" t="n">
        <v>5</v>
      </c>
      <c r="G1008" s="7" t="inlineStr">
        <is>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is>
      </c>
    </row>
    <row r="1009">
      <c r="A1009" s="7" t="n">
        <v>64190</v>
      </c>
      <c r="B1009" s="7" t="n">
        <v>1074917</v>
      </c>
      <c r="C1009" s="7" t="n">
        <v>1033325</v>
      </c>
      <c r="D1009" s="7" t="n">
        <v>135350</v>
      </c>
      <c r="E1009" s="8" t="n">
        <v>42361</v>
      </c>
      <c r="F1009" s="7" t="n">
        <v>5</v>
      </c>
      <c r="G1009" s="7" t="inlineStr">
        <is>
          <t>Yummy! Made as written but with white cheddar and yellow cheddar. Added a touch of nutmeg and cayenne pepper. I couldn&amp;#039;t stop eating it!</t>
        </is>
      </c>
    </row>
    <row r="1010">
      <c r="A1010" s="7" t="n">
        <v>25698</v>
      </c>
      <c r="B1010" s="7" t="n">
        <v>243177</v>
      </c>
      <c r="C1010" s="7" t="n">
        <v>2123645</v>
      </c>
      <c r="D1010" s="7" t="n">
        <v>218584</v>
      </c>
      <c r="E1010" s="8" t="n">
        <v>43380</v>
      </c>
      <c r="F1010" s="7" t="n">
        <v>5</v>
      </c>
      <c r="G1010" s="7" t="inlineStr">
        <is>
          <t>This is so good! Like a pumpkin pie with a crumble on top. I ended up baking this close to 1 hour and 20 minutes to get it to be brown on top. In addition to the cinnamon, I added 1 teaspoon ginger and 1/2 teaspoon cloves. Delicious!</t>
        </is>
      </c>
    </row>
    <row r="1011">
      <c r="A1011" s="7" t="n">
        <v>8328</v>
      </c>
      <c r="B1011" s="7" t="n">
        <v>219405</v>
      </c>
      <c r="C1011" s="7" t="n">
        <v>2001059024</v>
      </c>
      <c r="D1011" s="7" t="n">
        <v>471486</v>
      </c>
      <c r="E1011" s="8" t="n">
        <v>42543</v>
      </c>
      <c r="F1011" s="7" t="n">
        <v>5</v>
      </c>
      <c r="G1011" s="7" t="inlineStr">
        <is>
          <t>Thank you so much! By far the best gluten free cake we've ever made or had. It was the best Birthday cake ever.</t>
        </is>
      </c>
    </row>
    <row r="1012">
      <c r="A1012" s="7" t="n">
        <v>12797</v>
      </c>
      <c r="B1012" s="7" t="n">
        <v>733147</v>
      </c>
      <c r="C1012" s="7" t="n">
        <v>68460</v>
      </c>
      <c r="D1012" s="7" t="n">
        <v>92778</v>
      </c>
      <c r="E1012" s="8" t="n">
        <v>38150</v>
      </c>
      <c r="F1012" s="7" t="n">
        <v>5</v>
      </c>
      <c r="G1012" s="7" t="inlineStr">
        <is>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is>
      </c>
    </row>
    <row r="1013">
      <c r="A1013" s="7" t="n">
        <v>83653</v>
      </c>
      <c r="B1013" s="7" t="n">
        <v>549013</v>
      </c>
      <c r="C1013" s="7" t="n">
        <v>173579</v>
      </c>
      <c r="D1013" s="7" t="n">
        <v>272037</v>
      </c>
      <c r="E1013" s="8" t="n">
        <v>41331</v>
      </c>
      <c r="F1013" s="7" t="n">
        <v>5</v>
      </c>
      <c r="G1013" s="7" t="inlineStr">
        <is>
          <t>This was a very good sandwich.  We loved the apple in it.  Thanks for posting.</t>
        </is>
      </c>
    </row>
    <row r="1014">
      <c r="A1014" s="7" t="n">
        <v>116331</v>
      </c>
      <c r="B1014" s="7" t="n">
        <v>133122</v>
      </c>
      <c r="C1014" s="7" t="n">
        <v>2533655</v>
      </c>
      <c r="D1014" s="7" t="n">
        <v>287359</v>
      </c>
      <c r="E1014" s="8" t="n">
        <v>41242</v>
      </c>
      <c r="F1014" s="7" t="n">
        <v>3</v>
      </c>
      <c r="G1014" s="7" t="inlineStr">
        <is>
          <t>Cornmeal?  Left that out and used commercial frozen pie crust.  Calories assay to the right here, is wrong.  Has 25% higher calories content than the Splenda Brand recipe for same pie and the Splenda recipe uses corn syrup.</t>
        </is>
      </c>
    </row>
    <row r="1015">
      <c r="A1015" s="7" t="n">
        <v>24206</v>
      </c>
      <c r="B1015" s="7" t="n">
        <v>450287</v>
      </c>
      <c r="C1015" s="7" t="n">
        <v>593927</v>
      </c>
      <c r="D1015" s="7" t="n">
        <v>353739</v>
      </c>
      <c r="E1015" s="8" t="n">
        <v>40200</v>
      </c>
      <c r="F1015" s="7" t="n">
        <v>5</v>
      </c>
      <c r="G1015" s="7" t="inlineStr">
        <is>
          <t>This was quite good and refreshing. Sorry I cheated and used store bought kefir laban drink as I had some on hand. I used orange Tropicana and did it all with maple syrup to taste. Ie. I did not measure but approximated amounts to taste.</t>
        </is>
      </c>
    </row>
    <row r="1016">
      <c r="A1016" t="n">
        <v>102507</v>
      </c>
      <c r="B1016" t="n">
        <v>766768</v>
      </c>
      <c r="C1016" t="n">
        <v>3288</v>
      </c>
      <c r="D1016" t="n">
        <v>187569</v>
      </c>
      <c r="E1016" s="1" t="n">
        <v>39262</v>
      </c>
      <c r="F1016" t="n">
        <v>4</v>
      </c>
      <c r="G1016" t="inlineStr">
        <is>
          <t>I took this for our small group and it was met with approval.  I let it set for about 10-20 minutes before which probably was a mistake since it sucked up all the juice and was a little dry.  I will definitely try this one again.  Thank you for another great option for using my chopped chicken in the freezer!</t>
        </is>
      </c>
    </row>
    <row r="1017">
      <c r="A1017" s="7" t="n">
        <v>114725</v>
      </c>
      <c r="B1017" s="7" t="n">
        <v>53100</v>
      </c>
      <c r="C1017" s="7" t="n">
        <v>167225</v>
      </c>
      <c r="D1017" s="7" t="n">
        <v>62556</v>
      </c>
      <c r="E1017" s="8" t="n">
        <v>38290</v>
      </c>
      <c r="F1017" s="7" t="n">
        <v>5</v>
      </c>
      <c r="G1017" s="7" t="inlineStr">
        <is>
          <t>I made this this past summer and it was really good. (I wasn't a member then so I didn't review it then). I didn't have cognac, so I think I used about a teaspoon of vanilla extract instead. The batter is just sweet enough to go with the sweet-tartness of the apricots, and this tasted really light and fresh and perfect for summer.</t>
        </is>
      </c>
    </row>
    <row r="1018">
      <c r="A1018" s="7" t="n">
        <v>529</v>
      </c>
      <c r="B1018" s="7" t="n">
        <v>941856</v>
      </c>
      <c r="C1018" s="7" t="n">
        <v>133174</v>
      </c>
      <c r="D1018" s="7" t="n">
        <v>430055</v>
      </c>
      <c r="E1018" s="8" t="n">
        <v>40499</v>
      </c>
      <c r="F1018" s="7" t="n">
        <v>5</v>
      </c>
      <c r="G1018" s="7" t="inlineStr">
        <is>
          <t>This chicken is delicious and so easy. I used the full amount of marinade for 5 chicken legs.  The pan was lined with foil and sprayed with non-stick cooking spray.  This kept the chicken from sticking and made for easy clean-up.</t>
        </is>
      </c>
    </row>
    <row r="1019">
      <c r="A1019" s="7" t="n">
        <v>75993</v>
      </c>
      <c r="B1019" s="7" t="n">
        <v>611196</v>
      </c>
      <c r="C1019" s="7" t="n">
        <v>88099</v>
      </c>
      <c r="D1019" s="7" t="n">
        <v>326191</v>
      </c>
      <c r="E1019" s="8" t="n">
        <v>40242</v>
      </c>
      <c r="F1019" s="7" t="n">
        <v>5</v>
      </c>
      <c r="G1019" s="7" t="inlineStr">
        <is>
          <t>Excellent.  Loved the mustard although I did decrease it to half.  I've made mashed potatoes with buttermilk before and I really like the flavor it adds.  Thanks so much for sharing.  Made for March Aussie Swap 2010  :)</t>
        </is>
      </c>
    </row>
    <row r="1020">
      <c r="A1020" s="7" t="n">
        <v>54269</v>
      </c>
      <c r="B1020" s="7" t="n">
        <v>411859</v>
      </c>
      <c r="C1020" s="7" t="n">
        <v>166642</v>
      </c>
      <c r="D1020" s="7" t="n">
        <v>268205</v>
      </c>
      <c r="E1020" s="8" t="n">
        <v>39796</v>
      </c>
      <c r="F1020" s="7" t="n">
        <v>5</v>
      </c>
      <c r="G1020" s="7" t="inlineStr">
        <is>
          <t>These are delicious! I love macadamia nuts so I knew this had to be good. I just drizzled the glaze over the bars instead of piping it. Thanks for sharing!</t>
        </is>
      </c>
    </row>
    <row r="1021">
      <c r="A1021" s="7" t="n">
        <v>45165</v>
      </c>
      <c r="B1021" s="7" t="n">
        <v>626112</v>
      </c>
      <c r="C1021" s="7" t="n">
        <v>38643</v>
      </c>
      <c r="D1021" s="7" t="n">
        <v>116242</v>
      </c>
      <c r="E1021" s="8" t="n">
        <v>38467</v>
      </c>
      <c r="F1021" s="7" t="n">
        <v>5</v>
      </c>
      <c r="G1021" s="7" t="inlineStr">
        <is>
          <t>I halved this recipe as there is just the two of us and served it with some fried smoked sausage. Very tasty. This is a great weekday meal when you're looking for something quick.</t>
        </is>
      </c>
    </row>
    <row r="1022">
      <c r="A1022" s="7" t="n">
        <v>121243</v>
      </c>
      <c r="B1022" s="7" t="n">
        <v>1022014</v>
      </c>
      <c r="C1022" s="7" t="n">
        <v>217726</v>
      </c>
      <c r="D1022" s="7" t="n">
        <v>21597</v>
      </c>
      <c r="E1022" s="8" t="n">
        <v>38837</v>
      </c>
      <c r="F1022" s="7" t="n">
        <v>4</v>
      </c>
      <c r="G1022" s="7" t="inlineStr">
        <is>
          <t>Good basic spiced muffins. Thanks for sharing!</t>
        </is>
      </c>
    </row>
    <row r="1023">
      <c r="A1023" s="7" t="n">
        <v>78813</v>
      </c>
      <c r="B1023" s="7" t="n">
        <v>688082</v>
      </c>
      <c r="C1023" s="7" t="n">
        <v>1272254</v>
      </c>
      <c r="D1023" s="7" t="n">
        <v>288482</v>
      </c>
      <c r="E1023" s="8" t="n">
        <v>40040</v>
      </c>
      <c r="F1023" s="7" t="n">
        <v>4</v>
      </c>
      <c r="G1023" s="7" t="inlineStr">
        <is>
          <t>One of those tasty dishes you eat and your body thanks you for it.</t>
        </is>
      </c>
    </row>
    <row r="1024">
      <c r="A1024" s="7" t="n">
        <v>45253</v>
      </c>
      <c r="B1024" s="7" t="n">
        <v>950064</v>
      </c>
      <c r="C1024" s="7" t="n">
        <v>443871</v>
      </c>
      <c r="D1024" s="7" t="n">
        <v>142602</v>
      </c>
      <c r="E1024" s="8" t="n">
        <v>39693</v>
      </c>
      <c r="F1024" s="7" t="n">
        <v>5</v>
      </c>
      <c r="G1024" s="7" t="inlineStr">
        <is>
          <t>awesome bread. I made this the other day and it turned out great. I would suggest that you cut a slit in the dough ball before you bake it. Also, wait till it cools down for at least 30 minutes before you cut into it. Cutting too soon, will affect the texture.</t>
        </is>
      </c>
    </row>
    <row r="1025">
      <c r="A1025" s="7" t="n">
        <v>4591</v>
      </c>
      <c r="B1025" s="7" t="n">
        <v>599998</v>
      </c>
      <c r="C1025" s="7" t="n">
        <v>1458727</v>
      </c>
      <c r="D1025" s="7" t="n">
        <v>89932</v>
      </c>
      <c r="E1025" s="8" t="n">
        <v>40630</v>
      </c>
      <c r="F1025" s="7" t="n">
        <v>0</v>
      </c>
      <c r="G1025" s="7" t="inlineStr">
        <is>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is>
      </c>
    </row>
    <row r="1026">
      <c r="A1026" s="7" t="n">
        <v>28214</v>
      </c>
      <c r="B1026" s="7" t="n">
        <v>325751</v>
      </c>
      <c r="C1026" s="7" t="n">
        <v>282745</v>
      </c>
      <c r="D1026" s="7" t="n">
        <v>170690</v>
      </c>
      <c r="E1026" s="8" t="n">
        <v>38987</v>
      </c>
      <c r="F1026" s="7" t="n">
        <v>5</v>
      </c>
      <c r="G1026" s="7" t="inlineStr">
        <is>
          <t xml:space="preserve">I made this for PAC.  Nice balance between the sweet and hot here!  I did use 2 chipotles and I think it would have been too mild with just one...2 was perfect if you like spicy foods normally.  I'm adding this to my permanent chicken cookbook!  </t>
        </is>
      </c>
    </row>
    <row r="1027">
      <c r="A1027" s="7" t="n">
        <v>28068</v>
      </c>
      <c r="B1027" s="7" t="n">
        <v>246604</v>
      </c>
      <c r="C1027" s="7" t="n">
        <v>144897</v>
      </c>
      <c r="D1027" s="7" t="n">
        <v>115110</v>
      </c>
      <c r="E1027" s="8" t="n">
        <v>39945</v>
      </c>
      <c r="F1027" s="7" t="n">
        <v>3</v>
      </c>
      <c r="G1027" s="7" t="inlineStr">
        <is>
          <t>This was a good way to try to get more spinach into the diet.  I think adding in some tomatoes or salsa really would have been tasty in this dish.</t>
        </is>
      </c>
    </row>
    <row r="1028">
      <c r="A1028" s="7" t="n">
        <v>24068</v>
      </c>
      <c r="B1028" s="7" t="n">
        <v>634035</v>
      </c>
      <c r="C1028" s="7" t="n">
        <v>44372</v>
      </c>
      <c r="D1028" s="7" t="n">
        <v>22569</v>
      </c>
      <c r="E1028" s="8" t="n">
        <v>37555</v>
      </c>
      <c r="F1028" s="7" t="n">
        <v>4</v>
      </c>
      <c r="G1028" s="7" t="inlineStr">
        <is>
          <t>This was so easy to make, and I really enjoyed the flavors.  I did add a bit of cheese to the egg mixture too, otherwise followed to a T.  I thought it could have used something else--maybe some garlic or onion (I have difficulty cooking without either one), so will probably add some next time.  Thanks for another great recipe, Mirj!</t>
        </is>
      </c>
    </row>
    <row r="1029">
      <c r="A1029" s="7" t="n">
        <v>48952</v>
      </c>
      <c r="B1029" s="7" t="n">
        <v>1038357</v>
      </c>
      <c r="C1029" s="7" t="n">
        <v>286851</v>
      </c>
      <c r="D1029" s="7" t="n">
        <v>42900</v>
      </c>
      <c r="E1029" s="8" t="n">
        <v>40468</v>
      </c>
      <c r="F1029" s="7" t="n">
        <v>5</v>
      </c>
      <c r="G1029" s="7" t="inlineStr">
        <is>
          <t>This is our favorite recipe for Cornish game hens. Tender and juicy, the skin crisps up wonderfully and is so tasty. Thank you for sharing.</t>
        </is>
      </c>
    </row>
    <row r="1030">
      <c r="A1030" s="7" t="n">
        <v>7765</v>
      </c>
      <c r="B1030" s="7" t="n">
        <v>14840</v>
      </c>
      <c r="C1030" s="7" t="n">
        <v>510821</v>
      </c>
      <c r="D1030" s="7" t="n">
        <v>37413</v>
      </c>
      <c r="E1030" s="8" t="n">
        <v>39305</v>
      </c>
      <c r="F1030" s="7" t="n">
        <v>5</v>
      </c>
      <c r="G1030" s="7" t="inlineStr">
        <is>
          <t>My whole family loved this. We served it over rice and cooked carrots on the side. I will be making this many more times.</t>
        </is>
      </c>
    </row>
    <row r="1031">
      <c r="A1031" t="n">
        <v>13273</v>
      </c>
      <c r="B1031" t="n">
        <v>1076666</v>
      </c>
      <c r="C1031" t="n">
        <v>2002019992</v>
      </c>
      <c r="D1031" t="n">
        <v>329804</v>
      </c>
      <c r="E1031" s="1" t="n">
        <v>43158</v>
      </c>
      <c r="F1031" t="n">
        <v>5</v>
      </c>
      <c r="G1031" t="inlineStr">
        <is>
          <t>I just tried this recipe right now. And it's so good. Thank you so much. The chocolate syrup is over $6 in my country which is difficult to get. This is a very affordable recipe. Thanks again. I used 1 cup sugar but I'll add more because I like the sweeter syrups.</t>
        </is>
      </c>
    </row>
    <row r="1032">
      <c r="A1032" s="7" t="n">
        <v>122356</v>
      </c>
      <c r="B1032" s="7" t="n">
        <v>977681</v>
      </c>
      <c r="C1032" s="7" t="n">
        <v>136299</v>
      </c>
      <c r="D1032" s="7" t="n">
        <v>91925</v>
      </c>
      <c r="E1032" s="8" t="n">
        <v>38177</v>
      </c>
      <c r="F1032" s="7" t="n">
        <v>4</v>
      </c>
      <c r="G1032" s="7" t="inlineStr">
        <is>
          <t>These are very good.  I ate 3 right after I took them out of the oven.</t>
        </is>
      </c>
    </row>
    <row r="1033" ht="409.5" customHeight="1">
      <c r="A1033" s="7" t="n">
        <v>54327</v>
      </c>
      <c r="B1033" s="7" t="n">
        <v>428489</v>
      </c>
      <c r="C1033" s="7" t="n">
        <v>837251</v>
      </c>
      <c r="D1033" s="7" t="n">
        <v>263512</v>
      </c>
      <c r="E1033" s="8" t="n">
        <v>39640</v>
      </c>
      <c r="F1033" s="7" t="n">
        <v>4</v>
      </c>
      <c r="G1033" s="9" t="inlineStr">
        <is>
          <t>Good and simple! It was a bit dry so i will add some olive oil next time. I used ready-grated parmesan, and that was way too powdery and not nice at all, so i added a bit of Gouda to make them nice and cheesy. 6 tortillas was way too much, so we're having these again tomorrow!_x000D_
Made for Tastebud Tickling Travellers, ZWT4</t>
        </is>
      </c>
    </row>
    <row r="1034">
      <c r="A1034" s="7" t="n">
        <v>31961</v>
      </c>
      <c r="B1034" s="7" t="n">
        <v>979560</v>
      </c>
      <c r="C1034" s="7" t="n">
        <v>1803731671</v>
      </c>
      <c r="D1034" s="7" t="n">
        <v>239485</v>
      </c>
      <c r="E1034" s="8" t="n">
        <v>42445</v>
      </c>
      <c r="F1034" s="7" t="n">
        <v>5</v>
      </c>
      <c r="G1034" s="7" t="inlineStr">
        <is>
          <t>I love this recipe.  I&amp;#039;ve made it twice now.  Am trying to upload pic.</t>
        </is>
      </c>
    </row>
    <row r="1035" ht="409.5" customHeight="1">
      <c r="A1035" s="7" t="n">
        <v>106559</v>
      </c>
      <c r="B1035" s="7" t="n">
        <v>203576</v>
      </c>
      <c r="C1035" s="7" t="n">
        <v>840701</v>
      </c>
      <c r="D1035" s="7" t="n">
        <v>59346</v>
      </c>
      <c r="E1035" s="8" t="n">
        <v>39590</v>
      </c>
      <c r="F1035" s="7" t="n">
        <v>5</v>
      </c>
      <c r="G1035" s="9" t="inlineStr">
        <is>
          <t>I made this cake for my uncle's 50th birthday, and it was a HUGE hit! I got multiple praises and was told by 7 different people that it was the BEST cake they had ever had, and should open a bakery!!!! Amazing! Had to give you credit, since it's your recipe! Thank you so much for sharing this with us!
P.S. Make extra frosting when you're making this cake ;-)</t>
        </is>
      </c>
    </row>
    <row r="1036">
      <c r="A1036" s="7" t="n">
        <v>84700</v>
      </c>
      <c r="B1036" s="7" t="n">
        <v>893090</v>
      </c>
      <c r="C1036" s="7" t="n">
        <v>441629</v>
      </c>
      <c r="D1036" s="7" t="n">
        <v>130189</v>
      </c>
      <c r="E1036" s="8" t="n">
        <v>39155</v>
      </c>
      <c r="F1036" s="7" t="n">
        <v>5</v>
      </c>
      <c r="G1036" s="7" t="inlineStr">
        <is>
          <t>My dad and I made this recipe out of the Pace recipe book when I was a kid.  Can't believe I found it again - loved it!</t>
        </is>
      </c>
    </row>
    <row r="1037">
      <c r="A1037" s="7" t="n">
        <v>73215</v>
      </c>
      <c r="B1037" s="7" t="n">
        <v>575801</v>
      </c>
      <c r="C1037" s="7" t="n">
        <v>677012</v>
      </c>
      <c r="D1037" s="7" t="n">
        <v>15242</v>
      </c>
      <c r="E1037" s="8" t="n">
        <v>39443</v>
      </c>
      <c r="F1037" s="7" t="n">
        <v>5</v>
      </c>
      <c r="G1037" s="7" t="inlineStr">
        <is>
          <t>This dish is amazing...so easy to prepare and it tastes delicious! I follow the dirctions exactly, except I add bacon to mine; it really adds a lot of flavor. Thanks Rhonda for an excellent recipe!</t>
        </is>
      </c>
    </row>
    <row r="1038">
      <c r="A1038" s="7" t="n">
        <v>120608</v>
      </c>
      <c r="B1038" s="7" t="n">
        <v>1067023</v>
      </c>
      <c r="C1038" s="7" t="n">
        <v>315500</v>
      </c>
      <c r="D1038" s="7" t="n">
        <v>115160</v>
      </c>
      <c r="E1038" s="8" t="n">
        <v>39304</v>
      </c>
      <c r="F1038" s="7" t="n">
        <v>5</v>
      </c>
      <c r="G1038" s="7" t="inlineStr">
        <is>
          <t>This cake is a MUST TRY! It has such an unusual and delightful taste and texture, that it disappeared within minutes at my housewarming party! This repice is top-notch, didn't have to change a thing. If you're looking to impress your family and friends with cuisine that is out of the ordinary, this is the perfect cake.</t>
        </is>
      </c>
    </row>
    <row r="1039">
      <c r="A1039" s="7" t="n">
        <v>68186</v>
      </c>
      <c r="B1039" s="7" t="n">
        <v>45393</v>
      </c>
      <c r="C1039" s="7" t="n">
        <v>133174</v>
      </c>
      <c r="D1039" s="7" t="n">
        <v>365051</v>
      </c>
      <c r="E1039" s="8" t="n">
        <v>40022</v>
      </c>
      <c r="F1039" s="7" t="n">
        <v>5</v>
      </c>
      <c r="G1039" s="7" t="inlineStr">
        <is>
          <t>A delicious and easy way to prepare fresh garden produce.  I had small red potatoes which were quartered.  Other than that didn't change a thing.</t>
        </is>
      </c>
    </row>
    <row r="1040">
      <c r="A1040" s="7" t="n">
        <v>126260</v>
      </c>
      <c r="B1040" s="7" t="n">
        <v>148842</v>
      </c>
      <c r="C1040" s="7" t="n">
        <v>214160</v>
      </c>
      <c r="D1040" s="7" t="n">
        <v>69202</v>
      </c>
      <c r="E1040" s="8" t="n">
        <v>40816</v>
      </c>
      <c r="F1040" s="7" t="n">
        <v>3</v>
      </c>
      <c r="G1040" s="7" t="inlineStr">
        <is>
          <t>I thought it was a very easy and quick dish to prepare. The cook times were spot on and the chicken breasts were perfectly juicy and cooked through. I used Stubb's BBQ sauce (spicy) since it's from here in Austin and awesome anyway. I'll use the recipe again in a pinch but it's not quite what I'd serve to guests. Good enough a quick after work throw down though. Thanks!</t>
        </is>
      </c>
    </row>
    <row r="1041">
      <c r="A1041" s="7" t="n">
        <v>21734</v>
      </c>
      <c r="B1041" s="7" t="n">
        <v>940069</v>
      </c>
      <c r="C1041" s="7" t="n">
        <v>824412</v>
      </c>
      <c r="D1041" s="7" t="n">
        <v>47195</v>
      </c>
      <c r="E1041" s="8" t="n">
        <v>40086</v>
      </c>
      <c r="F1041" s="7" t="n">
        <v>5</v>
      </c>
      <c r="G1041" s="7" t="inlineStr">
        <is>
          <t>I had never heard of this before! These were excellent and really easy - much easier than frying them - and much healthier. It does take a while to make though, because you work in such small batches - they were being eaten just as fast as I could make them!</t>
        </is>
      </c>
    </row>
    <row r="1042">
      <c r="A1042" s="7" t="n">
        <v>47497</v>
      </c>
      <c r="B1042" s="7" t="n">
        <v>947272</v>
      </c>
      <c r="C1042" s="7" t="n">
        <v>37608</v>
      </c>
      <c r="D1042" s="7" t="n">
        <v>31503</v>
      </c>
      <c r="E1042" s="8" t="n">
        <v>37480</v>
      </c>
      <c r="F1042" s="7" t="n">
        <v>5</v>
      </c>
      <c r="G1042" s="7" t="inlineStr">
        <is>
          <t>What a beautifully easy and light side dish!  I altered it a little by cooking the couscous in chicken stock, used the juice from half of a large lemon, and threw in a whack of fresh parsley.  It was still great the next day, slightly reheated and spruced up with a little more lemon juice.  Thanks Anu, I will certainly make this again!</t>
        </is>
      </c>
    </row>
    <row r="1043">
      <c r="A1043" t="n">
        <v>8689</v>
      </c>
      <c r="B1043" t="n">
        <v>937872</v>
      </c>
      <c r="C1043" t="n">
        <v>184723</v>
      </c>
      <c r="D1043" t="n">
        <v>82102</v>
      </c>
      <c r="E1043" s="1" t="n">
        <v>38630</v>
      </c>
      <c r="F1043" t="n">
        <v>5</v>
      </c>
      <c r="G1043" t="inlineStr">
        <is>
          <t>Delicious!  I was short on time and only had frozen chicken breasts... so I poured the butter mixture over the breasts and made sure some was underneath, doubled the bread crumb mixture as others suggested and poured on top as well trying to coat as best I could.  Turned out PERFECT!!!! Thanks!</t>
        </is>
      </c>
    </row>
    <row r="1044">
      <c r="A1044" s="7" t="n">
        <v>69281</v>
      </c>
      <c r="B1044" s="7" t="n">
        <v>297125</v>
      </c>
      <c r="C1044" s="7" t="n">
        <v>383853</v>
      </c>
      <c r="D1044" s="7" t="n">
        <v>315168</v>
      </c>
      <c r="E1044" s="8" t="n">
        <v>39722</v>
      </c>
      <c r="F1044" s="7" t="n">
        <v>4</v>
      </c>
      <c r="G1044" s="7" t="inlineStr">
        <is>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is>
      </c>
    </row>
    <row r="1045">
      <c r="A1045" s="7" t="n">
        <v>34723</v>
      </c>
      <c r="B1045" s="7" t="n">
        <v>246549</v>
      </c>
      <c r="C1045" s="7" t="n">
        <v>455970</v>
      </c>
      <c r="D1045" s="7" t="n">
        <v>115110</v>
      </c>
      <c r="E1045" s="8" t="n">
        <v>39142</v>
      </c>
      <c r="F1045" s="7" t="n">
        <v>2</v>
      </c>
      <c r="G1045" s="7" t="inlineStr">
        <is>
          <t>I think that the spinach was a bit much. I love spinach, but it almost seemed like that was all I was eating. The tortilla shell was a great choice, and maybe add another to the middle? It did turn out just as perfect as I think it would have, bacon - great addition! I would have to agree to spray the cooking dish first, there was maybe a quarter of it that stuck.</t>
        </is>
      </c>
    </row>
    <row r="1046" ht="409.5" customHeight="1">
      <c r="A1046" s="7" t="n">
        <v>82548</v>
      </c>
      <c r="B1046" s="7" t="n">
        <v>160384</v>
      </c>
      <c r="C1046" s="7" t="n">
        <v>452940</v>
      </c>
      <c r="D1046" s="7" t="n">
        <v>280812</v>
      </c>
      <c r="E1046" s="8" t="n">
        <v>39502</v>
      </c>
      <c r="F1046" s="7" t="n">
        <v>4</v>
      </c>
      <c r="G1046" s="9" t="inlineStr">
        <is>
          <t>This was very easy to put together and full of flavor. _x000D_
I did remove the seeds from the cucumbers for personal preference. (There's always just too darn many of em, lol.)_x000D_
A very unique side dish to dinner and it's nice to get away from the normal dishes of steamed veggies sometimes. Thanks for posting._x000D_
~Bird</t>
        </is>
      </c>
    </row>
    <row r="1047">
      <c r="A1047" s="7" t="n">
        <v>114722</v>
      </c>
      <c r="B1047" s="7" t="n">
        <v>370297</v>
      </c>
      <c r="C1047" s="7" t="n">
        <v>2000708513</v>
      </c>
      <c r="D1047" s="7" t="n">
        <v>507069</v>
      </c>
      <c r="E1047" s="8" t="n">
        <v>42605</v>
      </c>
      <c r="F1047" s="7" t="n">
        <v>3</v>
      </c>
      <c r="G1047" s="7" t="inlineStr">
        <is>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is>
      </c>
    </row>
    <row r="1048">
      <c r="A1048" s="7" t="n">
        <v>53588</v>
      </c>
      <c r="B1048" s="7" t="n">
        <v>736667</v>
      </c>
      <c r="C1048" s="7" t="n">
        <v>2394563</v>
      </c>
      <c r="D1048" s="7" t="n">
        <v>99918</v>
      </c>
      <c r="E1048" s="8" t="n">
        <v>41160</v>
      </c>
      <c r="F1048" s="7" t="n">
        <v>5</v>
      </c>
      <c r="G1048" s="7" t="inlineStr">
        <is>
          <t>Freakin delicious! I eye balled all of the ingredients and it came out tasting so good. So simple and fast. My new go to for a fast dinner.</t>
        </is>
      </c>
    </row>
    <row r="1049">
      <c r="A1049" s="7" t="n">
        <v>105496</v>
      </c>
      <c r="B1049" s="7" t="n">
        <v>457419</v>
      </c>
      <c r="C1049" s="7" t="n">
        <v>47555</v>
      </c>
      <c r="D1049" s="7" t="n">
        <v>32847</v>
      </c>
      <c r="E1049" s="8" t="n">
        <v>37442</v>
      </c>
      <c r="F1049" s="7" t="n">
        <v>5</v>
      </c>
      <c r="G1049" s="7" t="inlineStr">
        <is>
          <t>This was very, very good.  I added a little bit of shredded cheese before placing in the oven, but otherwise followed the recipe verbatim.  They turned out delicious and was relatively easy.</t>
        </is>
      </c>
    </row>
    <row r="1050">
      <c r="A1050" s="7" t="n">
        <v>117359</v>
      </c>
      <c r="B1050" s="7" t="n">
        <v>38137</v>
      </c>
      <c r="C1050" s="7" t="n">
        <v>2001258076</v>
      </c>
      <c r="D1050" s="7" t="n">
        <v>502197</v>
      </c>
      <c r="E1050" s="8" t="n">
        <v>42695</v>
      </c>
      <c r="F1050" s="7" t="n">
        <v>0</v>
      </c>
      <c r="G1050" s="7" t="inlineStr">
        <is>
          <t>Is there a way to make this using real whipped cream? I do not like the ingredients in Cool Whip.</t>
        </is>
      </c>
    </row>
    <row r="1051">
      <c r="A1051" s="7" t="n">
        <v>126484</v>
      </c>
      <c r="B1051" s="7" t="n">
        <v>681018</v>
      </c>
      <c r="C1051" s="7" t="n">
        <v>322438</v>
      </c>
      <c r="D1051" s="7" t="n">
        <v>108248</v>
      </c>
      <c r="E1051" s="8" t="n">
        <v>39147</v>
      </c>
      <c r="F1051" s="7" t="n">
        <v>5</v>
      </c>
      <c r="G1051" s="7" t="inlineStr">
        <is>
          <t>great recipe easy to make excellent</t>
        </is>
      </c>
    </row>
    <row r="1052">
      <c r="A1052" s="7" t="n">
        <v>95352</v>
      </c>
      <c r="B1052" s="7" t="n">
        <v>1098199</v>
      </c>
      <c r="C1052" s="7" t="n">
        <v>335614</v>
      </c>
      <c r="D1052" s="7" t="n">
        <v>371202</v>
      </c>
      <c r="E1052" s="8" t="n">
        <v>39947</v>
      </c>
      <c r="F1052" s="7" t="n">
        <v>5</v>
      </c>
      <c r="G1052" s="7" t="inlineStr">
        <is>
          <t>Wow! If I hadn't made it myself, I would never have believed this was a dairy free custard. It's so rich and creamy. The sweet oranges and tart raspberries are so perfect together, and both really gain a lot by being paired with the warm toasty caramel. This is a perfect dessert. I found that with the amounts given, I was able to fill two 8 inch pie tins, so mine may be shallower than yours. I don't think the second one is going to last very long anyway. Thanks so much for sharing this! Made for Dining Daredevils team for Zaar World Tour V.</t>
        </is>
      </c>
    </row>
    <row r="1053">
      <c r="A1053" s="7" t="n">
        <v>23924</v>
      </c>
      <c r="B1053" s="7" t="n">
        <v>777540</v>
      </c>
      <c r="C1053" s="7" t="n">
        <v>62562</v>
      </c>
      <c r="D1053" s="7" t="n">
        <v>186004</v>
      </c>
      <c r="E1053" s="8" t="n">
        <v>39149</v>
      </c>
      <c r="F1053" s="7" t="n">
        <v>5</v>
      </c>
      <c r="G1053" s="7" t="inlineStr">
        <is>
          <t>Very good! Who would guess it came from a box? My family devoured it. Thanks cookiedog!</t>
        </is>
      </c>
    </row>
    <row r="1054">
      <c r="A1054" s="7" t="n">
        <v>115398</v>
      </c>
      <c r="B1054" s="7" t="n">
        <v>918262</v>
      </c>
      <c r="C1054" s="7" t="n">
        <v>676251</v>
      </c>
      <c r="D1054" s="7" t="n">
        <v>182665</v>
      </c>
      <c r="E1054" s="8" t="n">
        <v>39435</v>
      </c>
      <c r="F1054" s="7" t="n">
        <v>1</v>
      </c>
      <c r="G1054" s="7" t="inlineStr">
        <is>
          <t>The flavor combination was weird to us. Maybe use a lot less cheese and use it to sprinkle on top.</t>
        </is>
      </c>
    </row>
    <row r="1055">
      <c r="A1055" s="7" t="n">
        <v>95498</v>
      </c>
      <c r="B1055" s="7" t="n">
        <v>98635</v>
      </c>
      <c r="C1055" s="7" t="n">
        <v>163441</v>
      </c>
      <c r="D1055" s="7" t="n">
        <v>168724</v>
      </c>
      <c r="E1055" s="8" t="n">
        <v>39018</v>
      </c>
      <c r="F1055" s="7" t="n">
        <v>4</v>
      </c>
      <c r="G1055" s="7" t="inlineStr">
        <is>
          <t>We love Marsala chicken, and this is a very good recipe.  Next time, I will make more of the sauce, we didn't have enough to put over top of the spaghetti noodles I served on the side.  But the flavor is wonderful.  Thank you.</t>
        </is>
      </c>
    </row>
    <row r="1056">
      <c r="A1056" s="7" t="n">
        <v>25196</v>
      </c>
      <c r="B1056" s="7" t="n">
        <v>133104</v>
      </c>
      <c r="C1056" s="7" t="n">
        <v>664949</v>
      </c>
      <c r="D1056" s="7" t="n">
        <v>56645</v>
      </c>
      <c r="E1056" s="8" t="n">
        <v>39411</v>
      </c>
      <c r="F1056" s="7" t="n">
        <v>5</v>
      </c>
      <c r="G1056" s="7" t="inlineStr">
        <is>
          <t>These cookies are so amazing! I made a batch for my anniversary and WOW was I impressed. Everyone should try these. Not only were they sinfully delicious, but they were super simple to make. Two thumbs up!!!</t>
        </is>
      </c>
    </row>
    <row r="1057" ht="409.5" customHeight="1">
      <c r="A1057" s="7" t="n">
        <v>118658</v>
      </c>
      <c r="B1057" s="7" t="n">
        <v>803915</v>
      </c>
      <c r="C1057" s="7" t="n">
        <v>742173</v>
      </c>
      <c r="D1057" s="7" t="n">
        <v>57062</v>
      </c>
      <c r="E1057" s="8" t="n">
        <v>39901</v>
      </c>
      <c r="F1057" s="7" t="n">
        <v>5</v>
      </c>
      <c r="G1057" s="9" t="inlineStr">
        <is>
          <t>While doing my OAMC, I decided to use up my potatoes with this recipe and they were fantastic! I will be making these again._x000D_
_x000D_
I had to update my rating... I froze half of these when I made them and I just finished eating the "frozen" potatoes and they were great!</t>
        </is>
      </c>
    </row>
    <row r="1058">
      <c r="A1058" s="7" t="n">
        <v>109679</v>
      </c>
      <c r="B1058" s="7" t="n">
        <v>229082</v>
      </c>
      <c r="C1058" s="7" t="n">
        <v>514007</v>
      </c>
      <c r="D1058" s="7" t="n">
        <v>32031</v>
      </c>
      <c r="E1058" s="8" t="n">
        <v>39723</v>
      </c>
      <c r="F1058" s="7" t="n">
        <v>5</v>
      </c>
      <c r="G1058" s="7" t="inlineStr">
        <is>
          <t>My kids loved this!  I left out the raisins and used apple sauce.  I did use the nutmeg, but no salt.  I took some to church that night and was asked for the recipe.  Between my kids, and church they were gone in 2 days.  They are also great with coffee!</t>
        </is>
      </c>
    </row>
    <row r="1059">
      <c r="A1059" s="7" t="n">
        <v>46231</v>
      </c>
      <c r="B1059" s="7" t="n">
        <v>779534</v>
      </c>
      <c r="C1059" s="7" t="n">
        <v>38468</v>
      </c>
      <c r="D1059" s="7" t="n">
        <v>69868</v>
      </c>
      <c r="E1059" s="8" t="n">
        <v>39056</v>
      </c>
      <c r="F1059" s="7" t="n">
        <v>5</v>
      </c>
      <c r="G1059" s="7" t="inlineStr">
        <is>
          <t>Victoria, you're spot on. I used milk chocolate and sweetened coconut. My coconut also started to burn; I lowered the oven temperature and tossed it several times. I think the toastier, the better with the coconut, though - the crunch will last longer - so I'm going to try a 350 oven tonight and keep it in as long a possible. I melted chocolate in a bowl over simmering water - double-boiler style and added the coconut to the bowl. So easy, so delicious and everyone seems to love it.</t>
        </is>
      </c>
    </row>
    <row r="1060">
      <c r="A1060" s="7" t="n">
        <v>11101</v>
      </c>
      <c r="B1060" s="7" t="n">
        <v>754950</v>
      </c>
      <c r="C1060" s="7" t="n">
        <v>128447</v>
      </c>
      <c r="D1060" s="7" t="n">
        <v>97552</v>
      </c>
      <c r="E1060" s="8" t="n">
        <v>38245</v>
      </c>
      <c r="F1060" s="7" t="n">
        <v>5</v>
      </c>
      <c r="G1060" s="7" t="inlineStr">
        <is>
          <t>This was fantastic.  I am a hummus fan and really liked the kick from the jalapenos as well as the addition of cilantro.  I will definitely be making this again.</t>
        </is>
      </c>
    </row>
    <row r="1061">
      <c r="A1061" s="7" t="n">
        <v>68453</v>
      </c>
      <c r="B1061" s="7" t="n">
        <v>95987</v>
      </c>
      <c r="C1061" s="7" t="n">
        <v>288146</v>
      </c>
      <c r="D1061" s="7" t="n">
        <v>126623</v>
      </c>
      <c r="E1061" s="8" t="n">
        <v>41300</v>
      </c>
      <c r="F1061" s="7" t="n">
        <v>3</v>
      </c>
      <c r="G1061" s="7" t="inlineStr">
        <is>
          <t>This was pretty good, it definitely needed some onion or something.  It is incredibly rich too, I couldn't eat much of it.  Thanks for sharing :)</t>
        </is>
      </c>
    </row>
    <row r="1062">
      <c r="A1062" s="7" t="n">
        <v>98891</v>
      </c>
      <c r="B1062" s="7" t="n">
        <v>399103</v>
      </c>
      <c r="C1062" s="7" t="n">
        <v>130219</v>
      </c>
      <c r="D1062" s="7" t="n">
        <v>149501</v>
      </c>
      <c r="E1062" s="8" t="n">
        <v>38722</v>
      </c>
      <c r="F1062" s="7" t="n">
        <v>5</v>
      </c>
      <c r="G1062" s="7" t="inlineStr">
        <is>
          <t>Delicious!! I used sucant and splenda mixed, 3 egg whites (to cut down even more on fat and cholestrol) whole wheat flour with 2 Tablespoons of ground flax seed mixed in for an extra nutritional punch. You don't have to have a holiday to serve this great treat. These would better to serve the kids than cookies. Quick and easy to make, I would make extra just to have in the fridge for when the munchies strike. All your low-fat recipes sound good to me, I have you as one of my favorites. Hope you will post more low fat recipes. Thanks for posting this one Sane, it's a winner.</t>
        </is>
      </c>
    </row>
    <row r="1063">
      <c r="A1063" s="7" t="n">
        <v>111841</v>
      </c>
      <c r="B1063" s="7" t="n">
        <v>53221</v>
      </c>
      <c r="C1063" s="7" t="n">
        <v>473266</v>
      </c>
      <c r="D1063" s="7" t="n">
        <v>133205</v>
      </c>
      <c r="E1063" s="8" t="n">
        <v>39249</v>
      </c>
      <c r="F1063" s="7" t="n">
        <v>4</v>
      </c>
      <c r="G1063" s="7" t="inlineStr">
        <is>
          <t>These are good! DH helped with whisking. We ran it under hot water, one at a time to get them out. I used Low Fat sweetened condensed milk and used less sugar(1/4 cup). Enjoy!</t>
        </is>
      </c>
    </row>
    <row r="1064">
      <c r="A1064" s="7" t="n">
        <v>102600</v>
      </c>
      <c r="B1064" s="7" t="n">
        <v>1131824</v>
      </c>
      <c r="C1064" s="7" t="n">
        <v>93911</v>
      </c>
      <c r="D1064" s="7" t="n">
        <v>384590</v>
      </c>
      <c r="E1064" s="8" t="n">
        <v>40070</v>
      </c>
      <c r="F1064" s="7" t="n">
        <v>5</v>
      </c>
      <c r="G1064" s="7" t="inlineStr">
        <is>
          <t>This was amazing... the chicken itself was so good, it doesn't really even need the sauce. But the sauce was good, too!  It is alotta food, though, I couldn't finish mine.</t>
        </is>
      </c>
    </row>
    <row r="1065">
      <c r="A1065" s="7" t="n">
        <v>57395</v>
      </c>
      <c r="B1065" s="7" t="n">
        <v>1039881</v>
      </c>
      <c r="C1065" s="7" t="n">
        <v>671649</v>
      </c>
      <c r="D1065" s="7" t="n">
        <v>59462</v>
      </c>
      <c r="E1065" s="8" t="n">
        <v>39416</v>
      </c>
      <c r="F1065" s="7" t="n">
        <v>5</v>
      </c>
      <c r="G1065" s="7" t="inlineStr">
        <is>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is>
      </c>
    </row>
    <row r="1066">
      <c r="A1066" s="7" t="n">
        <v>25231</v>
      </c>
      <c r="B1066" s="7" t="n">
        <v>1085623</v>
      </c>
      <c r="C1066" s="7" t="n">
        <v>383346</v>
      </c>
      <c r="D1066" s="7" t="n">
        <v>397218</v>
      </c>
      <c r="E1066" s="8" t="n">
        <v>40567</v>
      </c>
      <c r="F1066" s="7" t="n">
        <v>5</v>
      </c>
      <c r="G1066" s="7" t="inlineStr">
        <is>
          <t>Great bread.  I also used a dry onion soup mix (a recipe I made with no sodium).  I used the dough setting.  I let rise the bread 40 minutes and baked it at 350 F for 30 minutes.  The bread has a great texture and is so good.  Thanks Chocolatl :)  Made for Holiday tag game</t>
        </is>
      </c>
    </row>
    <row r="1067">
      <c r="A1067" s="7" t="n">
        <v>23708</v>
      </c>
      <c r="B1067" s="7" t="n">
        <v>740777</v>
      </c>
      <c r="C1067" s="7" t="n">
        <v>978629</v>
      </c>
      <c r="D1067" s="7" t="n">
        <v>118545</v>
      </c>
      <c r="E1067" s="8" t="n">
        <v>41981</v>
      </c>
      <c r="F1067" s="7" t="n">
        <v>5</v>
      </c>
      <c r="G1067" s="7" t="inlineStr">
        <is>
          <t>Thanks a ton, made this for a baking contest in my office and was a huge hit. Served with light vanilla whipped cream</t>
        </is>
      </c>
    </row>
    <row r="1068" ht="409.5" customHeight="1">
      <c r="A1068" s="7" t="n">
        <v>25186</v>
      </c>
      <c r="B1068" s="7" t="n">
        <v>1031385</v>
      </c>
      <c r="C1068" s="7" t="n">
        <v>323186</v>
      </c>
      <c r="D1068" s="7" t="n">
        <v>80390</v>
      </c>
      <c r="E1068" s="8" t="n">
        <v>39695</v>
      </c>
      <c r="F1068" s="7" t="n">
        <v>5</v>
      </c>
      <c r="G1068" s="9" t="inlineStr">
        <is>
          <t>Found this very convenient and easy, I raided the fridge and found mushrooms and broccoli, it is definitely a great supper standby.  Also made the Spinach&amp;BlueCheese Penne, a real winner for a pastaloving, and predominantly vegetarian, family. Thanks Julie
Updated, to add, I make this often, and have finally taken a photo!   In this case, I had used broccoli.</t>
        </is>
      </c>
    </row>
    <row r="1069">
      <c r="A1069" s="7" t="n">
        <v>6447</v>
      </c>
      <c r="B1069" s="7" t="n">
        <v>344400</v>
      </c>
      <c r="C1069" s="7" t="n">
        <v>669561</v>
      </c>
      <c r="D1069" s="7" t="n">
        <v>222188</v>
      </c>
      <c r="E1069" s="8" t="n">
        <v>40092</v>
      </c>
      <c r="F1069" s="7" t="n">
        <v>5</v>
      </c>
      <c r="G1069" s="7" t="inlineStr">
        <is>
          <t>By far the best buttercream frosting I've ever had.  My daughter made cupcakes for her cheer coach's birthday and during 1/2 the squad couldn't stop talking about how amazingly good it was!  Thanks SO SO SO much!</t>
        </is>
      </c>
    </row>
    <row r="1070">
      <c r="A1070" s="7" t="n">
        <v>79375</v>
      </c>
      <c r="B1070" s="7" t="n">
        <v>984446</v>
      </c>
      <c r="C1070" s="7" t="n">
        <v>409184</v>
      </c>
      <c r="D1070" s="7" t="n">
        <v>9272</v>
      </c>
      <c r="E1070" s="8" t="n">
        <v>40055</v>
      </c>
      <c r="F1070" s="7" t="n">
        <v>5</v>
      </c>
      <c r="G1070" s="7" t="inlineStr">
        <is>
          <t>Seriously....WOW! I omitted the sugar and added chili powder instead of cumin. Omitted the green pepper as well (not very fond of them). This is just fantastic! I'm waiting for my jars to sterilize as I write this and I'm not sure the salsa is going to make it to the jars....again...WOW! Thanks so much for posting this recipe.</t>
        </is>
      </c>
    </row>
    <row r="1071">
      <c r="A1071" s="7" t="n">
        <v>33919</v>
      </c>
      <c r="B1071" s="7" t="n">
        <v>880674</v>
      </c>
      <c r="C1071" s="7" t="n">
        <v>1803731091</v>
      </c>
      <c r="D1071" s="7" t="n">
        <v>411689</v>
      </c>
      <c r="E1071" s="8" t="n">
        <v>42036</v>
      </c>
      <c r="F1071" s="7" t="n">
        <v>5</v>
      </c>
      <c r="G1071" s="7" t="inlineStr">
        <is>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is>
      </c>
    </row>
    <row r="1072">
      <c r="A1072" s="7" t="n">
        <v>42457</v>
      </c>
      <c r="B1072" s="7" t="n">
        <v>115177</v>
      </c>
      <c r="C1072" s="7" t="n">
        <v>282745</v>
      </c>
      <c r="D1072" s="7" t="n">
        <v>166609</v>
      </c>
      <c r="E1072" s="8" t="n">
        <v>38970</v>
      </c>
      <c r="F1072" s="7" t="n">
        <v>5</v>
      </c>
      <c r="G1072" s="7" t="inlineStr">
        <is>
          <t xml:space="preserve">Who knew making taco bowls was so easy?  I didn't.  I really appreciate this a lot!  Now that I know how to do it, I will never have to buy premade ones again.  I always have flour tortillas!  </t>
        </is>
      </c>
    </row>
    <row r="1073">
      <c r="A1073" s="7" t="n">
        <v>7495</v>
      </c>
      <c r="B1073" s="7" t="n">
        <v>616831</v>
      </c>
      <c r="C1073" s="7" t="n">
        <v>570804</v>
      </c>
      <c r="D1073" s="7" t="n">
        <v>169193</v>
      </c>
      <c r="E1073" s="8" t="n">
        <v>41438</v>
      </c>
      <c r="F1073" s="7" t="n">
        <v>5</v>
      </c>
      <c r="G1073" s="7" t="inlineStr">
        <is>
          <t>Amazed noone has tried this yet and they really do not know how easy and wonderful it is. Rather than vanilla yoghurt you an also substitute chocolate mint icecream.................also great.   Thanks for submitting................</t>
        </is>
      </c>
    </row>
    <row r="1074" ht="409.5" customHeight="1">
      <c r="A1074" s="7" t="n">
        <v>4098</v>
      </c>
      <c r="B1074" s="7" t="n">
        <v>626242</v>
      </c>
      <c r="C1074" s="7" t="n">
        <v>41578</v>
      </c>
      <c r="D1074" s="7" t="n">
        <v>114422</v>
      </c>
      <c r="E1074" s="8" t="n">
        <v>38508</v>
      </c>
      <c r="F1074" s="7" t="n">
        <v>5</v>
      </c>
      <c r="G1074" s="9" t="inlineStr">
        <is>
          <t xml:space="preserve">This is a great tasting squash casserole that is very easy to prepare.  It went perfectly with your Stuffed Chicken Breasts.  Even those who think they don't like squash, will love this dish.  Another great recipe, MommyMakes._x000D_
</t>
        </is>
      </c>
    </row>
    <row r="1075">
      <c r="A1075" s="7" t="n">
        <v>122528</v>
      </c>
      <c r="B1075" s="7" t="n">
        <v>191712</v>
      </c>
      <c r="C1075" s="7" t="n">
        <v>17803</v>
      </c>
      <c r="D1075" s="7" t="n">
        <v>423223</v>
      </c>
      <c r="E1075" s="8" t="n">
        <v>40324</v>
      </c>
      <c r="F1075" s="7" t="n">
        <v>3</v>
      </c>
      <c r="G1075" s="7" t="inlineStr">
        <is>
          <t>I liked that you add the ribs back in the pan with the onion and shortening, which give the ribs a chance to brown.  There was a little to much potato for my taste.  I'll try this again using less potato.  Made for *ZWT 6* I'm on Team *Ya Ya Cookerhood*</t>
        </is>
      </c>
    </row>
    <row r="1076">
      <c r="A1076" s="7" t="n">
        <v>50594</v>
      </c>
      <c r="B1076" s="7" t="n">
        <v>257492</v>
      </c>
      <c r="C1076" s="7" t="n">
        <v>121457</v>
      </c>
      <c r="D1076" s="7" t="n">
        <v>53730</v>
      </c>
      <c r="E1076" s="8" t="n">
        <v>39145</v>
      </c>
      <c r="F1076" s="7" t="n">
        <v>5</v>
      </c>
      <c r="G1076" s="7" t="inlineStr">
        <is>
          <t>Amazing!</t>
        </is>
      </c>
    </row>
    <row r="1077">
      <c r="A1077" s="7" t="n">
        <v>122021</v>
      </c>
      <c r="B1077" s="7" t="n">
        <v>1056312</v>
      </c>
      <c r="C1077" s="7" t="n">
        <v>2019953</v>
      </c>
      <c r="D1077" s="7" t="n">
        <v>227605</v>
      </c>
      <c r="E1077" s="8" t="n">
        <v>40814</v>
      </c>
      <c r="F1077" s="7" t="n">
        <v>5</v>
      </c>
      <c r="G1077" s="7" t="inlineStr">
        <is>
          <t>One of my favorites!</t>
        </is>
      </c>
    </row>
    <row r="1078">
      <c r="A1078" t="n">
        <v>60021</v>
      </c>
      <c r="B1078" t="n">
        <v>323720</v>
      </c>
      <c r="C1078" t="n">
        <v>130133</v>
      </c>
      <c r="D1078" t="n">
        <v>244158</v>
      </c>
      <c r="E1078" s="1" t="n">
        <v>39687</v>
      </c>
      <c r="F1078" t="n">
        <v>5</v>
      </c>
      <c r="G1078" t="inlineStr">
        <is>
          <t>Excellent and very colorful.  I used Italian dressing, but next time I will use the garlic-infused oil.  This was wonderful and so simple!  Thanks for sharing.</t>
        </is>
      </c>
    </row>
    <row r="1079">
      <c r="A1079" s="7" t="n">
        <v>39134</v>
      </c>
      <c r="B1079" s="7" t="n">
        <v>757556</v>
      </c>
      <c r="C1079" s="7" t="n">
        <v>1968337</v>
      </c>
      <c r="D1079" s="7" t="n">
        <v>140047</v>
      </c>
      <c r="E1079" s="8" t="n">
        <v>40809</v>
      </c>
      <c r="F1079" s="7" t="n">
        <v>5</v>
      </c>
      <c r="G1079" s="7" t="inlineStr">
        <is>
          <t>Tryed this the other night was very good thanks.:) Ken</t>
        </is>
      </c>
    </row>
    <row r="1080">
      <c r="A1080" s="7" t="n">
        <v>55918</v>
      </c>
      <c r="B1080" s="7" t="n">
        <v>497815</v>
      </c>
      <c r="C1080" s="7" t="n">
        <v>2001615771</v>
      </c>
      <c r="D1080" s="7" t="n">
        <v>133718</v>
      </c>
      <c r="E1080" s="8" t="n">
        <v>43119</v>
      </c>
      <c r="F1080" s="7" t="n">
        <v>5</v>
      </c>
      <c r="G1080" s="7" t="inlineStr">
        <is>
          <t>Excellent recipe. Couple of tweeks; used panko instead of regular bread crumbs so bake 18 minutes. Pull out, turn on broiler. Drizzle with butter/lemon juice and broil 1-2 minutes. Crisps up topping. Used Michigan caught Lake Superior Whitefish.</t>
        </is>
      </c>
    </row>
    <row r="1081" ht="409.5" customHeight="1">
      <c r="A1081" s="7" t="n">
        <v>19612</v>
      </c>
      <c r="B1081" s="7" t="n">
        <v>419610</v>
      </c>
      <c r="C1081" s="7" t="n">
        <v>311260</v>
      </c>
      <c r="D1081" s="7" t="n">
        <v>91452</v>
      </c>
      <c r="E1081" s="8" t="n">
        <v>39023</v>
      </c>
      <c r="F1081" s="7" t="n">
        <v>5</v>
      </c>
      <c r="G1081" s="9" t="inlineStr">
        <is>
          <t>This is a great recipe.  Very quick and easy.  Makes the ideal amount for most things I make.  I have made a similar one for years._x000D_
I use unsalted butter, a wee bit of salt and some white pepper as well.  Very good, thanks for the posting.</t>
        </is>
      </c>
    </row>
    <row r="1082">
      <c r="A1082" s="7" t="n">
        <v>23864</v>
      </c>
      <c r="B1082" s="7" t="n">
        <v>27686</v>
      </c>
      <c r="C1082" s="7" t="n">
        <v>199198</v>
      </c>
      <c r="D1082" s="7" t="n">
        <v>95853</v>
      </c>
      <c r="E1082" s="8" t="n">
        <v>39716</v>
      </c>
      <c r="F1082" s="7" t="n">
        <v>5</v>
      </c>
      <c r="G1082" s="7" t="inlineStr">
        <is>
          <t>Superb!! Used this to top recipe #228721. The family loved it!</t>
        </is>
      </c>
    </row>
    <row r="1083">
      <c r="A1083" s="7" t="n">
        <v>62910</v>
      </c>
      <c r="B1083" s="7" t="n">
        <v>988852</v>
      </c>
      <c r="C1083" s="7" t="n">
        <v>268061</v>
      </c>
      <c r="D1083" s="7" t="n">
        <v>88106</v>
      </c>
      <c r="E1083" s="8" t="n">
        <v>38873</v>
      </c>
      <c r="F1083" s="7" t="n">
        <v>4</v>
      </c>
      <c r="G1083" s="7" t="inlineStr">
        <is>
          <t>I made these yesterday and I used real butter but had a really hard time shaping them. They tasted delicious but very hard to handle. I don't know what i did wrong i followed the recipe exactely.</t>
        </is>
      </c>
    </row>
    <row r="1084">
      <c r="A1084" s="7" t="n">
        <v>25272</v>
      </c>
      <c r="B1084" s="7" t="n">
        <v>848485</v>
      </c>
      <c r="C1084" s="7" t="n">
        <v>65573</v>
      </c>
      <c r="D1084" s="7" t="n">
        <v>257066</v>
      </c>
      <c r="E1084" s="8" t="n">
        <v>39733</v>
      </c>
      <c r="F1084" s="7" t="n">
        <v>5</v>
      </c>
      <c r="G1084" s="7" t="inlineStr">
        <is>
          <t>These were yummy! I am not normally a fan of sweet potato, but DH is, so I tagged these in Photo Tag. The sweet potato flavor here is subtle, and I thought these were just wonderful with butter and brown sugar. Thanks for posting Annacia! We will make again!</t>
        </is>
      </c>
    </row>
    <row r="1085">
      <c r="A1085" s="7" t="n">
        <v>94194</v>
      </c>
      <c r="B1085" s="7" t="n">
        <v>235655</v>
      </c>
      <c r="C1085" s="7" t="n">
        <v>459426</v>
      </c>
      <c r="D1085" s="7" t="n">
        <v>45005</v>
      </c>
      <c r="E1085" s="8" t="n">
        <v>39433</v>
      </c>
      <c r="F1085" s="7" t="n">
        <v>4</v>
      </c>
      <c r="G1085" s="7" t="inlineStr">
        <is>
          <t>Made this last week and whilst very tasty, it is not pad thai.  Pad Thai sauce requires tamarind and palm sugar at the very least.  This is more of a generic Asian noodle dish.  Very tasty though and even the kids ate it!</t>
        </is>
      </c>
    </row>
    <row r="1086">
      <c r="A1086" s="7" t="n">
        <v>98000</v>
      </c>
      <c r="B1086" s="7" t="n">
        <v>158797</v>
      </c>
      <c r="C1086" s="7" t="n">
        <v>199848</v>
      </c>
      <c r="D1086" s="7" t="n">
        <v>9187</v>
      </c>
      <c r="E1086" s="8" t="n">
        <v>40913</v>
      </c>
      <c r="F1086" s="7" t="n">
        <v>5</v>
      </c>
      <c r="G1086" s="7" t="inlineStr">
        <is>
          <t>Tasty and colorful.  I'm glad to see that others like coleslaw with onions and peppers.  I used the preshredded cabbage and carrot mixture to save time.  I didn't measure the mayonnaise, but I'm certain that I used a bit extra than listed. Great coleslaw; thanx!</t>
        </is>
      </c>
    </row>
    <row r="1087">
      <c r="A1087" s="7" t="n">
        <v>126415</v>
      </c>
      <c r="B1087" s="7" t="n">
        <v>939970</v>
      </c>
      <c r="C1087" s="7" t="n">
        <v>355702</v>
      </c>
      <c r="D1087" s="7" t="n">
        <v>47195</v>
      </c>
      <c r="E1087" s="8" t="n">
        <v>39104</v>
      </c>
      <c r="F1087" s="7" t="n">
        <v>5</v>
      </c>
      <c r="G1087" s="7" t="inlineStr">
        <is>
          <t>Can't wait to try these, Bill!! Thank you!! I am giving the recipe to a neighbor that just found out she is diabetic. Love, Becky</t>
        </is>
      </c>
    </row>
    <row r="1088">
      <c r="A1088" s="7" t="n">
        <v>61959</v>
      </c>
      <c r="B1088" s="7" t="n">
        <v>151430</v>
      </c>
      <c r="C1088" s="7" t="n">
        <v>133174</v>
      </c>
      <c r="D1088" s="7" t="n">
        <v>23705</v>
      </c>
      <c r="E1088" s="8" t="n">
        <v>38930</v>
      </c>
      <c r="F1088" s="7" t="n">
        <v>5</v>
      </c>
      <c r="G1088" s="7" t="inlineStr">
        <is>
          <t>These are soooo good.  I was making &lt;a href="/138453"&gt;Spinach and Mushroom Quesadillas&lt;/a&gt; and wanted something to complete the meal when I stumbled into this recipe.  The only change I made was to add 1/2 teaspoon Epazote.  I can see these topped with some melted cheese or plain yogurt.  Definately a winner!!!</t>
        </is>
      </c>
    </row>
    <row r="1089">
      <c r="A1089" s="7" t="n">
        <v>69509</v>
      </c>
      <c r="B1089" s="7" t="n">
        <v>285036</v>
      </c>
      <c r="C1089" s="7" t="n">
        <v>38218</v>
      </c>
      <c r="D1089" s="7" t="n">
        <v>102278</v>
      </c>
      <c r="E1089" s="8" t="n">
        <v>38691</v>
      </c>
      <c r="F1089" s="7" t="n">
        <v>5</v>
      </c>
      <c r="G1089" s="7" t="inlineStr">
        <is>
          <t>Ooh! These were soooo good!  We had them for dinner ;ast night.  I bought a pound of cleaned, deveined big shrimp.  They may have been a bit smaller than called for, but this is a real keeper.  I used big white cannelini beans.  I like beans, but DH eants me to leave out the beans next time.  The combination of flavors is just incredible.  Be sure to have nice fresh crusty French bread to soak up the sauce.</t>
        </is>
      </c>
    </row>
    <row r="1090">
      <c r="A1090" s="7" t="n">
        <v>116363</v>
      </c>
      <c r="B1090" s="7" t="n">
        <v>402497</v>
      </c>
      <c r="C1090" s="7" t="n">
        <v>121690</v>
      </c>
      <c r="D1090" s="7" t="n">
        <v>135685</v>
      </c>
      <c r="E1090" s="8" t="n">
        <v>38733</v>
      </c>
      <c r="F1090" s="7" t="n">
        <v>5</v>
      </c>
      <c r="G1090" s="7" t="inlineStr">
        <is>
          <t>I used fresh tangerine sections and strawberries in place of the canned mandarin oranges and frozen strawberries. The result was scrumptious. I would say that the peach pie filling makes this REALLY sweet, so for me at least, it's definitely a DESSERT salad. A real taste treat!</t>
        </is>
      </c>
    </row>
    <row r="1091">
      <c r="A1091" s="7" t="n">
        <v>106228</v>
      </c>
      <c r="B1091" s="7" t="n">
        <v>16287</v>
      </c>
      <c r="C1091" s="7" t="n">
        <v>110041</v>
      </c>
      <c r="D1091" s="7" t="n">
        <v>64435</v>
      </c>
      <c r="E1091" s="8" t="n">
        <v>37927</v>
      </c>
      <c r="F1091" s="7" t="n">
        <v>5</v>
      </c>
      <c r="G1091" s="7" t="inlineStr">
        <is>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is>
      </c>
    </row>
    <row r="1092">
      <c r="A1092" s="7" t="n">
        <v>99482</v>
      </c>
      <c r="B1092" s="7" t="n">
        <v>250475</v>
      </c>
      <c r="C1092" s="7" t="n">
        <v>325147</v>
      </c>
      <c r="D1092" s="7" t="n">
        <v>179738</v>
      </c>
      <c r="E1092" s="8" t="n">
        <v>39730</v>
      </c>
      <c r="F1092" s="7" t="n">
        <v>5</v>
      </c>
      <c r="G1092" s="7" t="inlineStr">
        <is>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is>
      </c>
    </row>
    <row r="1093">
      <c r="A1093" s="7" t="n">
        <v>112312</v>
      </c>
      <c r="B1093" s="7" t="n">
        <v>545236</v>
      </c>
      <c r="C1093" s="7" t="n">
        <v>937670</v>
      </c>
      <c r="D1093" s="7" t="n">
        <v>106670</v>
      </c>
      <c r="E1093" s="8" t="n">
        <v>39784</v>
      </c>
      <c r="F1093" s="7" t="n">
        <v>0</v>
      </c>
      <c r="G1093" s="7" t="inlineStr">
        <is>
          <t>This is way to simple to be this good. No more store bought here. The bonus was the ripe banana on hand.</t>
        </is>
      </c>
    </row>
    <row r="1094">
      <c r="A1094" s="7" t="n">
        <v>6721</v>
      </c>
      <c r="B1094" s="7" t="n">
        <v>991888</v>
      </c>
      <c r="C1094" s="7" t="n">
        <v>498447</v>
      </c>
      <c r="D1094" s="7" t="n">
        <v>397330</v>
      </c>
      <c r="E1094" s="8" t="n">
        <v>40163</v>
      </c>
      <c r="F1094" s="7" t="n">
        <v>5</v>
      </c>
      <c r="G1094" s="7" t="inlineStr">
        <is>
          <t>This was a delicious recipe, I love the sweetness of it with the corn.</t>
        </is>
      </c>
    </row>
    <row r="1095">
      <c r="A1095" s="7" t="n">
        <v>119457</v>
      </c>
      <c r="B1095" s="7" t="n">
        <v>103932</v>
      </c>
      <c r="C1095" s="7" t="n">
        <v>961542</v>
      </c>
      <c r="D1095" s="7" t="n">
        <v>110043</v>
      </c>
      <c r="E1095" s="8" t="n">
        <v>39738</v>
      </c>
      <c r="F1095" s="7" t="n">
        <v>5</v>
      </c>
      <c r="G1095" s="7" t="inlineStr">
        <is>
          <t>I fried up some salt pork pieces instead of adding the butter, then sauteed and followed the recipe.  We loved these!</t>
        </is>
      </c>
    </row>
    <row r="1096">
      <c r="A1096" s="7" t="n">
        <v>94691</v>
      </c>
      <c r="B1096" s="7" t="n">
        <v>909513</v>
      </c>
      <c r="C1096" s="7" t="n">
        <v>593513</v>
      </c>
      <c r="D1096" s="7" t="n">
        <v>229218</v>
      </c>
      <c r="E1096" s="8" t="n">
        <v>39539</v>
      </c>
      <c r="F1096" s="7" t="n">
        <v>5</v>
      </c>
      <c r="G1096" s="7" t="inlineStr">
        <is>
          <t>This was such really great tasting soup. As well it was so easy to make. I did make a few changes though. I left out the tortellini and put in about a half cup of rice. Only cause I prefer rice in my tomato soups. I find tortellini tends to swell too big when reheating again. As well I found the soup way too thick so I added at least another 4 to 5 cups of water. But the flavor was really great and I will be making it again. yummy !!</t>
        </is>
      </c>
    </row>
    <row r="1097" ht="409.5" customHeight="1">
      <c r="A1097" s="7" t="n">
        <v>122613</v>
      </c>
      <c r="B1097" s="7" t="n">
        <v>744527</v>
      </c>
      <c r="C1097" s="7" t="n">
        <v>573325</v>
      </c>
      <c r="D1097" s="7" t="n">
        <v>296660</v>
      </c>
      <c r="E1097" s="8" t="n">
        <v>40306</v>
      </c>
      <c r="F1097" s="7" t="n">
        <v>5</v>
      </c>
      <c r="G1097" s="9" t="inlineStr">
        <is>
          <t>Another wonderful ever so yummy scones recipe from her majesty, the queen of scones! :)
Seriously A, these scones are sooooo good! They are soft on the inside and sugary crunchy on top (with the optional sprinkling) and the taste is perfect! The cherries trick you into thinking that theres already the jam spread onto your scone.
I made half the recipe for just my sis and me and ended up with 4 big scones. I was really pressed for time when throwing these together, so I was very happy that these were really quick and easy to make.
I made some changes due to personal preferences: I used regular unrefined sugar, but only 1/4 cup for half the recipe, used butter instead of margarine as thats what I had on hand, but left out the egg all together. Had no evaporated milk, so used skim, but only 1/4 cup. Oh and by accident I doubled the cherries, which was great, so I will do that again next time Im making your scones.
THANK YOU SO MUCH for sharing this wonderful, guilt-reduced scones recipe with us, Annacia! Ill definitely make it again!
Made and reviewed for Veggie Swap #22 May 2010 and Went to the Market Tag Game.</t>
        </is>
      </c>
    </row>
    <row r="1098">
      <c r="A1098" s="7" t="n">
        <v>85531</v>
      </c>
      <c r="B1098" s="7" t="n">
        <v>782099</v>
      </c>
      <c r="C1098" s="7" t="n">
        <v>15892</v>
      </c>
      <c r="D1098" s="7" t="n">
        <v>49394</v>
      </c>
      <c r="E1098" s="8" t="n">
        <v>38028</v>
      </c>
      <c r="F1098" s="7" t="n">
        <v>4</v>
      </c>
      <c r="G1098" s="7" t="inlineStr">
        <is>
          <t>These were easy to make with ingredients I usually have on hand, and had a nice mixture of textures and flavors!  Thank you!</t>
        </is>
      </c>
    </row>
    <row r="1099">
      <c r="A1099" s="7" t="n">
        <v>3939</v>
      </c>
      <c r="B1099" s="7" t="n">
        <v>609025</v>
      </c>
      <c r="C1099" s="7" t="n">
        <v>1382539</v>
      </c>
      <c r="D1099" s="7" t="n">
        <v>97196</v>
      </c>
      <c r="E1099" s="8" t="n">
        <v>40069</v>
      </c>
      <c r="F1099" s="7" t="n">
        <v>5</v>
      </c>
      <c r="G1099" s="7" t="inlineStr">
        <is>
          <t>I have canned for years and made so many different types of salsa and hot sauce and it was good. This stuff is the best. we have to make more. authentic taste</t>
        </is>
      </c>
    </row>
    <row r="1100">
      <c r="A1100" s="7" t="n">
        <v>102151</v>
      </c>
      <c r="B1100" s="7" t="n">
        <v>298413</v>
      </c>
      <c r="C1100" s="7" t="n">
        <v>163446</v>
      </c>
      <c r="D1100" s="7" t="n">
        <v>99310</v>
      </c>
      <c r="E1100" s="8" t="n">
        <v>38440</v>
      </c>
      <c r="F1100" s="7" t="n">
        <v>5</v>
      </c>
      <c r="G1100" s="7" t="inlineStr">
        <is>
          <t xml:space="preserve">Excellent curry with a great Thai flavour. Added julienne carrots, frozen peas and beans as I have a partner who insists on veges. with every meal! </t>
        </is>
      </c>
    </row>
    <row r="1101">
      <c r="A1101" s="7" t="n">
        <v>39173</v>
      </c>
      <c r="B1101" s="7" t="n">
        <v>353853</v>
      </c>
      <c r="C1101" s="7" t="n">
        <v>1800575604</v>
      </c>
      <c r="D1101" s="7" t="n">
        <v>317022</v>
      </c>
      <c r="E1101" s="8" t="n">
        <v>41617</v>
      </c>
      <c r="F1101" s="7" t="n">
        <v>5</v>
      </c>
      <c r="G1101" s="7" t="inlineStr">
        <is>
          <t>I&amp;#039;ve made a much more complicated and labor intensive corn showder before, but never again.  The minor adjustments I made to this recipe were:&amp;lt;br/&amp;gt;1. frozen corn instead of canned (which has less sodium, so I ended up adding some salt toward the end of the cooking time)&amp;lt;br/&amp;gt;2. I added more celery &amp;amp; carrots than it called for &amp;lt;br/&amp;gt;3. Due to the extra veggies, the one can of stock didn&amp;#039;t cover the food in the crock pot.  I didn&amp;#039;t have any more at home, so I added about a half cup of water.&amp;lt;br/&amp;gt;4. Based on other reviews, I thickened the chowder.  I didn&amp;#039;t have corn starch at home, so I used flour &amp;amp; water, added toward the end of cooking time.&amp;lt;br/&amp;gt;&amp;lt;br/&amp;gt;I&amp;#039;ll definitely make this again.</t>
        </is>
      </c>
    </row>
    <row r="1102">
      <c r="A1102" s="7" t="n">
        <v>115562</v>
      </c>
      <c r="B1102" s="7" t="n">
        <v>482397</v>
      </c>
      <c r="C1102" s="7" t="n">
        <v>2000694417</v>
      </c>
      <c r="D1102" s="7" t="n">
        <v>140062</v>
      </c>
      <c r="E1102" s="8" t="n">
        <v>42899</v>
      </c>
      <c r="F1102" s="7" t="n">
        <v>0</v>
      </c>
      <c r="G1102" s="7" t="inlineStr">
        <is>
          <t>Used recipe as posted except replaced sugar with natural sweetener (Truvia) and a hand held blender. Stored in small plastic container for daily use or lunches.</t>
        </is>
      </c>
    </row>
    <row r="1103" ht="409.5" customHeight="1">
      <c r="A1103" s="7" t="n">
        <v>118203</v>
      </c>
      <c r="B1103" s="7" t="n">
        <v>826272</v>
      </c>
      <c r="C1103" s="7" t="n">
        <v>234027</v>
      </c>
      <c r="D1103" s="7" t="n">
        <v>115354</v>
      </c>
      <c r="E1103" s="8" t="n">
        <v>38571</v>
      </c>
      <c r="F1103" s="7" t="n">
        <v>4</v>
      </c>
      <c r="G1103" s="9" t="inlineStr">
        <is>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is>
      </c>
    </row>
    <row r="1104">
      <c r="A1104" s="7" t="n">
        <v>29922</v>
      </c>
      <c r="B1104" s="7" t="n">
        <v>774189</v>
      </c>
      <c r="C1104" s="7" t="n">
        <v>103876</v>
      </c>
      <c r="D1104" s="7" t="n">
        <v>128956</v>
      </c>
      <c r="E1104" s="8" t="n">
        <v>40767</v>
      </c>
      <c r="F1104" s="7" t="n">
        <v>5</v>
      </c>
      <c r="G1104" s="7" t="inlineStr">
        <is>
          <t>This soup is so great for weight watchers.  It is very filling and so healthy.  I'm sure I will be making this often.  Thanks for posting!</t>
        </is>
      </c>
    </row>
    <row r="1105">
      <c r="A1105" s="7" t="n">
        <v>27929</v>
      </c>
      <c r="B1105" s="7" t="n">
        <v>725558</v>
      </c>
      <c r="C1105" s="7" t="n">
        <v>119322</v>
      </c>
      <c r="D1105" s="7" t="n">
        <v>408567</v>
      </c>
      <c r="E1105" s="8" t="n">
        <v>40258</v>
      </c>
      <c r="F1105" s="7" t="n">
        <v>5</v>
      </c>
      <c r="G1105" s="7" t="inlineStr">
        <is>
          <t>This was delicious.  I used slightly more tomatoes (crushed).  It made a wonderful, sauce that I served over brown rice with some peas and salad.  My 23 month-old gobbled up the fish.  This is a keeper.</t>
        </is>
      </c>
    </row>
    <row r="1106">
      <c r="A1106" s="7" t="n">
        <v>29372</v>
      </c>
      <c r="B1106" s="7" t="n">
        <v>468869</v>
      </c>
      <c r="C1106" s="7" t="n">
        <v>720912</v>
      </c>
      <c r="D1106" s="7" t="n">
        <v>180227</v>
      </c>
      <c r="E1106" s="8" t="n">
        <v>40689</v>
      </c>
      <c r="F1106" s="7" t="n">
        <v>4</v>
      </c>
      <c r="G1106" s="7" t="inlineStr">
        <is>
          <t>Nice-but it was little bland..I added some Parmesan and served it with extra sauce--I also added some salt and pepper( definately needed it)&lt;br/&gt;made for zw7</t>
        </is>
      </c>
    </row>
    <row r="1107">
      <c r="A1107" s="7" t="n">
        <v>72668</v>
      </c>
      <c r="B1107" s="7" t="n">
        <v>656920</v>
      </c>
      <c r="C1107" s="7" t="n">
        <v>363554</v>
      </c>
      <c r="D1107" s="7" t="n">
        <v>27208</v>
      </c>
      <c r="E1107" s="8" t="n">
        <v>39915</v>
      </c>
      <c r="F1107" s="7" t="n">
        <v>0</v>
      </c>
      <c r="G1107" s="7" t="inlineStr">
        <is>
          <t>I would love to make this since the beef here in Costa Rica is soooo tough. However, accept for the water and beef none of the other ingredents are available here.</t>
        </is>
      </c>
    </row>
    <row r="1108">
      <c r="A1108" s="7" t="n">
        <v>39616</v>
      </c>
      <c r="B1108" s="7" t="n">
        <v>519061</v>
      </c>
      <c r="C1108" s="7" t="n">
        <v>196299</v>
      </c>
      <c r="D1108" s="7" t="n">
        <v>32783</v>
      </c>
      <c r="E1108" s="8" t="n">
        <v>40187</v>
      </c>
      <c r="F1108" s="7" t="n">
        <v>5</v>
      </c>
      <c r="G1108" s="7" t="inlineStr">
        <is>
          <t>I made these for my parent;s surprise party and they were gone in SECONDS!  My brother made a sauce using sriracha, plum sauce, and soy sauce for dipping- IT WAS GREAT!</t>
        </is>
      </c>
    </row>
    <row r="1109">
      <c r="A1109" s="7" t="n">
        <v>31904</v>
      </c>
      <c r="B1109" s="7" t="n">
        <v>1077806</v>
      </c>
      <c r="C1109" s="7" t="n">
        <v>779699</v>
      </c>
      <c r="D1109" s="7" t="n">
        <v>401283</v>
      </c>
      <c r="E1109" s="8" t="n">
        <v>40262</v>
      </c>
      <c r="F1109" s="7" t="n">
        <v>5</v>
      </c>
      <c r="G1109" s="7" t="inlineStr">
        <is>
          <t>This was great! The crust was super easy to make and the fresh mozarella was oooey gooey good! :) Added some fresh basil to top it off! Will definitely be having this again! [Made for Veg*n Swap March 2010]</t>
        </is>
      </c>
    </row>
    <row r="1110">
      <c r="A1110" s="7" t="n">
        <v>58718</v>
      </c>
      <c r="B1110" s="7" t="n">
        <v>467104</v>
      </c>
      <c r="C1110" s="7" t="n">
        <v>99164</v>
      </c>
      <c r="D1110" s="7" t="n">
        <v>399489</v>
      </c>
      <c r="E1110" s="8" t="n">
        <v>40155</v>
      </c>
      <c r="F1110" s="7" t="n">
        <v>4</v>
      </c>
      <c r="G1110" s="7" t="inlineStr">
        <is>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is>
      </c>
    </row>
    <row r="1111">
      <c r="A1111" s="7" t="n">
        <v>90014</v>
      </c>
      <c r="B1111" s="7" t="n">
        <v>373945</v>
      </c>
      <c r="C1111" s="7" t="n">
        <v>653438</v>
      </c>
      <c r="D1111" s="7" t="n">
        <v>380912</v>
      </c>
      <c r="E1111" s="8" t="n">
        <v>41421</v>
      </c>
      <c r="F1111" s="7" t="n">
        <v>5</v>
      </c>
      <c r="G1111" s="7" t="inlineStr">
        <is>
          <t>This was wonderful!   Made as written for us and company and it was a great hit.  It was fancy enough and something so simple to put together.   Served with garlic bread and a green salad. Thank you for posting.  Made for 2013 Zaar Chef Alphabet Soup tag game.</t>
        </is>
      </c>
    </row>
    <row r="1112">
      <c r="A1112" s="7" t="n">
        <v>24643</v>
      </c>
      <c r="B1112" s="7" t="n">
        <v>879736</v>
      </c>
      <c r="C1112" s="7" t="n">
        <v>632249</v>
      </c>
      <c r="D1112" s="7" t="n">
        <v>7404</v>
      </c>
      <c r="E1112" s="8" t="n">
        <v>39468</v>
      </c>
      <c r="F1112" s="7" t="n">
        <v>5</v>
      </c>
      <c r="G1112" s="7" t="inlineStr">
        <is>
          <t>This is the first time I have ever had baked apples and they were great.  I had extra cream cheese icing left over from the cinnabon rolls I made earlier this week, so I cooled the apples for a few minutes and then plopped some cream cheese topping on them. OOH LA LA...no calories in those babies! Totally yummy. Thx.</t>
        </is>
      </c>
    </row>
    <row r="1113">
      <c r="A1113" s="7" t="n">
        <v>92532</v>
      </c>
      <c r="B1113" s="7" t="n">
        <v>112669</v>
      </c>
      <c r="C1113" s="7" t="n">
        <v>166427</v>
      </c>
      <c r="D1113" s="7" t="n">
        <v>42848</v>
      </c>
      <c r="E1113" s="8" t="n">
        <v>38267</v>
      </c>
      <c r="F1113" s="7" t="n">
        <v>5</v>
      </c>
      <c r="G1113" s="7" t="inlineStr">
        <is>
          <t>Back in the early 80's I used to cook at a well-know Italian restaurant in Pittsburgh. There, along with the turkey devonshire we had the crab devonshire, a popular dish among the regular customers. Just substitute canned lump crabmeat for the turkey.</t>
        </is>
      </c>
    </row>
    <row r="1114">
      <c r="A1114" s="7" t="n">
        <v>101584</v>
      </c>
      <c r="B1114" s="7" t="n">
        <v>515594</v>
      </c>
      <c r="C1114" s="7" t="n">
        <v>327300</v>
      </c>
      <c r="D1114" s="7" t="n">
        <v>73274</v>
      </c>
      <c r="E1114" s="8" t="n">
        <v>39385</v>
      </c>
      <c r="F1114" s="7" t="n">
        <v>3</v>
      </c>
      <c r="G1114" s="7" t="inlineStr">
        <is>
          <t>I followed the instructions exactly and had some problems in the cooking stages.  Mostly with the caramel wanting to burn even though I was stirring it constantly.  I ended up taking it off the heat at about 245 because I was starting to get dark streaks in the caramel.  The apples dipped beautifully and the caramel tastes fantastic, but once it sets up it's so chewy the apples are hard to eat!  It really sticks to your teeth.  I wonder if ending the cooking at a soft ball stage (240) would help with this?  I tried to cut the apple into manageable pieces and the caramel slid off the apple in one lump.  Don't get me wrong though...still very tasty!</t>
        </is>
      </c>
    </row>
    <row r="1115">
      <c r="A1115" s="7" t="n">
        <v>108897</v>
      </c>
      <c r="B1115" s="7" t="n">
        <v>864630</v>
      </c>
      <c r="C1115" s="7" t="n">
        <v>171790</v>
      </c>
      <c r="D1115" s="7" t="n">
        <v>423457</v>
      </c>
      <c r="E1115" s="8" t="n">
        <v>40805</v>
      </c>
      <c r="F1115" s="7" t="n">
        <v>5</v>
      </c>
      <c r="G1115" s="7" t="inlineStr">
        <is>
          <t>This soup was very good, a little bit sweet and a little bit tart with lovely pieces of apple. The idea of making a soup with buttermilk may sound unusual to many but to those who are willing to give this a try, I'm sure you'll enjoy it. It's a great way to get milk into the diet of someone who doesn't drink enough (like me).</t>
        </is>
      </c>
    </row>
    <row r="1116">
      <c r="A1116" s="7" t="n">
        <v>65223</v>
      </c>
      <c r="B1116" s="7" t="n">
        <v>190472</v>
      </c>
      <c r="C1116" s="7" t="n">
        <v>283251</v>
      </c>
      <c r="D1116" s="7" t="n">
        <v>143592</v>
      </c>
      <c r="E1116" s="8" t="n">
        <v>38865</v>
      </c>
      <c r="F1116" s="7" t="n">
        <v>3</v>
      </c>
      <c r="G1116" s="7" t="inlineStr">
        <is>
          <t>I made this for PAC 2006. I love orange and broccoli together! This is a good one. It was a little more labor intensive than I like for a side dish, but very tasty. This would be really good with green beans too.</t>
        </is>
      </c>
    </row>
    <row r="1117">
      <c r="A1117" s="7" t="n">
        <v>3742</v>
      </c>
      <c r="B1117" s="7" t="n">
        <v>642626</v>
      </c>
      <c r="C1117" s="7" t="n">
        <v>320870</v>
      </c>
      <c r="D1117" s="7" t="n">
        <v>35988</v>
      </c>
      <c r="E1117" s="8" t="n">
        <v>39511</v>
      </c>
      <c r="F1117" s="7" t="n">
        <v>5</v>
      </c>
      <c r="G1117" s="7" t="inlineStr">
        <is>
          <t>This soup was quick, simple and delicious.  The changes I made were to use a 28 oz can of whole tomatoes with basil, EXTRA garlic, crushed red pepper flakes &amp; dried basil.  This recipe is a keeper!</t>
        </is>
      </c>
    </row>
    <row r="1118">
      <c r="A1118" s="7" t="n">
        <v>95307</v>
      </c>
      <c r="B1118" s="7" t="n">
        <v>1061215</v>
      </c>
      <c r="C1118" s="7" t="n">
        <v>40114</v>
      </c>
      <c r="D1118" s="7" t="n">
        <v>68728</v>
      </c>
      <c r="E1118" s="8" t="n">
        <v>38945</v>
      </c>
      <c r="F1118" s="7" t="n">
        <v>3</v>
      </c>
      <c r="G1118" s="7" t="inlineStr">
        <is>
          <t>A rather average recipe for a vegetarian standard. Too sweet (due to the carrots, tomatoes, and soy sauce) for my taste.</t>
        </is>
      </c>
    </row>
    <row r="1119">
      <c r="A1119" s="7" t="n">
        <v>76850</v>
      </c>
      <c r="B1119" s="7" t="n">
        <v>821210</v>
      </c>
      <c r="C1119" s="7" t="n">
        <v>222564</v>
      </c>
      <c r="D1119" s="7" t="n">
        <v>21224</v>
      </c>
      <c r="E1119" s="8" t="n">
        <v>38650</v>
      </c>
      <c r="F1119" s="7" t="n">
        <v>4</v>
      </c>
      <c r="G1119" s="7" t="inlineStr">
        <is>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is>
      </c>
    </row>
    <row r="1120">
      <c r="A1120" s="7" t="n">
        <v>19824</v>
      </c>
      <c r="B1120" s="7" t="n">
        <v>936548</v>
      </c>
      <c r="C1120" s="7" t="n">
        <v>286566</v>
      </c>
      <c r="D1120" s="7" t="n">
        <v>282743</v>
      </c>
      <c r="E1120" s="8" t="n">
        <v>39887</v>
      </c>
      <c r="F1120" s="7" t="n">
        <v>5</v>
      </c>
      <c r="G1120" s="7" t="inlineStr">
        <is>
          <t>I cut this back to 4 serves and used fresh herbs from the garden and had it very slowly simmering for 3 1/2 hours to get a very rich herby tasting dish - after serving 4 as side to a b-b-q steak I had enough to be part of breakfast for the DM and myself the following morning but if reheating again I would use the stove top and not the microwave as the cream separated a bit and took a bit of stirring to get it back together.  Thank you mary winecoff for a special occassion dish, made for Photo Tag game.</t>
        </is>
      </c>
    </row>
    <row r="1121">
      <c r="A1121" s="7" t="n">
        <v>123694</v>
      </c>
      <c r="B1121" s="7" t="n">
        <v>54683</v>
      </c>
      <c r="C1121" s="7" t="n">
        <v>535551</v>
      </c>
      <c r="D1121" s="7" t="n">
        <v>52035</v>
      </c>
      <c r="E1121" s="8" t="n">
        <v>39274</v>
      </c>
      <c r="F1121" s="7" t="n">
        <v>5</v>
      </c>
      <c r="G1121" s="7" t="inlineStr">
        <is>
          <t>These are fabulous!  Very rich and can be messy to make.  You've got to be quick about dipping the frozen balls in the hot melted white chocolate because soon the balls start to melt and gets all in the white chocolate.  I leave the toothpicks in each ball until the white chocolate has hardened completely.  I also just use a spoon to dip into the dark chocolate and "pendulum" the spoon back and forth over the balls...makes a very professional bakers' look!</t>
        </is>
      </c>
    </row>
    <row r="1122">
      <c r="A1122" s="7" t="n">
        <v>34815</v>
      </c>
      <c r="B1122" s="7" t="n">
        <v>456119</v>
      </c>
      <c r="C1122" s="7" t="n">
        <v>166642</v>
      </c>
      <c r="D1122" s="7" t="n">
        <v>282228</v>
      </c>
      <c r="E1122" s="8" t="n">
        <v>39784</v>
      </c>
      <c r="F1122" s="7" t="n">
        <v>4</v>
      </c>
      <c r="G1122" s="7" t="inlineStr">
        <is>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is>
      </c>
    </row>
    <row r="1123">
      <c r="A1123" s="7" t="n">
        <v>100367</v>
      </c>
      <c r="B1123" s="7" t="n">
        <v>132519</v>
      </c>
      <c r="C1123" s="7" t="n">
        <v>137231</v>
      </c>
      <c r="D1123" s="7" t="n">
        <v>58952</v>
      </c>
      <c r="E1123" s="8" t="n">
        <v>38752</v>
      </c>
      <c r="F1123" s="7" t="n">
        <v>5</v>
      </c>
      <c r="G1123" s="7" t="inlineStr">
        <is>
          <t xml:space="preserve">Amazing - simply amazing.  These were crispy and beautifully flavored.  I thought I sliced my chicken thin enough but it was still a little too thick.  Slice the chicken very thin.  I've never had such crispy yummy homemade strips. </t>
        </is>
      </c>
    </row>
    <row r="1124" ht="409.5" customHeight="1">
      <c r="A1124" s="7" t="n">
        <v>16841</v>
      </c>
      <c r="B1124" s="7" t="n">
        <v>876345</v>
      </c>
      <c r="C1124" s="7" t="n">
        <v>1575323</v>
      </c>
      <c r="D1124" s="7" t="n">
        <v>414227</v>
      </c>
      <c r="E1124" s="8" t="n">
        <v>40296</v>
      </c>
      <c r="F1124" s="7" t="n">
        <v>5</v>
      </c>
      <c r="G1124" s="9" t="inlineStr">
        <is>
          <t>These Hammy Hash Brown Packets are easy to make, &amp; even fun for kids. They are great for an addition to any meal, and they taste Great! _x000D_
I like them with a soft fried/poached egg. I have substituted frozen diced hash browns, (and even used tater tots, if I didn't have the frozen patties) instead of the hashbrowns._x000D_
I enjoyed them with another recipe; green eggs &amp; ham. (by Rachael Ray) http://www.foodnetwork.com/recipes/rachael-ray/green-eggs-and-ham-recipe/index.html_x000D_
Deli sliced ham put into the bottom of a muffin pan to make the cup;  filled with creamed spinach &amp; a cracked egg on top; baked for 15 min. Yum! I'll add that photo too._x000D_
Thanks for sharing WiGal!</t>
        </is>
      </c>
    </row>
    <row r="1125">
      <c r="A1125" s="7" t="n">
        <v>76745</v>
      </c>
      <c r="B1125" s="7" t="n">
        <v>868544</v>
      </c>
      <c r="C1125" s="7" t="n">
        <v>630061</v>
      </c>
      <c r="D1125" s="7" t="n">
        <v>53503</v>
      </c>
      <c r="E1125" s="8" t="n">
        <v>39496</v>
      </c>
      <c r="F1125" s="7" t="n">
        <v>5</v>
      </c>
      <c r="G1125" s="7" t="inlineStr">
        <is>
          <t>This was a big hit last night with the wife's family.  I'm going to try it again on my chicken as well.  Thanks for the great recipe.</t>
        </is>
      </c>
    </row>
    <row r="1126">
      <c r="A1126" s="7" t="n">
        <v>9507</v>
      </c>
      <c r="B1126" s="7" t="n">
        <v>1020025</v>
      </c>
      <c r="C1126" s="7" t="n">
        <v>283611</v>
      </c>
      <c r="D1126" s="7" t="n">
        <v>245231</v>
      </c>
      <c r="E1126" s="8" t="n">
        <v>39805</v>
      </c>
      <c r="F1126" s="7" t="n">
        <v>5</v>
      </c>
      <c r="G1126" s="7" t="inlineStr">
        <is>
          <t>WOW! I will never go back to wheat Banana Bread! This was easy to prepare and delicious. I used 1/2 tsp vanilla and 1/2 tsp cinnamon. Fabulous. Thank you for posting!</t>
        </is>
      </c>
    </row>
    <row r="1127">
      <c r="A1127" s="7" t="n">
        <v>77387</v>
      </c>
      <c r="B1127" s="7" t="n">
        <v>1098516</v>
      </c>
      <c r="C1127" s="7" t="n">
        <v>121684</v>
      </c>
      <c r="D1127" s="7" t="n">
        <v>53520</v>
      </c>
      <c r="E1127" s="8" t="n">
        <v>38024</v>
      </c>
      <c r="F1127" s="7" t="n">
        <v>5</v>
      </c>
      <c r="G1127" s="7" t="inlineStr">
        <is>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is>
      </c>
    </row>
    <row r="1128">
      <c r="A1128" s="7" t="n">
        <v>33520</v>
      </c>
      <c r="B1128" s="7" t="n">
        <v>175445</v>
      </c>
      <c r="C1128" s="7" t="n">
        <v>615075</v>
      </c>
      <c r="D1128" s="7" t="n">
        <v>44977</v>
      </c>
      <c r="E1128" s="8" t="n">
        <v>39985</v>
      </c>
      <c r="F1128" s="7" t="n">
        <v>5</v>
      </c>
      <c r="G1128" s="7" t="inlineStr">
        <is>
          <t>Love it - Just like my mom makes!</t>
        </is>
      </c>
    </row>
    <row r="1129">
      <c r="A1129" s="7" t="n">
        <v>123944</v>
      </c>
      <c r="B1129" s="7" t="n">
        <v>1100038</v>
      </c>
      <c r="C1129" s="7" t="n">
        <v>609918</v>
      </c>
      <c r="D1129" s="7" t="n">
        <v>385036</v>
      </c>
      <c r="E1129" s="8" t="n">
        <v>40985</v>
      </c>
      <c r="F1129" s="7" t="n">
        <v>4</v>
      </c>
      <c r="G1129" s="7" t="inlineStr">
        <is>
          <t>Good flavoe, easy prep, great family one dish meal. Since I try to eat only whole grains I par cooked brown rice in microwave then added it in to finish along with a little extra broth. Subbed ripe olives for green to reduce sodium. Thanks Kittencal for another never miss recipe!</t>
        </is>
      </c>
    </row>
    <row r="1130">
      <c r="A1130" s="7" t="n">
        <v>23334</v>
      </c>
      <c r="B1130" s="7" t="n">
        <v>1100204</v>
      </c>
      <c r="C1130" s="7" t="n">
        <v>107135</v>
      </c>
      <c r="D1130" s="7" t="n">
        <v>63271</v>
      </c>
      <c r="E1130" s="8" t="n">
        <v>38888</v>
      </c>
      <c r="F1130" s="7" t="n">
        <v>5</v>
      </c>
      <c r="G1130" s="7" t="inlineStr">
        <is>
          <t xml:space="preserve"> i love chicken on a stick and this is good one  .dee</t>
        </is>
      </c>
    </row>
    <row r="1131">
      <c r="A1131" s="7" t="n">
        <v>23173</v>
      </c>
      <c r="B1131" s="7" t="n">
        <v>754941</v>
      </c>
      <c r="C1131" s="7" t="n">
        <v>15036</v>
      </c>
      <c r="D1131" s="7" t="n">
        <v>10890</v>
      </c>
      <c r="E1131" s="8" t="n">
        <v>37118</v>
      </c>
      <c r="F1131" s="7" t="n">
        <v>0</v>
      </c>
      <c r="G1131" s="7" t="inlineStr">
        <is>
          <t>wouldnt be better to skin the tomatoes first so you dont have the skins in the nice end product</t>
        </is>
      </c>
    </row>
    <row r="1132" ht="409.5" customHeight="1">
      <c r="A1132" s="7" t="n">
        <v>29447</v>
      </c>
      <c r="B1132" s="7" t="n">
        <v>525773</v>
      </c>
      <c r="C1132" s="7" t="n">
        <v>72489</v>
      </c>
      <c r="D1132" s="7" t="n">
        <v>326176</v>
      </c>
      <c r="E1132" s="8" t="n">
        <v>39780</v>
      </c>
      <c r="F1132" s="7" t="n">
        <v>5</v>
      </c>
      <c r="G1132" s="9" t="inlineStr">
        <is>
          <t>WOW WOW WOW!!!
I loved this dish and ate almost the whole thing by myself.  DH thought it was just "ok", but what does he know - LOL!  Be sure to drain the broccoli well so as not to dilute the sauce.  I will be making this on a regular basis.  Thanks for posting a great recipe.</t>
        </is>
      </c>
    </row>
    <row r="1133" ht="285" customHeight="1">
      <c r="A1133" s="7" t="n">
        <v>120862</v>
      </c>
      <c r="B1133" s="7" t="n">
        <v>778648</v>
      </c>
      <c r="C1133" s="7" t="n">
        <v>437991</v>
      </c>
      <c r="D1133" s="7" t="n">
        <v>342995</v>
      </c>
      <c r="E1133" s="8" t="n">
        <v>40323</v>
      </c>
      <c r="F1133" s="7" t="n">
        <v>5</v>
      </c>
      <c r="G1133" s="9" t="inlineStr">
        <is>
          <t>I had my doubts using rice flour and all that but these were sooo good! I served them with mashed bananas and cream :-)
Made for ZWT6</t>
        </is>
      </c>
    </row>
    <row r="1134">
      <c r="A1134" s="7" t="n">
        <v>27444</v>
      </c>
      <c r="B1134" s="7" t="n">
        <v>829746</v>
      </c>
      <c r="C1134" s="7" t="n">
        <v>2000737648</v>
      </c>
      <c r="D1134" s="7" t="n">
        <v>48494</v>
      </c>
      <c r="E1134" s="8" t="n">
        <v>42348</v>
      </c>
      <c r="F1134" s="7" t="n">
        <v>3</v>
      </c>
      <c r="G1134" s="7" t="inlineStr">
        <is>
          <t>5 stars for flavor, zero stars for baking. Liberally oiled pan, tried to flip after 15 minutes and latkes were completely stuck. Ended up scraping off sheet and frying in oil-delicious!</t>
        </is>
      </c>
    </row>
    <row r="1135">
      <c r="A1135" s="7" t="n">
        <v>72052</v>
      </c>
      <c r="B1135" s="7" t="n">
        <v>410469</v>
      </c>
      <c r="C1135" s="7" t="n">
        <v>266635</v>
      </c>
      <c r="D1135" s="7" t="n">
        <v>107674</v>
      </c>
      <c r="E1135" s="8" t="n">
        <v>42026</v>
      </c>
      <c r="F1135" s="7" t="n">
        <v>5</v>
      </c>
      <c r="G1135" s="7" t="inlineStr">
        <is>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is>
      </c>
    </row>
    <row r="1136">
      <c r="A1136" s="7" t="n">
        <v>30631</v>
      </c>
      <c r="B1136" s="7" t="n">
        <v>493170</v>
      </c>
      <c r="C1136" s="7" t="n">
        <v>1405057</v>
      </c>
      <c r="D1136" s="7" t="n">
        <v>52089</v>
      </c>
      <c r="E1136" s="8" t="n">
        <v>41664</v>
      </c>
      <c r="F1136" s="7" t="n">
        <v>5</v>
      </c>
      <c r="G1136" s="7" t="inlineStr">
        <is>
          <t>LOL!!! Awe-some! Inspiring! Family went nuts!! ( you could add a dash of ground walnuts too!)</t>
        </is>
      </c>
    </row>
    <row r="1137">
      <c r="A1137" s="7" t="n">
        <v>27967</v>
      </c>
      <c r="B1137" s="7" t="n">
        <v>325548</v>
      </c>
      <c r="C1137" s="7" t="n">
        <v>750434</v>
      </c>
      <c r="D1137" s="7" t="n">
        <v>122197</v>
      </c>
      <c r="E1137" s="8" t="n">
        <v>39488</v>
      </c>
      <c r="F1137" s="7" t="n">
        <v>1</v>
      </c>
      <c r="G1137" s="7" t="inlineStr">
        <is>
          <t>I made this for myself and 4 children ages 12,6,4 and 2 and none of us liked it at all. I even gave it to my father who eats everything and he would not eat it either. It sounded so good but did not taste so good.</t>
        </is>
      </c>
    </row>
    <row r="1138">
      <c r="A1138" s="7" t="n">
        <v>116008</v>
      </c>
      <c r="B1138" s="7" t="n">
        <v>135319</v>
      </c>
      <c r="C1138" s="7" t="n">
        <v>21752</v>
      </c>
      <c r="D1138" s="7" t="n">
        <v>60942</v>
      </c>
      <c r="E1138" s="8" t="n">
        <v>39776</v>
      </c>
      <c r="F1138" s="7" t="n">
        <v>4</v>
      </c>
      <c r="G1138" s="7" t="inlineStr">
        <is>
          <t>This was lovely!  I made it using some of my Recipe #13864 and it was delicious.  I used to love creamsicles as a kid and this was a frozen blast from the past!</t>
        </is>
      </c>
    </row>
    <row r="1139">
      <c r="A1139" s="7" t="n">
        <v>75340</v>
      </c>
      <c r="B1139" s="7" t="n">
        <v>1034760</v>
      </c>
      <c r="C1139" s="7" t="n">
        <v>46104</v>
      </c>
      <c r="D1139" s="7" t="n">
        <v>366514</v>
      </c>
      <c r="E1139" s="8" t="n">
        <v>39930</v>
      </c>
      <c r="F1139" s="7" t="n">
        <v>4</v>
      </c>
      <c r="G1139" s="7" t="inlineStr">
        <is>
          <t>I make this only with 1/2 cup of butter.  Don't substitute low fat or less fat because it won't melt right!</t>
        </is>
      </c>
    </row>
    <row r="1140">
      <c r="A1140" s="7" t="n">
        <v>5735</v>
      </c>
      <c r="B1140" s="7" t="n">
        <v>766644</v>
      </c>
      <c r="C1140" s="7" t="n">
        <v>92816</v>
      </c>
      <c r="D1140" s="7" t="n">
        <v>32544</v>
      </c>
      <c r="E1140" s="8" t="n">
        <v>39814</v>
      </c>
      <c r="F1140" s="7" t="n">
        <v>5</v>
      </c>
      <c r="G1140" s="7" t="inlineStr">
        <is>
          <t>I have been making these for years.I usually add a sausage round to the combination also.Delicious!</t>
        </is>
      </c>
    </row>
    <row r="1141">
      <c r="A1141" s="7" t="n">
        <v>14031</v>
      </c>
      <c r="B1141" s="7" t="n">
        <v>744226</v>
      </c>
      <c r="C1141" s="7" t="n">
        <v>897895</v>
      </c>
      <c r="D1141" s="7" t="n">
        <v>48635</v>
      </c>
      <c r="E1141" s="8" t="n">
        <v>39951</v>
      </c>
      <c r="F1141" s="7" t="n">
        <v>5</v>
      </c>
      <c r="G1141" s="7" t="inlineStr">
        <is>
          <t>This is a fantastic recipe. I've scoured the web and by far, this is the best one out of the 20 or so i've trued</t>
        </is>
      </c>
    </row>
    <row r="1142">
      <c r="A1142" s="7" t="n">
        <v>24983</v>
      </c>
      <c r="B1142" s="7" t="n">
        <v>881410</v>
      </c>
      <c r="C1142" s="7" t="n">
        <v>2000529569</v>
      </c>
      <c r="D1142" s="7" t="n">
        <v>248170</v>
      </c>
      <c r="E1142" s="8" t="n">
        <v>42288</v>
      </c>
      <c r="F1142" s="7" t="n">
        <v>0</v>
      </c>
      <c r="G1142" s="7" t="inlineStr">
        <is>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is>
      </c>
    </row>
    <row r="1143">
      <c r="A1143" s="7" t="n">
        <v>119845</v>
      </c>
      <c r="B1143" s="7" t="n">
        <v>838853</v>
      </c>
      <c r="C1143" s="7" t="n">
        <v>1993785</v>
      </c>
      <c r="D1143" s="7" t="n">
        <v>425323</v>
      </c>
      <c r="E1143" s="8" t="n">
        <v>40783</v>
      </c>
      <c r="F1143" s="7" t="n">
        <v>1</v>
      </c>
      <c r="G1143" s="7" t="inlineStr">
        <is>
          <t>I used Meyer Lemon when I made this and it just wasn't flavorfully sour enough for me. I want INTENSE lemon zing!</t>
        </is>
      </c>
    </row>
    <row r="1144">
      <c r="A1144" t="n">
        <v>85631</v>
      </c>
      <c r="B1144" t="n">
        <v>649996</v>
      </c>
      <c r="C1144" t="n">
        <v>184180</v>
      </c>
      <c r="D1144" t="n">
        <v>104917</v>
      </c>
      <c r="E1144" s="1" t="n">
        <v>39582</v>
      </c>
      <c r="F1144" t="n">
        <v>5</v>
      </c>
      <c r="G1144" t="inlineStr">
        <is>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is>
      </c>
    </row>
    <row r="1145" ht="409.5" customHeight="1">
      <c r="A1145" s="7" t="n">
        <v>41618</v>
      </c>
      <c r="B1145" s="7" t="n">
        <v>472560</v>
      </c>
      <c r="C1145" s="7" t="n">
        <v>140132</v>
      </c>
      <c r="D1145" s="7" t="n">
        <v>108364</v>
      </c>
      <c r="E1145" s="8" t="n">
        <v>39386</v>
      </c>
      <c r="F1145" s="7" t="n">
        <v>5</v>
      </c>
      <c r="G1145" s="9" t="inlineStr">
        <is>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recipe....._x000D_
Stephanie</t>
        </is>
      </c>
    </row>
    <row r="1146">
      <c r="A1146" s="7" t="n">
        <v>32141</v>
      </c>
      <c r="B1146" s="7" t="n">
        <v>460809</v>
      </c>
      <c r="C1146" s="7" t="n">
        <v>90086</v>
      </c>
      <c r="D1146" s="7" t="n">
        <v>303938</v>
      </c>
      <c r="E1146" s="8" t="n">
        <v>39809</v>
      </c>
      <c r="F1146" s="7" t="n">
        <v>0</v>
      </c>
      <c r="G1146" s="7" t="inlineStr">
        <is>
          <t>Wait a minute - what's a 'dirty santa' party? I miss everything!!</t>
        </is>
      </c>
    </row>
    <row r="1147">
      <c r="A1147" s="7" t="n">
        <v>17247</v>
      </c>
      <c r="B1147" s="7" t="n">
        <v>530338</v>
      </c>
      <c r="C1147" s="7" t="n">
        <v>168462</v>
      </c>
      <c r="D1147" s="7" t="n">
        <v>161219</v>
      </c>
      <c r="E1147" s="8" t="n">
        <v>38855</v>
      </c>
      <c r="F1147" s="7" t="n">
        <v>5</v>
      </c>
      <c r="G1147" s="7" t="inlineStr">
        <is>
          <t>Very good Easter Bread. I made this in my bundt pan and it was very good. I skipped the rum and raisins  so the kids would eat it. Thanks for the recipe.</t>
        </is>
      </c>
    </row>
    <row r="1148" ht="409.5" customHeight="1">
      <c r="A1148" s="7" t="n">
        <v>60850</v>
      </c>
      <c r="B1148" s="7" t="n">
        <v>356952</v>
      </c>
      <c r="C1148" s="7" t="n">
        <v>28201</v>
      </c>
      <c r="D1148" s="7" t="n">
        <v>28954</v>
      </c>
      <c r="E1148" s="8" t="n">
        <v>37420</v>
      </c>
      <c r="F1148" s="7" t="n">
        <v>5</v>
      </c>
      <c r="G1148" s="9" t="inlineStr">
        <is>
          <t>This recipe is virtually failproof!_x000D_
It's so quick and easy!  I really hate rasins, so i substituded chocolate chips and it turned out perfect!  Now I have another reason to turn my microwave on beides heating leftovers or warming coffee!  Thanks Lennie!</t>
        </is>
      </c>
    </row>
    <row r="1149">
      <c r="A1149" s="7" t="n">
        <v>75461</v>
      </c>
      <c r="B1149" s="7" t="n">
        <v>135170</v>
      </c>
      <c r="C1149" s="7" t="n">
        <v>350897</v>
      </c>
      <c r="D1149" s="7" t="n">
        <v>175182</v>
      </c>
      <c r="E1149" s="8" t="n">
        <v>38988</v>
      </c>
      <c r="F1149" s="7" t="n">
        <v>5</v>
      </c>
      <c r="G1149" s="7" t="inlineStr">
        <is>
          <t>Absolutely loved it!  It was soooo yummy!  We had it with steamed vegies and it was totally to die for!  And so easy to make!  Hubby loved it and nearly died 100 deaths when I told him it was low fat!!  Kids didn't like it though.  Thank you for sharing this gem of a recipe!</t>
        </is>
      </c>
    </row>
    <row r="1150">
      <c r="A1150" s="7" t="n">
        <v>90183</v>
      </c>
      <c r="B1150" s="7" t="n">
        <v>510188</v>
      </c>
      <c r="C1150" s="7" t="n">
        <v>631970</v>
      </c>
      <c r="D1150" s="7" t="n">
        <v>89207</v>
      </c>
      <c r="E1150" s="8" t="n">
        <v>39919</v>
      </c>
      <c r="F1150" s="7" t="n">
        <v>4</v>
      </c>
      <c r="G1150" s="7" t="inlineStr">
        <is>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is>
      </c>
    </row>
    <row r="1151">
      <c r="A1151" s="7" t="n">
        <v>92203</v>
      </c>
      <c r="B1151" s="7" t="n">
        <v>584430</v>
      </c>
      <c r="C1151" s="7" t="n">
        <v>349476</v>
      </c>
      <c r="D1151" s="7" t="n">
        <v>8624</v>
      </c>
      <c r="E1151" s="8" t="n">
        <v>38965</v>
      </c>
      <c r="F1151" s="7" t="n">
        <v>5</v>
      </c>
      <c r="G1151" s="7" t="inlineStr">
        <is>
          <t>My kids loved this! They look exactly like the ones in the anime movies they see. I will try this next time with sweet rice I bought from an Asian grocery I found. Thanks for the recipe!</t>
        </is>
      </c>
    </row>
    <row r="1152">
      <c r="A1152" s="7" t="n">
        <v>98984</v>
      </c>
      <c r="B1152" s="7" t="n">
        <v>679763</v>
      </c>
      <c r="C1152" s="7" t="n">
        <v>161883</v>
      </c>
      <c r="D1152" s="7" t="n">
        <v>3599</v>
      </c>
      <c r="E1152" s="8" t="n">
        <v>38462</v>
      </c>
      <c r="F1152" s="7" t="n">
        <v>5</v>
      </c>
      <c r="G1152" s="7" t="inlineStr">
        <is>
          <t>Made these to see if there really is a perfect recipe. I made the "cake-like" but did not add sour cream. WOW!!!  These were the best ever!  They stayed soft for the 3 days it took us to eat a double batch.  I never did put them in an air-tight container. My family has been asking for them again.  Thanks for the recipe!</t>
        </is>
      </c>
    </row>
    <row r="1153">
      <c r="A1153" s="7" t="n">
        <v>39018</v>
      </c>
      <c r="B1153" s="7" t="n">
        <v>213521</v>
      </c>
      <c r="C1153" s="7" t="n">
        <v>241882</v>
      </c>
      <c r="D1153" s="7" t="n">
        <v>125633</v>
      </c>
      <c r="E1153" s="8" t="n">
        <v>42255</v>
      </c>
      <c r="F1153" s="7" t="n">
        <v>5</v>
      </c>
      <c r="G1153" s="7" t="inlineStr">
        <is>
          <t>I have made something like this before, but without the topping.  I made this for a holiday party and it was gone in a flash.  So easy and delicious.</t>
        </is>
      </c>
    </row>
    <row r="1154">
      <c r="A1154" s="7" t="n">
        <v>306</v>
      </c>
      <c r="B1154" s="7" t="n">
        <v>1103309</v>
      </c>
      <c r="C1154" s="7" t="n">
        <v>2210917</v>
      </c>
      <c r="D1154" s="7" t="n">
        <v>487671</v>
      </c>
      <c r="E1154" s="8" t="n">
        <v>41179</v>
      </c>
      <c r="F1154" s="7" t="n">
        <v>5</v>
      </c>
      <c r="G1154" s="7" t="inlineStr">
        <is>
          <t>Can't wait to make this recipe for my family</t>
        </is>
      </c>
    </row>
    <row r="1155">
      <c r="A1155" s="7" t="n">
        <v>12328</v>
      </c>
      <c r="B1155" s="7" t="n">
        <v>76503</v>
      </c>
      <c r="C1155" s="7" t="n">
        <v>2882755</v>
      </c>
      <c r="D1155" s="7" t="n">
        <v>131044</v>
      </c>
      <c r="E1155" s="8" t="n">
        <v>41454</v>
      </c>
      <c r="F1155" s="7" t="n">
        <v>5</v>
      </c>
      <c r="G1155" s="7" t="inlineStr">
        <is>
          <t>Ok this is about the10th recipe for flour tortillas that I&amp;#039;ve tried, and I have to be honest they weren&amp;#039;t the prettiest, but they tasted GREAT!  I used cake flour cuz that&amp;#039;s what I had and was afraid they may come out tough, but to my surprise they didn&amp;#039;t. I have a tortilla press, but was to lazy to pull it out, but to me, rolling out the dough is the best part! I&amp;#039;m going to roll out circle if it&amp;#039;s the last thing I do! :) I will make these again, with the all purpose flour, thanks for the easy and tasty recipe Charmie777.</t>
        </is>
      </c>
    </row>
    <row r="1156" ht="409.5" customHeight="1">
      <c r="A1156" s="7" t="n">
        <v>80584</v>
      </c>
      <c r="B1156" s="7" t="n">
        <v>591256</v>
      </c>
      <c r="C1156" s="7" t="n">
        <v>238661</v>
      </c>
      <c r="D1156" s="7" t="n">
        <v>71161</v>
      </c>
      <c r="E1156" s="8" t="n">
        <v>39073</v>
      </c>
      <c r="F1156" s="7" t="n">
        <v>5</v>
      </c>
      <c r="G1156" s="9" t="inlineStr">
        <is>
          <t>Wonderful Lemon Bars!  I also used the butter flavored Crisco.  I loved the idea of using 1/2 butter 1/2 shortening!  This recipe really stands out from the rest because of it!  I also agree with other reviewers about the lemon juice.  I added 7 T._x000D_
Thanx Miss Erin!</t>
        </is>
      </c>
    </row>
    <row r="1157">
      <c r="A1157" s="7" t="n">
        <v>48660</v>
      </c>
      <c r="B1157" s="7" t="n">
        <v>451873</v>
      </c>
      <c r="C1157" s="7" t="n">
        <v>182010</v>
      </c>
      <c r="D1157" s="7" t="n">
        <v>188627</v>
      </c>
      <c r="E1157" s="8" t="n">
        <v>39981</v>
      </c>
      <c r="F1157" s="7" t="n">
        <v>5</v>
      </c>
      <c r="G1157" s="7" t="inlineStr">
        <is>
          <t>FABULOUS!!!  I ended up with 8 large scones, amazingly moist and tender and with the perfect amount of sweetness (though when I was making them, 3 tablespoons of sugar seemed a bit meagre).  My only change was to use yogurt (Greek and very thick) and some full cream which had turned.  Really one of the best scones I've ever tasted.  Thanks, Annacia.</t>
        </is>
      </c>
    </row>
    <row r="1158">
      <c r="A1158" s="7" t="n">
        <v>103232</v>
      </c>
      <c r="B1158" s="7" t="n">
        <v>1030938</v>
      </c>
      <c r="C1158" s="7" t="n">
        <v>1295375</v>
      </c>
      <c r="D1158" s="7" t="n">
        <v>107356</v>
      </c>
      <c r="E1158" s="8" t="n">
        <v>39997</v>
      </c>
      <c r="F1158" s="7" t="n">
        <v>5</v>
      </c>
      <c r="G1158" s="7" t="inlineStr">
        <is>
          <t>This recipe is wonderful.We prepared and fell in love with how moist and delicous the pork loin turned out.We cooked this outdoors on the rotisseri.This will be served many more times at gatherings.     THANKS</t>
        </is>
      </c>
    </row>
    <row r="1159">
      <c r="A1159" s="7" t="n">
        <v>68415</v>
      </c>
      <c r="B1159" s="7" t="n">
        <v>824063</v>
      </c>
      <c r="C1159" s="7" t="n">
        <v>647640</v>
      </c>
      <c r="D1159" s="7" t="n">
        <v>78814</v>
      </c>
      <c r="E1159" s="8" t="n">
        <v>39614</v>
      </c>
      <c r="F1159" s="7" t="n">
        <v>5</v>
      </c>
      <c r="G1159" s="7" t="inlineStr">
        <is>
          <t>I have made this many times since I first saw this recipe.  It is fairly easy to make and DELICIOUS.  Everyone in my house loves it.</t>
        </is>
      </c>
    </row>
    <row r="1160">
      <c r="A1160" s="7" t="n">
        <v>54631</v>
      </c>
      <c r="B1160" s="7" t="n">
        <v>704285</v>
      </c>
      <c r="C1160" s="7" t="n">
        <v>59563</v>
      </c>
      <c r="D1160" s="7" t="n">
        <v>3212</v>
      </c>
      <c r="E1160" s="8" t="n">
        <v>37841</v>
      </c>
      <c r="F1160" s="7" t="n">
        <v>5</v>
      </c>
      <c r="G1160" s="7" t="inlineStr">
        <is>
          <t>I gave jars of this away as Christmas gifts (I left the nuts out due to possible allergies) and it was a big hit.  My family can't wait for me to make more--they love it because of the taste; I love it because it lasts in your cupboard forever.  Just add ice-cream or custard and you have an instant, fun dessert.  Thanks!</t>
        </is>
      </c>
    </row>
    <row r="1161">
      <c r="A1161" s="7" t="n">
        <v>40389</v>
      </c>
      <c r="B1161" s="7" t="n">
        <v>641417</v>
      </c>
      <c r="C1161" s="7" t="n">
        <v>299346</v>
      </c>
      <c r="D1161" s="7" t="n">
        <v>44124</v>
      </c>
      <c r="E1161" s="8" t="n">
        <v>39167</v>
      </c>
      <c r="F1161" s="7" t="n">
        <v>5</v>
      </c>
      <c r="G1161" s="7" t="inlineStr">
        <is>
          <t>Made it exactly as written except left out the paprika as I had none. Was wonderful!!! Not usually a big Catalina fan but this was awesome... Thank you for posting</t>
        </is>
      </c>
    </row>
    <row r="1162">
      <c r="A1162" s="7" t="n">
        <v>121465</v>
      </c>
      <c r="B1162" s="7" t="n">
        <v>370361</v>
      </c>
      <c r="C1162" s="7" t="n">
        <v>6753164</v>
      </c>
      <c r="D1162" s="7" t="n">
        <v>507069</v>
      </c>
      <c r="E1162" s="8" t="n">
        <v>43299</v>
      </c>
      <c r="F1162" s="7" t="n">
        <v>0</v>
      </c>
      <c r="G1162" s="7" t="inlineStr">
        <is>
          <t>Come on... is this REALLY the best New Jersey dish you could come up with?? What about Jersey corn and tomatoes...the best I've ever had!</t>
        </is>
      </c>
    </row>
    <row r="1163">
      <c r="A1163" t="n">
        <v>64083</v>
      </c>
      <c r="B1163" t="n">
        <v>938478</v>
      </c>
      <c r="C1163" t="n">
        <v>766961</v>
      </c>
      <c r="D1163" t="n">
        <v>82102</v>
      </c>
      <c r="E1163" s="1" t="n">
        <v>40569</v>
      </c>
      <c r="F1163" t="n">
        <v>5</v>
      </c>
      <c r="G1163" t="inlineStr">
        <is>
          <t>LOVED this!  I halved the recipe just for me and my husband and cooked it in my Bialetti stoneware pie plate.  I made these with Panko breadcrumbs and jabbed the chicken with a plastic knife before coating and breading.  Served with mashed potato and green beans.</t>
        </is>
      </c>
    </row>
    <row r="1164">
      <c r="A1164" s="7" t="n">
        <v>98268</v>
      </c>
      <c r="B1164" s="7" t="n">
        <v>346899</v>
      </c>
      <c r="C1164" s="7" t="n">
        <v>128473</v>
      </c>
      <c r="D1164" s="7" t="n">
        <v>449670</v>
      </c>
      <c r="E1164" s="8" t="n">
        <v>41743</v>
      </c>
      <c r="F1164" s="7" t="n">
        <v>5</v>
      </c>
      <c r="G1164" s="7" t="inlineStr">
        <is>
          <t>Wow, is this recipe wonderful.  My very picky dh &amp;amp; I both enjoyed this dish tremendously.  It is our favorite meatball dish on the site so far and I have been member for over 10 years.  The meatballs were perfect, soft, tender and oh so full of flavor.  The gravy was terrific.  A wonderful meal served over soft egg noodles.  Thank you so much for sharing a recipe that has gone into my Favorites Cookbook for 2014.  Kudos to you.  Made for Spring Pac 2014.</t>
        </is>
      </c>
    </row>
    <row r="1165">
      <c r="A1165" s="7" t="n">
        <v>61630</v>
      </c>
      <c r="B1165" s="7" t="n">
        <v>1123604</v>
      </c>
      <c r="C1165" s="7" t="n">
        <v>282745</v>
      </c>
      <c r="D1165" s="7" t="n">
        <v>57679</v>
      </c>
      <c r="E1165" s="8" t="n">
        <v>38729</v>
      </c>
      <c r="F1165" s="7" t="n">
        <v>5</v>
      </c>
      <c r="G1165" s="7" t="inlineStr">
        <is>
          <t>This was fantastic and easy.  Light and sweet and so fast to make!  In addition to the lime juice, I also added the zest of a lime which put pretty green flecks throughout.  Delicious!  Thank you!</t>
        </is>
      </c>
    </row>
    <row r="1166">
      <c r="A1166" s="7" t="n">
        <v>60387</v>
      </c>
      <c r="B1166" s="7" t="n">
        <v>886255</v>
      </c>
      <c r="C1166" s="7" t="n">
        <v>29613</v>
      </c>
      <c r="D1166" s="7" t="n">
        <v>35615</v>
      </c>
      <c r="E1166" s="8" t="n">
        <v>37809</v>
      </c>
      <c r="F1166" s="7" t="n">
        <v>5</v>
      </c>
      <c r="G1166" s="7" t="inlineStr">
        <is>
          <t>Boy, was this worth making. I've been told that I'm making this for every family get together from now on. Thanks for putting it on here.</t>
        </is>
      </c>
    </row>
    <row r="1167">
      <c r="A1167" s="7" t="n">
        <v>53094</v>
      </c>
      <c r="B1167" s="7" t="n">
        <v>169349</v>
      </c>
      <c r="C1167" s="7" t="n">
        <v>166642</v>
      </c>
      <c r="D1167" s="7" t="n">
        <v>184755</v>
      </c>
      <c r="E1167" s="8" t="n">
        <v>39025</v>
      </c>
      <c r="F1167" s="7" t="n">
        <v>5</v>
      </c>
      <c r="G1167" s="7" t="inlineStr">
        <is>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is>
      </c>
    </row>
    <row r="1168">
      <c r="A1168" s="7" t="n">
        <v>99138</v>
      </c>
      <c r="B1168" s="7" t="n">
        <v>538746</v>
      </c>
      <c r="C1168" s="7" t="n">
        <v>46104</v>
      </c>
      <c r="D1168" s="7" t="n">
        <v>26885</v>
      </c>
      <c r="E1168" s="8" t="n">
        <v>39019</v>
      </c>
      <c r="F1168" s="7" t="n">
        <v>5</v>
      </c>
      <c r="G1168" s="7" t="inlineStr">
        <is>
          <t>This recipe was great.  We made it for dinner and added some peppers and minced garlic. It definately isn't just a breakfast dish!</t>
        </is>
      </c>
    </row>
    <row r="1169">
      <c r="A1169" s="7" t="n">
        <v>76198</v>
      </c>
      <c r="B1169" s="7" t="n">
        <v>164012</v>
      </c>
      <c r="C1169" s="7" t="n">
        <v>35140</v>
      </c>
      <c r="D1169" s="7" t="n">
        <v>149545</v>
      </c>
      <c r="E1169" s="8" t="n">
        <v>39069</v>
      </c>
      <c r="F1169" s="7" t="n">
        <v>5</v>
      </c>
      <c r="G1169" s="7" t="inlineStr">
        <is>
          <t>These are on my Christmas goody trays and they're beautiful and delicious.  Easy to make with lots of flavor.</t>
        </is>
      </c>
    </row>
    <row r="1170">
      <c r="A1170" s="7" t="n">
        <v>14789</v>
      </c>
      <c r="B1170" s="7" t="n">
        <v>611176</v>
      </c>
      <c r="C1170" s="7" t="n">
        <v>76951</v>
      </c>
      <c r="D1170" s="7" t="n">
        <v>139219</v>
      </c>
      <c r="E1170" s="8" t="n">
        <v>40076</v>
      </c>
      <c r="F1170" s="7" t="n">
        <v>3</v>
      </c>
      <c r="G1170" s="7" t="inlineStr">
        <is>
          <t>This was a little too rich for our tastes.  I even used low fat parmesan and turkey bacon.  I felt like the other ingredients overwhelmed my fresh green beans.  Made for 2009 Fall PAC.</t>
        </is>
      </c>
    </row>
    <row r="1171">
      <c r="A1171" s="7" t="n">
        <v>25209</v>
      </c>
      <c r="B1171" s="7" t="n">
        <v>818450</v>
      </c>
      <c r="C1171" s="7" t="n">
        <v>38643</v>
      </c>
      <c r="D1171" s="7" t="n">
        <v>295769</v>
      </c>
      <c r="E1171" s="8" t="n">
        <v>39676</v>
      </c>
      <c r="F1171" s="7" t="n">
        <v>5</v>
      </c>
      <c r="G1171" s="7" t="inlineStr">
        <is>
          <t>Wow! This is soooo good.Thanks for sharing the recipe.</t>
        </is>
      </c>
    </row>
    <row r="1172">
      <c r="A1172" s="7" t="n">
        <v>106988</v>
      </c>
      <c r="B1172" s="7" t="n">
        <v>1057515</v>
      </c>
      <c r="C1172" s="7" t="n">
        <v>2000761524</v>
      </c>
      <c r="D1172" s="7" t="n">
        <v>147469</v>
      </c>
      <c r="E1172" s="8" t="n">
        <v>42359</v>
      </c>
      <c r="F1172" s="7" t="n">
        <v>2</v>
      </c>
      <c r="G1172" s="7" t="inlineStr">
        <is>
          <t>First off these cookies DID NOT EXPAND when they were IN THE OVEN, causing me to have to roll them out. Also they are okay, they could be more gingery. Its a nice and easy recipe. Does not make many</t>
        </is>
      </c>
    </row>
    <row r="1173">
      <c r="A1173" s="7" t="n">
        <v>32999</v>
      </c>
      <c r="B1173" s="7" t="n">
        <v>867523</v>
      </c>
      <c r="C1173" s="7" t="n">
        <v>1240597</v>
      </c>
      <c r="D1173" s="7" t="n">
        <v>24448</v>
      </c>
      <c r="E1173" s="8" t="n">
        <v>39933</v>
      </c>
      <c r="F1173" s="7" t="n">
        <v>5</v>
      </c>
      <c r="G1173" s="7" t="inlineStr">
        <is>
          <t>This was very good. My husband loved it...</t>
        </is>
      </c>
    </row>
    <row r="1174">
      <c r="A1174" t="n">
        <v>119254</v>
      </c>
      <c r="B1174" t="n">
        <v>474546</v>
      </c>
      <c r="C1174" t="n">
        <v>163148</v>
      </c>
      <c r="D1174" t="n">
        <v>41897</v>
      </c>
      <c r="E1174" s="1" t="n">
        <v>39380</v>
      </c>
      <c r="F1174" t="n">
        <v>5</v>
      </c>
      <c r="G1174" t="inlineStr">
        <is>
          <t>Well, I burnt the white chocolate in the mircowave (it turns powdery~ who knew?) so I used the WHITE CAKE FROSTING I had in the cabinet instead and it woked like a dream!! Made a Great Addition to my spooky spread! Thanks so much!!!!</t>
        </is>
      </c>
    </row>
    <row r="1175">
      <c r="A1175" s="7" t="n">
        <v>37681</v>
      </c>
      <c r="B1175" s="7" t="n">
        <v>961962</v>
      </c>
      <c r="C1175" s="7" t="n">
        <v>29300</v>
      </c>
      <c r="D1175" s="7" t="n">
        <v>49337</v>
      </c>
      <c r="E1175" s="8" t="n">
        <v>38702</v>
      </c>
      <c r="F1175" s="7" t="n">
        <v>1</v>
      </c>
      <c r="G1175" s="7" t="inlineStr">
        <is>
          <t>I have no idea in thisworld what happened! I followed this recipe word for word and I ended up with a sweet quiche. This also took practically 3 hours to cook on 200 deg. I am so sorry but this just didn't work for us :-(</t>
        </is>
      </c>
    </row>
    <row r="1176">
      <c r="A1176" s="7" t="n">
        <v>63589</v>
      </c>
      <c r="B1176" s="7" t="n">
        <v>1095830</v>
      </c>
      <c r="C1176" s="7" t="n">
        <v>21443</v>
      </c>
      <c r="D1176" s="7" t="n">
        <v>109884</v>
      </c>
      <c r="E1176" s="8" t="n">
        <v>38548</v>
      </c>
      <c r="F1176" s="7" t="n">
        <v>5</v>
      </c>
      <c r="G1176" s="7" t="inlineStr">
        <is>
          <t>Can't wait for this to get out of the oven!!! The smell is making all of our mouths water!!  If this taste as good as it smells we will be forever grateful for this recipe!!</t>
        </is>
      </c>
    </row>
    <row r="1177">
      <c r="A1177" s="7" t="n">
        <v>72754</v>
      </c>
      <c r="B1177" s="7" t="n">
        <v>81932</v>
      </c>
      <c r="C1177" s="7" t="n">
        <v>1308896</v>
      </c>
      <c r="D1177" s="7" t="n">
        <v>410506</v>
      </c>
      <c r="E1177" s="8" t="n">
        <v>40205</v>
      </c>
      <c r="F1177" s="7" t="n">
        <v>5</v>
      </c>
      <c r="G1177" s="7" t="inlineStr">
        <is>
          <t>This is a great recipe.  I remember it growing up too.  It's so good to have around on a cold night or when you feel like your getting a cold!  My girls love it too!</t>
        </is>
      </c>
    </row>
    <row r="1178">
      <c r="A1178" s="7" t="n">
        <v>23324</v>
      </c>
      <c r="B1178" s="7" t="n">
        <v>223750</v>
      </c>
      <c r="C1178" s="7" t="n">
        <v>2001501655</v>
      </c>
      <c r="D1178" s="7" t="n">
        <v>135048</v>
      </c>
      <c r="E1178" s="8" t="n">
        <v>42913</v>
      </c>
      <c r="F1178" s="7" t="n">
        <v>0</v>
      </c>
      <c r="G1178" s="7" t="inlineStr">
        <is>
          <t>You don't have to refrigerator b4 you can eat it?</t>
        </is>
      </c>
    </row>
    <row r="1179">
      <c r="A1179" s="7" t="n">
        <v>617</v>
      </c>
      <c r="B1179" s="7" t="n">
        <v>343730</v>
      </c>
      <c r="C1179" s="7" t="n">
        <v>96077</v>
      </c>
      <c r="D1179" s="7" t="n">
        <v>37144</v>
      </c>
      <c r="E1179" s="8" t="n">
        <v>38702</v>
      </c>
      <c r="F1179" s="7" t="n">
        <v>4</v>
      </c>
      <c r="G1179" s="7" t="inlineStr">
        <is>
          <t>I used white bark candy and it was great!  Thanks for the recipe!</t>
        </is>
      </c>
    </row>
    <row r="1180">
      <c r="A1180" s="7" t="n">
        <v>95750</v>
      </c>
      <c r="B1180" s="7" t="n">
        <v>471967</v>
      </c>
      <c r="C1180" s="7" t="n">
        <v>33135</v>
      </c>
      <c r="D1180" s="7" t="n">
        <v>151034</v>
      </c>
      <c r="E1180" s="8" t="n">
        <v>40270</v>
      </c>
      <c r="F1180" s="7" t="n">
        <v>5</v>
      </c>
      <c r="G1180" s="7" t="inlineStr">
        <is>
          <t>very good and healthy too!</t>
        </is>
      </c>
    </row>
    <row r="1181">
      <c r="A1181" s="7" t="n">
        <v>85453</v>
      </c>
      <c r="B1181" s="7" t="n">
        <v>40861</v>
      </c>
      <c r="C1181" s="7" t="n">
        <v>1001263</v>
      </c>
      <c r="D1181" s="7" t="n">
        <v>110070</v>
      </c>
      <c r="E1181" s="8" t="n">
        <v>39979</v>
      </c>
      <c r="F1181" s="7" t="n">
        <v>0</v>
      </c>
      <c r="G1181" s="7" t="inlineStr">
        <is>
          <t>I haven't tried this yet but since the reviewers had questions I did a Google search and found the original so I could figure out the details.  The link is http://www.molliekatzen.com/recipes/recipe.php?recipe=rice_pie</t>
        </is>
      </c>
    </row>
    <row r="1182">
      <c r="A1182" s="7" t="n">
        <v>76374</v>
      </c>
      <c r="B1182" s="7" t="n">
        <v>1050187</v>
      </c>
      <c r="C1182" s="7" t="n">
        <v>951955</v>
      </c>
      <c r="D1182" s="7" t="n">
        <v>53878</v>
      </c>
      <c r="E1182" s="8" t="n">
        <v>39716</v>
      </c>
      <c r="F1182" s="7" t="n">
        <v>4</v>
      </c>
      <c r="G1182" s="7" t="inlineStr">
        <is>
          <t>i added oragano to my cream cheese mixture it turned out pretty good, i don't think i cut the pepperoni small enough, make sure is is really small, mabey use magic bullet or somthing, and i found the cream cheese didn't melt enough so only put half a teaspoon of the mixture in each pouch.</t>
        </is>
      </c>
    </row>
    <row r="1183">
      <c r="A1183" t="n">
        <v>5800</v>
      </c>
      <c r="B1183" t="n">
        <v>805881</v>
      </c>
      <c r="C1183" t="n">
        <v>334342</v>
      </c>
      <c r="D1183" t="n">
        <v>189596</v>
      </c>
      <c r="E1183" s="1" t="n">
        <v>40299</v>
      </c>
      <c r="F1183" t="n">
        <v>5</v>
      </c>
      <c r="G1183" t="inlineStr">
        <is>
          <t>These cookies are fail safe, simple and delicious. The only problem is keeping the hubby and kids away from them long enough for them to cool!</t>
        </is>
      </c>
    </row>
    <row r="1184">
      <c r="A1184" s="7" t="n">
        <v>45729</v>
      </c>
      <c r="B1184" s="7" t="n">
        <v>481546</v>
      </c>
      <c r="C1184" s="7" t="n">
        <v>515930</v>
      </c>
      <c r="D1184" s="7" t="n">
        <v>411043</v>
      </c>
      <c r="E1184" s="8" t="n">
        <v>40474</v>
      </c>
      <c r="F1184" s="7" t="n">
        <v>5</v>
      </c>
      <c r="G1184" s="7" t="inlineStr">
        <is>
          <t>This bread is delicious!! I live at 10,152 feet in elevation in Colorado and finally have a pumpkin bread recipe that turned out perfect living at high altitude.</t>
        </is>
      </c>
    </row>
    <row r="1185" ht="409.5" customHeight="1">
      <c r="A1185" s="7" t="n">
        <v>39476</v>
      </c>
      <c r="B1185" s="7" t="n">
        <v>698441</v>
      </c>
      <c r="C1185" s="7" t="n">
        <v>115758</v>
      </c>
      <c r="D1185" s="7" t="n">
        <v>230031</v>
      </c>
      <c r="E1185" s="8" t="n">
        <v>39261</v>
      </c>
      <c r="F1185" s="7" t="n">
        <v>5</v>
      </c>
      <c r="G1185" s="9" t="inlineStr">
        <is>
          <t>I made this for the freezer challenge of ZWT3._x000D_
I placed all the marinade ingredients and the cubed pork (I used pork fillet) pieces in a zip lock bag and froze. On the day they were required I defosted in the fridge during the day, when returning home from work all there was to be done was thread onto skewers and grill. _x000D_
These were a 5*++++ recipe, my favourite so far during the tour.</t>
        </is>
      </c>
    </row>
    <row r="1186">
      <c r="A1186" s="7" t="n">
        <v>117769</v>
      </c>
      <c r="B1186" s="7" t="n">
        <v>930796</v>
      </c>
      <c r="C1186" s="7" t="n">
        <v>2065570</v>
      </c>
      <c r="D1186" s="7" t="n">
        <v>192281</v>
      </c>
      <c r="E1186" s="8" t="n">
        <v>40861</v>
      </c>
      <c r="F1186" s="7" t="n">
        <v>4</v>
      </c>
      <c r="G1186" s="7" t="inlineStr">
        <is>
          <t>Good easy recipe, came out great. I also added turmeric, garlic, and basil, as well as a can of fire roasted tomatoes. Also I noticed the macros aren't right for fat content, stating 11mg of fat coming from 2 cups of brown rice.?</t>
        </is>
      </c>
    </row>
    <row r="1187">
      <c r="A1187" s="7" t="n">
        <v>63048</v>
      </c>
      <c r="B1187" s="7" t="n">
        <v>937074</v>
      </c>
      <c r="C1187" s="7" t="n">
        <v>1716057</v>
      </c>
      <c r="D1187" s="7" t="n">
        <v>286419</v>
      </c>
      <c r="E1187" s="8" t="n">
        <v>40577</v>
      </c>
      <c r="F1187" s="7" t="n">
        <v>5</v>
      </c>
      <c r="G1187" s="7" t="inlineStr">
        <is>
          <t>This was a very tasty soup!!  I had all the ingredients on hand and not a lot of time to get dinner on the table, so this worked out great for me!  The kids liked the tortellini in the soup and even my picky husband had seconds!!  Great tasting soup on a cold day in Iowa!!</t>
        </is>
      </c>
    </row>
    <row r="1188">
      <c r="A1188" s="7" t="n">
        <v>88734</v>
      </c>
      <c r="B1188" s="7" t="n">
        <v>1057781</v>
      </c>
      <c r="C1188" s="7" t="n">
        <v>2001844430</v>
      </c>
      <c r="D1188" s="7" t="n">
        <v>274770</v>
      </c>
      <c r="E1188" s="8" t="n">
        <v>43076</v>
      </c>
      <c r="F1188" s="7" t="n">
        <v>0</v>
      </c>
      <c r="G1188" s="7" t="inlineStr">
        <is>
          <t>This recipe makes the BEST cookies. They were the hit of the office party last year and were a specific request this year!!</t>
        </is>
      </c>
    </row>
    <row r="1189">
      <c r="A1189" s="7" t="n">
        <v>50258</v>
      </c>
      <c r="B1189" s="7" t="n">
        <v>783721</v>
      </c>
      <c r="C1189" s="7" t="n">
        <v>145352</v>
      </c>
      <c r="D1189" s="7" t="n">
        <v>136853</v>
      </c>
      <c r="E1189" s="8" t="n">
        <v>38879</v>
      </c>
      <c r="F1189" s="7" t="n">
        <v>5</v>
      </c>
      <c r="G1189" s="7" t="inlineStr">
        <is>
          <t>Delicious...I think I made the mistake of not chopping my walnuts fine enuff, so the filling didn't quite stick together. But we didn't care!!! Was delicious and rich! Like Baklava....great recipe NCMS!!!</t>
        </is>
      </c>
    </row>
    <row r="1190">
      <c r="A1190" s="7" t="n">
        <v>86516</v>
      </c>
      <c r="B1190" s="7" t="n">
        <v>1085521</v>
      </c>
      <c r="C1190" s="7" t="n">
        <v>157425</v>
      </c>
      <c r="D1190" s="7" t="n">
        <v>397218</v>
      </c>
      <c r="E1190" s="8" t="n">
        <v>40154</v>
      </c>
      <c r="F1190" s="7" t="n">
        <v>5</v>
      </c>
      <c r="G1190" s="7" t="inlineStr">
        <is>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is>
      </c>
    </row>
    <row r="1191">
      <c r="A1191" s="7" t="n">
        <v>28493</v>
      </c>
      <c r="B1191" s="7" t="n">
        <v>38144</v>
      </c>
      <c r="C1191" s="7" t="n">
        <v>2001532298</v>
      </c>
      <c r="D1191" s="7" t="n">
        <v>502197</v>
      </c>
      <c r="E1191" s="8" t="n">
        <v>42866</v>
      </c>
      <c r="F1191" s="7" t="n">
        <v>5</v>
      </c>
      <c r="G1191" s="7" t="inlineStr">
        <is>
          <t>So, I used golden oreos and banana cream pudding instead of chocolate. Also used crushed golden oreos as the topping. Everybody loved it!!! Most said they liked it better than the chocolate. :)</t>
        </is>
      </c>
    </row>
    <row r="1192">
      <c r="A1192" s="7" t="n">
        <v>72144</v>
      </c>
      <c r="B1192" s="7" t="n">
        <v>1079759</v>
      </c>
      <c r="C1192" s="7" t="n">
        <v>280271</v>
      </c>
      <c r="D1192" s="7" t="n">
        <v>376897</v>
      </c>
      <c r="E1192" s="8" t="n">
        <v>40710</v>
      </c>
      <c r="F1192" s="7" t="n">
        <v>5</v>
      </c>
      <c r="G1192" s="7" t="inlineStr">
        <is>
          <t>YUM! This is so good! I made as posted with the exception of cutting the recipe in half and using fresh mushrooms. We loved the cheese combination. This very well may be the only way I make spaghetti in the future. (except for the quick jar/spaghetti for emergencies). Loved it! Can;t wait for the leftovers. Thanks for posting. :)</t>
        </is>
      </c>
    </row>
    <row r="1193">
      <c r="A1193" s="7" t="n">
        <v>125979</v>
      </c>
      <c r="B1193" s="7" t="n">
        <v>309400</v>
      </c>
      <c r="C1193" s="7" t="n">
        <v>34122</v>
      </c>
      <c r="D1193" s="7" t="n">
        <v>22691</v>
      </c>
      <c r="E1193" s="8" t="n">
        <v>42809</v>
      </c>
      <c r="F1193" s="7" t="n">
        <v>5</v>
      </c>
      <c r="G1193" s="7" t="inlineStr">
        <is>
          <t>Halved the recipe. Subbed half brown sugar in batter and used frozen mixed berries. Also cut the amt. of water in half again per reviews. Perfect after 30 min. in the oven. Wish we had vanilla ice cream!</t>
        </is>
      </c>
    </row>
    <row r="1194" ht="409.5" customHeight="1">
      <c r="A1194" s="7" t="n">
        <v>122311</v>
      </c>
      <c r="B1194" s="7" t="n">
        <v>1015786</v>
      </c>
      <c r="C1194" s="7" t="n">
        <v>41578</v>
      </c>
      <c r="D1194" s="7" t="n">
        <v>92022</v>
      </c>
      <c r="E1194" s="8" t="n">
        <v>38222</v>
      </c>
      <c r="F1194" s="7" t="n">
        <v>5</v>
      </c>
      <c r="G1194" s="9" t="inlineStr">
        <is>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B._x000D_
</t>
        </is>
      </c>
    </row>
    <row r="1195">
      <c r="A1195" s="7" t="n">
        <v>67753</v>
      </c>
      <c r="B1195" s="7" t="n">
        <v>220754</v>
      </c>
      <c r="C1195" s="7" t="n">
        <v>53932</v>
      </c>
      <c r="D1195" s="7" t="n">
        <v>150466</v>
      </c>
      <c r="E1195" s="8" t="n">
        <v>38865</v>
      </c>
      <c r="F1195" s="7" t="n">
        <v>5</v>
      </c>
      <c r="G1195" s="7" t="inlineStr">
        <is>
          <t>Excellent!  The fresh herbs add a wonderful flavor to the mahi mahi.  I did reduce the amount of marinade by half and found that there was still more than enough.  Thank you for sharing this wonderful recipe.</t>
        </is>
      </c>
    </row>
    <row r="1196">
      <c r="A1196" s="7" t="n">
        <v>9774</v>
      </c>
      <c r="B1196" s="7" t="n">
        <v>213509</v>
      </c>
      <c r="C1196" s="7" t="n">
        <v>2203209</v>
      </c>
      <c r="D1196" s="7" t="n">
        <v>125633</v>
      </c>
      <c r="E1196" s="8" t="n">
        <v>40974</v>
      </c>
      <c r="F1196" s="7" t="n">
        <v>5</v>
      </c>
      <c r="G1196" s="7" t="inlineStr">
        <is>
          <t>I have made these...actually today! They are soo classy! LOVE THEM. thank you for posting</t>
        </is>
      </c>
    </row>
    <row r="1197">
      <c r="A1197" s="7" t="n">
        <v>103965</v>
      </c>
      <c r="B1197" s="7" t="n">
        <v>737698</v>
      </c>
      <c r="C1197" s="7" t="n">
        <v>242766</v>
      </c>
      <c r="D1197" s="7" t="n">
        <v>79189</v>
      </c>
      <c r="E1197" s="8" t="n">
        <v>40543</v>
      </c>
      <c r="F1197" s="7" t="n">
        <v>5</v>
      </c>
      <c r="G1197" s="7" t="inlineStr">
        <is>
          <t>Yummy!!  The poinsettia cocktail is one of my favorite holiday drinks.  Not only is it very pretty to look at, but it is delicious, too.  This recipe was so quick and easy to make, and two of us managed to polish off more of these than I am willing to admit :)  Thank you for sharing this wonderful recipe...it is definitely a keeper!!&lt;br/&gt;*Made for P-A-R-T-Y tag game*</t>
        </is>
      </c>
    </row>
    <row r="1198">
      <c r="A1198" s="7" t="n">
        <v>84016</v>
      </c>
      <c r="B1198" s="7" t="n">
        <v>673817</v>
      </c>
      <c r="C1198" s="7" t="n">
        <v>461834</v>
      </c>
      <c r="D1198" s="7" t="n">
        <v>412049</v>
      </c>
      <c r="E1198" s="8" t="n">
        <v>40397</v>
      </c>
      <c r="F1198" s="7" t="n">
        <v>5</v>
      </c>
      <c r="G1198" s="7" t="inlineStr">
        <is>
          <t>I tagged this recipe to make while on vacation visiting my family in Ohio.  My sister loves Asian flavored dishes and this one was excellent!!!  What a great flavored steak and we made the recipe exactly as written.  We had it with a wonderful potato recipe and salad.  Photo to follow once back in Florida.  Made for Holiday Tag.</t>
        </is>
      </c>
    </row>
    <row r="1199">
      <c r="A1199" s="7" t="n">
        <v>53356</v>
      </c>
      <c r="B1199" s="7" t="n">
        <v>1017406</v>
      </c>
      <c r="C1199" s="7" t="n">
        <v>1803598885</v>
      </c>
      <c r="D1199" s="7" t="n">
        <v>23496</v>
      </c>
      <c r="E1199" s="8" t="n">
        <v>42006</v>
      </c>
      <c r="F1199" s="7" t="n">
        <v>0</v>
      </c>
      <c r="G1199" s="7" t="inlineStr">
        <is>
          <t>How long do you pull it?</t>
        </is>
      </c>
    </row>
    <row r="1200">
      <c r="A1200" s="7" t="n">
        <v>93570</v>
      </c>
      <c r="B1200" s="7" t="n">
        <v>63459</v>
      </c>
      <c r="C1200" s="7" t="n">
        <v>637887</v>
      </c>
      <c r="D1200" s="7" t="n">
        <v>273675</v>
      </c>
      <c r="E1200" s="8" t="n">
        <v>40867</v>
      </c>
      <c r="F1200" s="7" t="n">
        <v>4</v>
      </c>
      <c r="G1200" s="7" t="inlineStr">
        <is>
          <t>Delicious. Easy. What more do you need in a side? OK, maybe healthy? It's more healthy that a box of mac and cheese! For a little punch I also added 5 pieces of dried whole ginger and removed after cooking.</t>
        </is>
      </c>
    </row>
    <row r="1201">
      <c r="A1201" s="7" t="n">
        <v>112563</v>
      </c>
      <c r="B1201" s="7" t="n">
        <v>66963</v>
      </c>
      <c r="C1201" s="7" t="n">
        <v>67243</v>
      </c>
      <c r="D1201" s="7" t="n">
        <v>104703</v>
      </c>
      <c r="E1201" s="8" t="n">
        <v>39802</v>
      </c>
      <c r="F1201" s="7" t="n">
        <v>5</v>
      </c>
      <c r="G1201" s="7" t="inlineStr">
        <is>
          <t>Wonderful high riser, nice slightly yeasty flavor.  Next time I may add a little more sugar.  I made sandwich bun size. Made 18 buns. I used my breadmaker to make the dough.</t>
        </is>
      </c>
    </row>
    <row r="1202">
      <c r="A1202" s="7" t="n">
        <v>29753</v>
      </c>
      <c r="B1202" s="7" t="n">
        <v>72875</v>
      </c>
      <c r="C1202" s="7" t="n">
        <v>106624</v>
      </c>
      <c r="D1202" s="7" t="n">
        <v>54269</v>
      </c>
      <c r="E1202" s="8" t="n">
        <v>38465</v>
      </c>
      <c r="F1202" s="7" t="n">
        <v>1</v>
      </c>
      <c r="G1202" s="7" t="inlineStr">
        <is>
          <t>made this with a Betty Crocker Cherry Chip cake mix.  It did not work at all, and my cake overall changed texture,moist cake but crumb was like a shortbread flake and taste.  After all the good ratings, I thought this would be great, but to my dismay it was not at all good.</t>
        </is>
      </c>
    </row>
    <row r="1203">
      <c r="A1203" s="7" t="n">
        <v>4</v>
      </c>
      <c r="B1203" s="7" t="n">
        <v>312179</v>
      </c>
      <c r="C1203" s="7" t="n">
        <v>95810</v>
      </c>
      <c r="D1203" s="7" t="n">
        <v>129396</v>
      </c>
      <c r="E1203" s="8" t="n">
        <v>39521</v>
      </c>
      <c r="F1203" s="7" t="n">
        <v>5</v>
      </c>
      <c r="G1203" s="7" t="inlineStr">
        <is>
          <t>Excellent soup!  The tomato flavor is just great.  Made this for freezer tag and the soup froze beautifully.  I prepared as directed and then allowed to cool and froze in a freezer container.  I thawed in the fridge and reheated on the stovetop.  Worked perfectly!</t>
        </is>
      </c>
    </row>
    <row r="1204">
      <c r="A1204" s="7" t="n">
        <v>56082</v>
      </c>
      <c r="B1204" s="7" t="n">
        <v>879640</v>
      </c>
      <c r="C1204" s="7" t="n">
        <v>679953</v>
      </c>
      <c r="D1204" s="7" t="n">
        <v>271276</v>
      </c>
      <c r="E1204" s="8" t="n">
        <v>40703</v>
      </c>
      <c r="F1204" s="7" t="n">
        <v>4</v>
      </c>
      <c r="G1204" s="7" t="inlineStr">
        <is>
          <t>Halved this as I made this with some frenchfries for lunch today, also left out the prepared mustard, just a preference.  It did for a great dip.  Made for PRMR tag.</t>
        </is>
      </c>
    </row>
    <row r="1205">
      <c r="A1205" s="7" t="n">
        <v>115347</v>
      </c>
      <c r="B1205" s="7" t="n">
        <v>930362</v>
      </c>
      <c r="C1205" s="7" t="n">
        <v>1276751</v>
      </c>
      <c r="D1205" s="7" t="n">
        <v>74419</v>
      </c>
      <c r="E1205" s="8" t="n">
        <v>40488</v>
      </c>
      <c r="F1205" s="7" t="n">
        <v>5</v>
      </c>
      <c r="G1205" s="7" t="inlineStr">
        <is>
          <t>Absolutely wonderful!  I made these a step healthier and changed flours to 1 1/4 c. AP flour, 1/2 c. whole wheat flour, and 1/2 c. oat flour.  I also didn't have any apple butter, so I used regular apple sauce and added 1/2 t. Trader Joes Pumpkin Pie Spice Mix.  I only used 1/2 the baking soda, and it was plenty.  I hate the after-taste of too much!</t>
        </is>
      </c>
    </row>
    <row r="1206">
      <c r="A1206" s="7" t="n">
        <v>120097</v>
      </c>
      <c r="B1206" s="7" t="n">
        <v>709446</v>
      </c>
      <c r="C1206" s="7" t="n">
        <v>250031</v>
      </c>
      <c r="D1206" s="7" t="n">
        <v>2056</v>
      </c>
      <c r="E1206" s="8" t="n">
        <v>40819</v>
      </c>
      <c r="F1206" s="7" t="n">
        <v>5</v>
      </c>
      <c r="G1206" s="7" t="inlineStr">
        <is>
          <t>Awesomely easy and delicious! And there's nothing like pure maple syrup. I also used freshly grated nutmeg. Yum!</t>
        </is>
      </c>
    </row>
    <row r="1207">
      <c r="A1207" s="7" t="n">
        <v>2532</v>
      </c>
      <c r="B1207" s="7" t="n">
        <v>37455</v>
      </c>
      <c r="C1207" s="7" t="n">
        <v>305531</v>
      </c>
      <c r="D1207" s="7" t="n">
        <v>462881</v>
      </c>
      <c r="E1207" s="8" t="n">
        <v>42247</v>
      </c>
      <c r="F1207" s="7" t="n">
        <v>5</v>
      </c>
      <c r="G1207" s="7" t="inlineStr">
        <is>
          <t>I&amp;#039;ve been making King Ranch Casserole for years and everyone loves it. This was a nice version that was great comfort food. I didn&amp;#039;t use the mushrooms only because I didn&amp;#039;t have any on hand. Thanks for sharing. Made for Culinary Quest 2.</t>
        </is>
      </c>
    </row>
    <row r="1208">
      <c r="A1208" s="7" t="n">
        <v>111096</v>
      </c>
      <c r="B1208" s="7" t="n">
        <v>181016</v>
      </c>
      <c r="C1208" s="7" t="n">
        <v>186855</v>
      </c>
      <c r="D1208" s="7" t="n">
        <v>218316</v>
      </c>
      <c r="E1208" s="8" t="n">
        <v>39211</v>
      </c>
      <c r="F1208" s="7" t="n">
        <v>5</v>
      </c>
      <c r="G1208" s="7" t="inlineStr">
        <is>
          <t>If you were to look up chocolate chip cookies in the dictionary, this is what you'd find.  I can't believe a batter this simple and quick can be so absolutely *PERFECT* . I can see why they are your husbands favourite.  The only thing I did differently was to use regular size milk chocolate chips.  These are amazing.  :)</t>
        </is>
      </c>
    </row>
    <row r="1209">
      <c r="A1209" s="7" t="n">
        <v>120987</v>
      </c>
      <c r="B1209" s="7" t="n">
        <v>362414</v>
      </c>
      <c r="C1209" s="7" t="n">
        <v>233738</v>
      </c>
      <c r="D1209" s="7" t="n">
        <v>325742</v>
      </c>
      <c r="E1209" s="8" t="n">
        <v>39875</v>
      </c>
      <c r="F1209" s="7" t="n">
        <v>5</v>
      </c>
      <c r="G1209" s="7" t="inlineStr">
        <is>
          <t>This is exactly like drinking Fudgies, those chocolate oatmeal peanut butter cookies.  Awesome with marshmallows.</t>
        </is>
      </c>
    </row>
    <row r="1210">
      <c r="A1210" s="7" t="n">
        <v>93587</v>
      </c>
      <c r="B1210" s="7" t="n">
        <v>294176</v>
      </c>
      <c r="C1210" s="7" t="n">
        <v>35390</v>
      </c>
      <c r="D1210" s="7" t="n">
        <v>671</v>
      </c>
      <c r="E1210" s="8" t="n">
        <v>37333</v>
      </c>
      <c r="F1210" s="7" t="n">
        <v>4</v>
      </c>
      <c r="G1210" s="7" t="inlineStr">
        <is>
          <t>This recepe can be made with zucchinis also... one can leave the peel if the zucchinis are small...if they are large, peel them and empty the seeds inside... Yummy !</t>
        </is>
      </c>
    </row>
    <row r="1211">
      <c r="A1211" s="7" t="n">
        <v>26422</v>
      </c>
      <c r="B1211" s="7" t="n">
        <v>365745</v>
      </c>
      <c r="C1211" s="7" t="n">
        <v>128950</v>
      </c>
      <c r="D1211" s="7" t="n">
        <v>43267</v>
      </c>
      <c r="E1211" s="8" t="n">
        <v>39386</v>
      </c>
      <c r="F1211" s="7" t="n">
        <v>4</v>
      </c>
      <c r="G1211" s="7" t="inlineStr">
        <is>
          <t>Healthy, easy, delicious and easy to cut in half.  I thought the vanilla sounded like a lot but found it to be the perfect amount of flavoring.  I served these along side Recipe #91429 and there was a great balance of tangy/sweet flavors.</t>
        </is>
      </c>
    </row>
    <row r="1212">
      <c r="A1212" s="7" t="n">
        <v>115469</v>
      </c>
      <c r="B1212" s="7" t="n">
        <v>568199</v>
      </c>
      <c r="C1212" s="7" t="n">
        <v>284180</v>
      </c>
      <c r="D1212" s="7" t="n">
        <v>293129</v>
      </c>
      <c r="E1212" s="8" t="n">
        <v>39915</v>
      </c>
      <c r="F1212" s="7" t="n">
        <v>5</v>
      </c>
      <c r="G1212" s="7" t="inlineStr">
        <is>
          <t>These are delicious!  I made exactly as directed, except in place of the hickory-smoked salt I used a steak seasoning which contained salt and hickory-smoke flavor, among other seasonings.  I think it was a good substitution as we really enjoyed these.  Thanks for sharing this recipe.</t>
        </is>
      </c>
    </row>
    <row r="1213">
      <c r="A1213" s="7" t="n">
        <v>122798</v>
      </c>
      <c r="B1213" s="7" t="n">
        <v>132919</v>
      </c>
      <c r="C1213" s="7" t="n">
        <v>2002139955</v>
      </c>
      <c r="D1213" s="7" t="n">
        <v>102674</v>
      </c>
      <c r="E1213" s="8" t="n">
        <v>43223</v>
      </c>
      <c r="F1213" s="7" t="n">
        <v>5</v>
      </c>
      <c r="G1213" s="7" t="inlineStr">
        <is>
          <t>is aswome is lit bruuuuuuuuuuuuuuuuuuuuuuuu</t>
        </is>
      </c>
    </row>
    <row r="1214">
      <c r="A1214" s="7" t="n">
        <v>34005</v>
      </c>
      <c r="B1214" s="7" t="n">
        <v>837894</v>
      </c>
      <c r="C1214" s="7" t="n">
        <v>424680</v>
      </c>
      <c r="D1214" s="7" t="n">
        <v>326658</v>
      </c>
      <c r="E1214" s="8" t="n">
        <v>39741</v>
      </c>
      <c r="F1214" s="7" t="n">
        <v>5</v>
      </c>
      <c r="G1214" s="7" t="inlineStr">
        <is>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is>
      </c>
    </row>
    <row r="1215">
      <c r="A1215" s="7" t="n">
        <v>7715</v>
      </c>
      <c r="B1215" s="7" t="n">
        <v>177150</v>
      </c>
      <c r="C1215" s="7" t="n">
        <v>278578</v>
      </c>
      <c r="D1215" s="7" t="n">
        <v>222749</v>
      </c>
      <c r="E1215" s="8" t="n">
        <v>39301</v>
      </c>
      <c r="F1215" s="7" t="n">
        <v>5</v>
      </c>
      <c r="G1215" s="7" t="inlineStr">
        <is>
          <t>thanks this was really tasty, I halved it and I used the substitute for heavy cream that recipezaar lists and it came out good. Will add some chopped broccoli to the onions next time</t>
        </is>
      </c>
    </row>
    <row r="1216">
      <c r="A1216" s="7" t="n">
        <v>99293</v>
      </c>
      <c r="B1216" s="7" t="n">
        <v>656848</v>
      </c>
      <c r="C1216" s="7" t="n">
        <v>969481</v>
      </c>
      <c r="D1216" s="7" t="n">
        <v>27208</v>
      </c>
      <c r="E1216" s="8" t="n">
        <v>39766</v>
      </c>
      <c r="F1216" s="7" t="n">
        <v>5</v>
      </c>
      <c r="G1216" s="7" t="inlineStr">
        <is>
          <t>This is very quick and easy to put together. I am a working mom and before I put the kids on the bus, I can put this in the crock pot with some red potatoes (halved), sliced onions and some baby carrots and the family dinner is ready when we get home. Serve with a tossed salad. Thanks for posting!</t>
        </is>
      </c>
    </row>
    <row r="1217">
      <c r="A1217" s="7" t="n">
        <v>49167</v>
      </c>
      <c r="B1217" s="7" t="n">
        <v>74050</v>
      </c>
      <c r="C1217" s="7" t="n">
        <v>254614</v>
      </c>
      <c r="D1217" s="7" t="n">
        <v>205020</v>
      </c>
      <c r="E1217" s="8" t="n">
        <v>39250</v>
      </c>
      <c r="F1217" s="7" t="n">
        <v>4</v>
      </c>
      <c r="G1217" s="7" t="inlineStr">
        <is>
          <t>Well, I just purchased some Jamaican Jerk seasoning a few months ago and had to try it out again. I made more sauce and I used little shell macaroni. It is good with a green salad. Thanks for posting.</t>
        </is>
      </c>
    </row>
    <row r="1218">
      <c r="A1218" s="7" t="n">
        <v>113361</v>
      </c>
      <c r="B1218" s="7" t="n">
        <v>217737</v>
      </c>
      <c r="C1218" s="7" t="n">
        <v>535033</v>
      </c>
      <c r="D1218" s="7" t="n">
        <v>21688</v>
      </c>
      <c r="E1218" s="8" t="n">
        <v>39788</v>
      </c>
      <c r="F1218" s="7" t="n">
        <v>5</v>
      </c>
      <c r="G1218" s="7" t="inlineStr">
        <is>
          <t>Surprisingly good-- especially for someone who doesn't like cooked cabbage. Very easy prep. I didn't have the soup and tomato sauce, so I used 1-6. oz can of tomato paste plus 3 cans of water. I still added the 3/4 water, too. I only needed half the cabbage-- maybe I got a big one? I will definitely make this again. Update: We have made this dish many, many times. It has become a favorite. Sometimes I double the meat in the topping. After cooking, it freezes and reheats well. This is a great dish for people who can't eat gluten or wheat-- the sliced cabbage reminds me of noodles. Very tasty AND filling!! One last thing-- if you have a food processor, it will make the prep go much faster!  2nd Update:  Found a faster way to make this.  Slice up the cabbage and layer in pan.  Place the cooked beef on top.  Sprinkle everything else on top.  Bake as described.  Still comes out good.  Much faster (esp. if you bake the hamburger to cook it).</t>
        </is>
      </c>
    </row>
    <row r="1219">
      <c r="A1219" s="7" t="n">
        <v>78195</v>
      </c>
      <c r="B1219" s="7" t="n">
        <v>429985</v>
      </c>
      <c r="C1219" s="7" t="n">
        <v>358284</v>
      </c>
      <c r="D1219" s="7" t="n">
        <v>204661</v>
      </c>
      <c r="E1219" s="8" t="n">
        <v>39125</v>
      </c>
      <c r="F1219" s="7" t="n">
        <v>0</v>
      </c>
      <c r="G1219" s="7" t="inlineStr">
        <is>
          <t>these are not hard to put together at all. It is not difficult to mix everything together.</t>
        </is>
      </c>
    </row>
    <row r="1220">
      <c r="A1220" s="7" t="n">
        <v>19476</v>
      </c>
      <c r="B1220" s="7" t="n">
        <v>384976</v>
      </c>
      <c r="C1220" s="7" t="n">
        <v>2324285</v>
      </c>
      <c r="D1220" s="7" t="n">
        <v>8969</v>
      </c>
      <c r="E1220" s="8" t="n">
        <v>41169</v>
      </c>
      <c r="F1220" s="7" t="n">
        <v>5</v>
      </c>
      <c r="G1220" s="7" t="inlineStr">
        <is>
          <t>The best beans I've ever eaten.  I'm not a vegetarian, but I could eat this on top of cilantro lime rice every day and not get sick of it.  What really brings everything together is the red wine vinegar.  Thanks for sharing.</t>
        </is>
      </c>
    </row>
    <row r="1221">
      <c r="A1221" s="7" t="n">
        <v>18528</v>
      </c>
      <c r="B1221" s="7" t="n">
        <v>758455</v>
      </c>
      <c r="C1221" s="7" t="n">
        <v>84996</v>
      </c>
      <c r="D1221" s="7" t="n">
        <v>76865</v>
      </c>
      <c r="E1221" s="8" t="n">
        <v>38008</v>
      </c>
      <c r="F1221" s="7" t="n">
        <v>5</v>
      </c>
      <c r="G1221" s="7" t="inlineStr">
        <is>
          <t>Great low carb recipe!  My family loved it.  I used the regular pork rinds and the flavor was still good.  Next time, I'm thinking of adding ranch dressing mix to the pork rinds and leaving the garlic out of the eggs.  Italian dressing mix or onion soup mix would be a good addition to the regular pork rinds too.  Thanks kellie2</t>
        </is>
      </c>
    </row>
    <row r="1222">
      <c r="A1222" s="7" t="n">
        <v>37502</v>
      </c>
      <c r="B1222" s="7" t="n">
        <v>1098795</v>
      </c>
      <c r="C1222" s="7" t="n">
        <v>340503</v>
      </c>
      <c r="D1222" s="7" t="n">
        <v>74275</v>
      </c>
      <c r="E1222" s="8" t="n">
        <v>39078</v>
      </c>
      <c r="F1222" s="7" t="n">
        <v>5</v>
      </c>
      <c r="G1222" s="7" t="inlineStr">
        <is>
          <t>This is my new favorite weeknight meal! This was incredibly easy and so tasty. I left the skins on for taste and nutrition, then added some garlic powder. I also left out the celery since I don't care for it. Then I topped it with some bacon bits and a little shredded cheese, and it was heaven!</t>
        </is>
      </c>
    </row>
    <row r="1223">
      <c r="A1223" s="7" t="n">
        <v>85972</v>
      </c>
      <c r="B1223" s="7" t="n">
        <v>1041127</v>
      </c>
      <c r="C1223" s="7" t="n">
        <v>2000524218</v>
      </c>
      <c r="D1223" s="7" t="n">
        <v>297005</v>
      </c>
      <c r="E1223" s="8" t="n">
        <v>42281</v>
      </c>
      <c r="F1223" s="7" t="n">
        <v>5</v>
      </c>
      <c r="G1223" s="7" t="inlineStr">
        <is>
          <t>I made this recipe today for my family and friends, they absolutely LOVED THEM. Im thinking another way to put the filling, I didt it with a spoon but I want them to look a little better. Definitely making this cupcakes this week again.</t>
        </is>
      </c>
    </row>
    <row r="1224">
      <c r="A1224" s="7" t="n">
        <v>47096</v>
      </c>
      <c r="B1224" s="7" t="n">
        <v>395278</v>
      </c>
      <c r="C1224" s="7" t="n">
        <v>200171</v>
      </c>
      <c r="D1224" s="7" t="n">
        <v>52095</v>
      </c>
      <c r="E1224" s="8" t="n">
        <v>38740</v>
      </c>
      <c r="F1224" s="7" t="n">
        <v>5</v>
      </c>
      <c r="G1224" s="7" t="inlineStr">
        <is>
          <t>Such an easy recipe and was a big hit with family and friends.  I thought that the BBQ sauce sounded strange but it tastes great!  I have made it twice. Thanks!</t>
        </is>
      </c>
    </row>
    <row r="1225">
      <c r="A1225" s="7" t="n">
        <v>22352</v>
      </c>
      <c r="B1225" s="7" t="n">
        <v>824145</v>
      </c>
      <c r="C1225" s="7" t="n">
        <v>187373</v>
      </c>
      <c r="D1225" s="7" t="n">
        <v>78814</v>
      </c>
      <c r="E1225" s="8" t="n">
        <v>40276</v>
      </c>
      <c r="F1225" s="7" t="n">
        <v>4</v>
      </c>
      <c r="G1225" s="7" t="inlineStr">
        <is>
          <t>These were pretty good. I made a half recipe.  They had a slightly artificial taste, so if I were to make again, might just saute some fresh garlic with the onion instead of using powder.  Was good for lunch served with fresh green beans.</t>
        </is>
      </c>
    </row>
    <row r="1226">
      <c r="A1226" s="7" t="n">
        <v>102302</v>
      </c>
      <c r="B1226" s="7" t="n">
        <v>1074330</v>
      </c>
      <c r="C1226" s="7" t="n">
        <v>465911</v>
      </c>
      <c r="D1226" s="7" t="n">
        <v>135350</v>
      </c>
      <c r="E1226" s="8" t="n">
        <v>39914</v>
      </c>
      <c r="F1226" s="7" t="n">
        <v>5</v>
      </c>
      <c r="G1226" s="7" t="inlineStr">
        <is>
          <t>This is a great recipe and definately classic. I made it for an Easter lunch with Recipe #30505 and caesar salad. Everyone loved it!</t>
        </is>
      </c>
    </row>
    <row r="1227">
      <c r="A1227" s="7" t="n">
        <v>42834</v>
      </c>
      <c r="B1227" s="7" t="n">
        <v>1057762</v>
      </c>
      <c r="C1227" s="7" t="n">
        <v>244432</v>
      </c>
      <c r="D1227" s="7" t="n">
        <v>25082</v>
      </c>
      <c r="E1227" s="8" t="n">
        <v>40999</v>
      </c>
      <c r="F1227" s="7" t="n">
        <v>0</v>
      </c>
      <c r="G1227" s="7" t="inlineStr">
        <is>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is>
      </c>
    </row>
    <row r="1228">
      <c r="A1228" s="7" t="n">
        <v>74595</v>
      </c>
      <c r="B1228" s="7" t="n">
        <v>476860</v>
      </c>
      <c r="C1228" s="7" t="n">
        <v>58104</v>
      </c>
      <c r="D1228" s="7" t="n">
        <v>179881</v>
      </c>
      <c r="E1228" s="8" t="n">
        <v>38951</v>
      </c>
      <c r="F1228" s="7" t="n">
        <v>5</v>
      </c>
      <c r="G1228" s="7" t="inlineStr">
        <is>
          <t>Elly herself made this for all of us( Irmgard, Country Lady, At Leslie`s home with all our hubby`s and I also had a friend Michelle and her hubby myself and Hubby)It was just oh so yummy! Loved the heat! My kind of good eats! Thanks bunches!</t>
        </is>
      </c>
    </row>
    <row r="1229">
      <c r="A1229" s="7" t="n">
        <v>101183</v>
      </c>
      <c r="B1229" s="7" t="n">
        <v>197059</v>
      </c>
      <c r="C1229" s="7" t="n">
        <v>239694</v>
      </c>
      <c r="D1229" s="7" t="n">
        <v>186583</v>
      </c>
      <c r="E1229" s="8" t="n">
        <v>40129</v>
      </c>
      <c r="F1229" s="7" t="n">
        <v>5</v>
      </c>
      <c r="G1229" s="7" t="inlineStr">
        <is>
          <t>Fantastic crust! I used a kitchen aid mixer with the dough hook to knead the dough. I used half the dough for a thin crust pie and put the other half in the fridge for another day. I let it rise for about an hour before rolling it out on a floured board. It was very easy to work with, unlike a lot of other recipes I've tried. I brushed some olive oil on the edges of the dough. I highly recommend using a pizza stone. I heated the oven at 500 degrees for quite a while to make sure the stone was hot. I The dough slid easily off a floured peel and didn't stick to the stone even though I didn't put any cornmeal on it first. It took about 12 minutes at 500 degrees to bake until the crust was perfectly browned and the cheese was just right - not burned. The texture was perfect - thin, light, crispy on the bottom, and just the right amount of chewiness and flavor. I made a white pie with shrimp scampi and bacon, and it was just ridiculous! I also tried this recipe using some white whole wheat flour, but I think it wasn't as good as using all white flour. It wasn't as elastic and tore while I spread it out. It was also hard to shape so it came out looking odd, but tasted ok. This is a winner!</t>
        </is>
      </c>
    </row>
    <row r="1230">
      <c r="A1230" s="7" t="n">
        <v>33860</v>
      </c>
      <c r="B1230" s="7" t="n">
        <v>1123813</v>
      </c>
      <c r="C1230" s="7" t="n">
        <v>2000958813</v>
      </c>
      <c r="D1230" s="7" t="n">
        <v>57679</v>
      </c>
      <c r="E1230" s="8" t="n">
        <v>42611</v>
      </c>
      <c r="F1230" s="7" t="n">
        <v>5</v>
      </c>
      <c r="G1230" s="7" t="inlineStr">
        <is>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is>
      </c>
    </row>
    <row r="1231">
      <c r="A1231" s="7" t="n">
        <v>92107</v>
      </c>
      <c r="B1231" s="7" t="n">
        <v>460868</v>
      </c>
      <c r="C1231" s="7" t="n">
        <v>233182</v>
      </c>
      <c r="D1231" s="7" t="n">
        <v>23873</v>
      </c>
      <c r="E1231" s="8" t="n">
        <v>40089</v>
      </c>
      <c r="F1231" s="7" t="n">
        <v>5</v>
      </c>
      <c r="G1231" s="7" t="inlineStr">
        <is>
          <t>I have prepared port tenderloin in a LOT of different ways over the years.  Pork tenderloin is pretty good no matter what - but wow did this set the bar a lot higher! We really didn't even need a knife to cut it.  I didn't have cream fraice, so used sour cream.  The pork was perfect, the sauce was perfect.  Served it with btternt squash and a wild rice mixture.  A great meal suitable for company!</t>
        </is>
      </c>
    </row>
    <row r="1232">
      <c r="A1232" s="7" t="n">
        <v>92406</v>
      </c>
      <c r="B1232" s="7" t="n">
        <v>773301</v>
      </c>
      <c r="C1232" s="7" t="n">
        <v>312577</v>
      </c>
      <c r="D1232" s="7" t="n">
        <v>150485</v>
      </c>
      <c r="E1232" s="8" t="n">
        <v>40580</v>
      </c>
      <c r="F1232" s="7" t="n">
        <v>5</v>
      </c>
      <c r="G1232" s="7" t="inlineStr">
        <is>
          <t>Simply amazing.  I have never made cabbage rolls before, but you made this recipe so easy to follow.  I used the parmesan cheese option and I think that added tons of flavor.  Also added the optional cayenne pepper for heat.  We loved these cabbage rolls. I liked the beef and sausage combination.  Thank you for posting a other wonderful recipe.</t>
        </is>
      </c>
    </row>
    <row r="1233">
      <c r="A1233" s="7" t="n">
        <v>78377</v>
      </c>
      <c r="B1233" s="7" t="n">
        <v>774781</v>
      </c>
      <c r="C1233" s="7" t="n">
        <v>672534</v>
      </c>
      <c r="D1233" s="7" t="n">
        <v>313156</v>
      </c>
      <c r="E1233" s="8" t="n">
        <v>42270</v>
      </c>
      <c r="F1233" s="7" t="n">
        <v>5</v>
      </c>
      <c r="G1233" s="7" t="inlineStr">
        <is>
          <t>I followed the recipe exactly with the exception of the &amp;quot;finely ground&amp;quot; spices.  My spice grinder did not get them ground to a &amp;quot;fine&amp;quot; level, so they were pretty significant in the texture.  However, the flavor was excellent.  I think when I tasted it, the chutney needed to sit for a while for the flavors to blend fully, but it was still good.  I put it all in the freezer for future use as a condiment to meat.  (I need to get another coffee grinder to devote to spices exclusively.)</t>
        </is>
      </c>
    </row>
    <row r="1234">
      <c r="A1234" t="n">
        <v>7310</v>
      </c>
      <c r="B1234" t="n">
        <v>434817</v>
      </c>
      <c r="C1234" t="n">
        <v>98812</v>
      </c>
      <c r="D1234" t="n">
        <v>34335</v>
      </c>
      <c r="E1234" s="1" t="n">
        <v>38684</v>
      </c>
      <c r="F1234" t="n">
        <v>5</v>
      </c>
      <c r="G1234" t="inlineStr">
        <is>
          <t>This was just wonderful.  Tender and juicy are the correct descriptives.  I served it with Thanksgiving leftovers (sweet potatoes and bean casserole) and it was a holiday all over again.  I processed the onions and remaining 10 ingredients in the food processor.  It became rather like a paste and  was very easy to cover the fillet with.  (This took care of the pine-needle problem, too&gt;)</t>
        </is>
      </c>
    </row>
    <row r="1235">
      <c r="A1235" s="7" t="n">
        <v>20634</v>
      </c>
      <c r="B1235" s="7" t="n">
        <v>162971</v>
      </c>
      <c r="C1235" s="7" t="n">
        <v>704950</v>
      </c>
      <c r="D1235" s="7" t="n">
        <v>73840</v>
      </c>
      <c r="E1235" s="8" t="n">
        <v>39898</v>
      </c>
      <c r="F1235" s="7" t="n">
        <v>5</v>
      </c>
      <c r="G1235" s="7" t="inlineStr">
        <is>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is>
      </c>
    </row>
    <row r="1236">
      <c r="A1236" s="7" t="n">
        <v>113792</v>
      </c>
      <c r="B1236" s="7" t="n">
        <v>290960</v>
      </c>
      <c r="C1236" s="7" t="n">
        <v>2001717181</v>
      </c>
      <c r="D1236" s="7" t="n">
        <v>238159</v>
      </c>
      <c r="E1236" s="8" t="n">
        <v>42994</v>
      </c>
      <c r="F1236" s="7" t="n">
        <v>0</v>
      </c>
      <c r="G1236" s="7" t="inlineStr">
        <is>
          <t>No flavor at all. Won't make it again.</t>
        </is>
      </c>
    </row>
    <row r="1237" ht="409.5" customHeight="1">
      <c r="A1237" s="7" t="n">
        <v>104323</v>
      </c>
      <c r="B1237" s="7" t="n">
        <v>975582</v>
      </c>
      <c r="C1237" s="7" t="n">
        <v>134289</v>
      </c>
      <c r="D1237" s="7" t="n">
        <v>129906</v>
      </c>
      <c r="E1237" s="8" t="n">
        <v>39040</v>
      </c>
      <c r="F1237" s="7" t="n">
        <v>5</v>
      </c>
      <c r="G1237" s="9" t="inlineStr">
        <is>
          <t>I have made these and these cookies are excellent!  My son who is 10 devoured them.  He requested these at Christmas time.  To all who bake these, enjoy!                                                                _x000D_
11/19/06  I just made these cookies again.  I tweaked the recipe and they came out delicious.  I soaked the cranberries in orange liquor and I added a small amount of orange extract.  The results were great.</t>
        </is>
      </c>
    </row>
    <row r="1238">
      <c r="A1238" s="7" t="n">
        <v>24367</v>
      </c>
      <c r="B1238" s="7" t="n">
        <v>490607</v>
      </c>
      <c r="C1238" s="7" t="n">
        <v>2001751534</v>
      </c>
      <c r="D1238" s="7" t="n">
        <v>42972</v>
      </c>
      <c r="E1238" s="8" t="n">
        <v>43022</v>
      </c>
      <c r="F1238" s="7" t="n">
        <v>0</v>
      </c>
      <c r="G1238" s="7" t="inlineStr">
        <is>
          <t>Excellent</t>
        </is>
      </c>
    </row>
    <row r="1239">
      <c r="A1239" s="7" t="n">
        <v>11149</v>
      </c>
      <c r="B1239" s="7" t="n">
        <v>747761</v>
      </c>
      <c r="C1239" s="7" t="n">
        <v>142617</v>
      </c>
      <c r="D1239" s="7" t="n">
        <v>49200</v>
      </c>
      <c r="E1239" s="8" t="n">
        <v>41115</v>
      </c>
      <c r="F1239" s="7" t="n">
        <v>5</v>
      </c>
      <c r="G1239" s="7" t="inlineStr">
        <is>
          <t>Excellent recipe.  I would definitely add more parmesan cheese and mix all ingredients together before placing in baking dish so that some of the parmesan forms a crust on the bottom of the potatoes.  Also, beware of too much salt especially if adding more parmesan - the cheese adds so much salt to this recipe.  The house smells delicious!</t>
        </is>
      </c>
    </row>
    <row r="1240">
      <c r="A1240" s="7" t="n">
        <v>35420</v>
      </c>
      <c r="B1240" s="7" t="n">
        <v>348308</v>
      </c>
      <c r="C1240" s="7" t="n">
        <v>23728</v>
      </c>
      <c r="D1240" s="7" t="n">
        <v>50719</v>
      </c>
      <c r="E1240" s="8" t="n">
        <v>37873</v>
      </c>
      <c r="F1240" s="7" t="n">
        <v>5</v>
      </c>
      <c r="G1240" s="7" t="inlineStr">
        <is>
          <t>These are very good and quite unique. Not really a muffin.  By utilizing the creaming method then alternating the flour and milk they are really a yellow cup cake with blueberries.</t>
        </is>
      </c>
    </row>
    <row r="1241">
      <c r="A1241" s="7" t="n">
        <v>86655</v>
      </c>
      <c r="B1241" s="7" t="n">
        <v>95224</v>
      </c>
      <c r="C1241" s="7" t="n">
        <v>47892</v>
      </c>
      <c r="D1241" s="7" t="n">
        <v>173251</v>
      </c>
      <c r="E1241" s="8" t="n">
        <v>40578</v>
      </c>
      <c r="F1241" s="7" t="n">
        <v>0</v>
      </c>
      <c r="G1241" s="7" t="inlineStr">
        <is>
          <t>I roasted the dry spices first then added to a pot of canned Westbrae organic pinto beans-rinsed and drained. Brought almost to a boil, partially covered and simmered on very low heat for 1 hour. Served with a spoonful of baked brown rice and a simple salad on the side. I think this would equally well substituting black or pink beans, too. Very easy! Don't let the long list of ingredients stop you. Thank you, Chef Kate! Reviewed for Veg Tag February.</t>
        </is>
      </c>
    </row>
    <row r="1242">
      <c r="A1242" s="7" t="n">
        <v>41185</v>
      </c>
      <c r="B1242" s="7" t="n">
        <v>712861</v>
      </c>
      <c r="C1242" s="7" t="n">
        <v>1298826</v>
      </c>
      <c r="D1242" s="7" t="n">
        <v>51209</v>
      </c>
      <c r="E1242" s="8" t="n">
        <v>40926</v>
      </c>
      <c r="F1242" s="7" t="n">
        <v>5</v>
      </c>
      <c r="G1242" s="7" t="inlineStr">
        <is>
          <t>SOOO close to Pizza Hut!  This was an excellent pizza dough, had a great "homey" taste.  Perfect texture balance of light and chewy.  I left out the MSG (because it's scary stuff) and just doubled the garlic and onion powders.  I agree that the dough ball seems too wet, but when so much flour can end up added while rolling it out it balances.  Very workable dough!</t>
        </is>
      </c>
    </row>
    <row r="1243">
      <c r="A1243" s="7" t="n">
        <v>75052</v>
      </c>
      <c r="B1243" s="7" t="n">
        <v>885974</v>
      </c>
      <c r="C1243" s="7" t="n">
        <v>227652</v>
      </c>
      <c r="D1243" s="7" t="n">
        <v>524456</v>
      </c>
      <c r="E1243" s="8" t="n">
        <v>42424</v>
      </c>
      <c r="F1243" s="7" t="n">
        <v>5</v>
      </c>
      <c r="G1243" s="7" t="inlineStr">
        <is>
          <t>Want to give these 5 stars simply for being compatible w/ my husband&amp;#039;s very low carb, strict diet! And also for detailed instructions. This was my first attempt @ carnitas! I could only found a bone-in boston butt--something I&amp;#039;ve never worked with. Cooking time was no prob, but shredding was. I had to pull it out, cut the meat away from the bone &amp;amp; chop it, rather than shred it. I am thinking that next time I&amp;#039;ll use more liquid to almost cover the meat, as the bottom part resting in the liquid was far easier to shred. Due to time, I could let it cool b/f shredding--that might have been part of the problem. I used the cooking liquid as instructed but had a hard time separating the fat from the liquid--so there was lot of splattering! I didn&amp;#039;t let the liquid cook down completely b/c of the mess, but the meat crisped up very well still. To reheat, my husband thought he should spritz a little water on it to keep the meat from drying out. And the meal was a huge success, despite these issues! Will search a little harder for a boneless shoulder next time. Thank you!</t>
        </is>
      </c>
    </row>
    <row r="1244">
      <c r="A1244" s="7" t="n">
        <v>594</v>
      </c>
      <c r="B1244" s="7" t="n">
        <v>179388</v>
      </c>
      <c r="C1244" s="7" t="n">
        <v>1255150</v>
      </c>
      <c r="D1244" s="7" t="n">
        <v>116906</v>
      </c>
      <c r="E1244" s="8" t="n">
        <v>40998</v>
      </c>
      <c r="F1244" s="7" t="n">
        <v>5</v>
      </c>
      <c r="G1244" s="7" t="inlineStr">
        <is>
          <t>Lovely, versatile dip and so authentic. Made this a couple of times, but kept forgetting to review it. I always follow the recipe to a T because the one time I didn't (used less tahini), it felt heavy and too garlicky.</t>
        </is>
      </c>
    </row>
    <row r="1245">
      <c r="A1245" s="7" t="n">
        <v>63720</v>
      </c>
      <c r="B1245" s="7" t="n">
        <v>978791</v>
      </c>
      <c r="C1245" s="7" t="n">
        <v>2002186288</v>
      </c>
      <c r="D1245" s="7" t="n">
        <v>208412</v>
      </c>
      <c r="E1245" s="8" t="n">
        <v>43265</v>
      </c>
      <c r="F1245" s="7" t="n">
        <v>0</v>
      </c>
      <c r="G1245" s="7" t="inlineStr">
        <is>
          <t>Can I usea9 by 13 baking dish.</t>
        </is>
      </c>
    </row>
    <row r="1246">
      <c r="A1246" s="7" t="n">
        <v>126206</v>
      </c>
      <c r="B1246" s="7" t="n">
        <v>452502</v>
      </c>
      <c r="C1246" s="7" t="n">
        <v>374416</v>
      </c>
      <c r="D1246" s="7" t="n">
        <v>317875</v>
      </c>
      <c r="E1246" s="8" t="n">
        <v>39684</v>
      </c>
      <c r="F1246" s="7" t="n">
        <v>4</v>
      </c>
      <c r="G1246" s="7" t="inlineStr">
        <is>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is>
      </c>
    </row>
    <row r="1247" ht="409.5" customHeight="1">
      <c r="A1247" s="7" t="n">
        <v>77621</v>
      </c>
      <c r="B1247" s="7" t="n">
        <v>834760</v>
      </c>
      <c r="C1247" s="7" t="n">
        <v>26512</v>
      </c>
      <c r="D1247" s="7" t="n">
        <v>32973</v>
      </c>
      <c r="E1247" s="8" t="n">
        <v>37581</v>
      </c>
      <c r="F1247" s="7" t="n">
        <v>5</v>
      </c>
      <c r="G1247" s="9" t="inlineStr">
        <is>
          <t xml:space="preserve">This recipe is so easy, down-right delicious and cold-weather comforting. My husband would choose these with a side of mashed potatoes over a good steak dinner! Matter of fact, just hand him a straw and he might drink the gravy!_x000D_
Very pleasing to the tummy and outstanding on the wallet! </t>
        </is>
      </c>
    </row>
    <row r="1248" ht="409.5" customHeight="1">
      <c r="A1248" s="7" t="n">
        <v>11365</v>
      </c>
      <c r="B1248" s="7" t="n">
        <v>237712</v>
      </c>
      <c r="C1248" s="7" t="n">
        <v>1362682</v>
      </c>
      <c r="D1248" s="7" t="n">
        <v>7556</v>
      </c>
      <c r="E1248" s="8" t="n">
        <v>40359</v>
      </c>
      <c r="F1248" s="7" t="n">
        <v>5</v>
      </c>
      <c r="G1248" s="9" t="inlineStr">
        <is>
          <t>This pie is absolutely delicious. My whole family devoured it, and my 4 year old was thrilled that it was easy enough for her to help out!
My only wish is that the strawberry measurement had been in pounds. It could have saved me some time. (I researched online and the answer to "how many pounds to make 3 pints" was either 1.5, 2, or 3 depending on which site I read! I ended up using 2.)</t>
        </is>
      </c>
    </row>
    <row r="1249">
      <c r="A1249" s="7" t="n">
        <v>106046</v>
      </c>
      <c r="B1249" s="7" t="n">
        <v>47241</v>
      </c>
      <c r="C1249" s="7" t="n">
        <v>297076</v>
      </c>
      <c r="D1249" s="7" t="n">
        <v>54980</v>
      </c>
      <c r="E1249" s="8" t="n">
        <v>39121</v>
      </c>
      <c r="F1249" s="7" t="n">
        <v>2</v>
      </c>
      <c r="G1249" s="7" t="inlineStr">
        <is>
          <t>Not all that impressed with these. The flavor was just "okay" for us. They didn't hold together at all, it was basically a smashed potato in a muffin paper :( We topped some with cheese, but it didn't matter. Not sure what happened.</t>
        </is>
      </c>
    </row>
    <row r="1250">
      <c r="A1250" s="7" t="n">
        <v>27140</v>
      </c>
      <c r="B1250" s="7" t="n">
        <v>479681</v>
      </c>
      <c r="C1250" s="7" t="n">
        <v>201427</v>
      </c>
      <c r="D1250" s="7" t="n">
        <v>91274</v>
      </c>
      <c r="E1250" s="8" t="n">
        <v>40098</v>
      </c>
      <c r="F1250" s="7" t="n">
        <v>4</v>
      </c>
      <c r="G1250" s="7" t="inlineStr">
        <is>
          <t>I used my bread machine, and skipped the soda water. I brushed the pretzels with egg white before baking, and they were devine. I ate 5 before they cooled off. Needless to say, I loved them! I always dip them in mustard, and it was fabulous.</t>
        </is>
      </c>
    </row>
    <row r="1251">
      <c r="A1251" s="7" t="n">
        <v>101455</v>
      </c>
      <c r="B1251" s="7" t="n">
        <v>81964</v>
      </c>
      <c r="C1251" s="7" t="n">
        <v>137911</v>
      </c>
      <c r="D1251" s="7" t="n">
        <v>45641</v>
      </c>
      <c r="E1251" s="8" t="n">
        <v>39380</v>
      </c>
      <c r="F1251" s="7" t="n">
        <v>4</v>
      </c>
      <c r="G1251" s="7" t="inlineStr">
        <is>
          <t>I halved the recipe for the 3 of us tonight.  I though this was a nice traditional recipe for S&amp;S chicken.  I like ketchup or tomato sauce in the sauce so I added about 1/4 of it as well.  I also marinated the chicken in some soy sauce and corn starch prior to stir frying it as it gives the chicken more flavor...I do this with a lot of stir fry recipes.   I did like that your recipe had lots of color with the red and green peppers and pineapple.  Some recipes don't include both.  Thanks for sharing.</t>
        </is>
      </c>
    </row>
    <row r="1252">
      <c r="A1252" s="7" t="n">
        <v>23867</v>
      </c>
      <c r="B1252" s="7" t="n">
        <v>224659</v>
      </c>
      <c r="C1252" s="7" t="n">
        <v>424680</v>
      </c>
      <c r="D1252" s="7" t="n">
        <v>431100</v>
      </c>
      <c r="E1252" s="8" t="n">
        <v>40504</v>
      </c>
      <c r="F1252" s="7" t="n">
        <v>5</v>
      </c>
      <c r="G1252" s="7" t="inlineStr">
        <is>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is>
      </c>
    </row>
    <row r="1253" ht="409.5" customHeight="1">
      <c r="A1253" s="7" t="n">
        <v>118258</v>
      </c>
      <c r="B1253" s="7" t="n">
        <v>816774</v>
      </c>
      <c r="C1253" s="7" t="n">
        <v>212609</v>
      </c>
      <c r="D1253" s="7" t="n">
        <v>376864</v>
      </c>
      <c r="E1253" s="8" t="n">
        <v>40124</v>
      </c>
      <c r="F1253" s="7" t="n">
        <v>5</v>
      </c>
      <c r="G1253" s="9" t="inlineStr">
        <is>
          <t>Oh wow-I echo everything that French Tart said-these are just fantastic!
These little beauties are a winner-a doddle to prepare,and wonderfully tasty!
Thanks so much for sharing-this is a real keeper!
Made for Aus/NZ recipe swap #34.</t>
        </is>
      </c>
    </row>
    <row r="1254">
      <c r="A1254" s="7" t="n">
        <v>9492</v>
      </c>
      <c r="B1254" s="7" t="n">
        <v>81341</v>
      </c>
      <c r="C1254" s="7" t="n">
        <v>195750</v>
      </c>
      <c r="D1254" s="7" t="n">
        <v>86936</v>
      </c>
      <c r="E1254" s="8" t="n">
        <v>40227</v>
      </c>
      <c r="F1254" s="7" t="n">
        <v>5</v>
      </c>
      <c r="G1254" s="7" t="inlineStr">
        <is>
          <t>Excellent.  I've made this several times and it's a favorite at our house!</t>
        </is>
      </c>
    </row>
    <row r="1255">
      <c r="A1255" s="7" t="n">
        <v>75504</v>
      </c>
      <c r="B1255" s="7" t="n">
        <v>1030930</v>
      </c>
      <c r="C1255" s="7" t="n">
        <v>73988</v>
      </c>
      <c r="D1255" s="7" t="n">
        <v>107356</v>
      </c>
      <c r="E1255" s="8" t="n">
        <v>39580</v>
      </c>
      <c r="F1255" s="7" t="n">
        <v>5</v>
      </c>
      <c r="G1255" s="7" t="inlineStr">
        <is>
          <t>This was surprisingly good - flavorful and moist!  We marinated the pork loin about a day and a half, then grilled as directed.  We only cooked to about 140* and let "carryover heat" finish the job -- yum!  :)  We diced leftovers and used in fried rice -- again, perfect!  Thank you for a wonderfully flavorful alternative for lean, inexpensive pork loin.</t>
        </is>
      </c>
    </row>
    <row r="1256">
      <c r="A1256" t="n">
        <v>100060</v>
      </c>
      <c r="B1256" t="n">
        <v>305475</v>
      </c>
      <c r="C1256" t="n">
        <v>470351</v>
      </c>
      <c r="D1256" t="n">
        <v>389419</v>
      </c>
      <c r="E1256" s="1" t="n">
        <v>40356</v>
      </c>
      <c r="F1256" t="n">
        <v>0</v>
      </c>
      <c r="G1256" t="inlineStr">
        <is>
          <t>This was phenomenal!  I even forgot the cilantro and didn't care a bit.  Perfect!  I used a super spicy salsa...which didn't make my kids happy.  I increased the garlic and increased the green chili's.  But oh so easy and oh so tasty.  An easy go-to for any mexican fare.  Definite repeater for us.</t>
        </is>
      </c>
    </row>
    <row r="1257">
      <c r="A1257" s="7" t="n">
        <v>74262</v>
      </c>
      <c r="B1257" s="7" t="n">
        <v>67877</v>
      </c>
      <c r="C1257" s="7" t="n">
        <v>168771</v>
      </c>
      <c r="D1257" s="7" t="n">
        <v>341506</v>
      </c>
      <c r="E1257" s="8" t="n">
        <v>41224</v>
      </c>
      <c r="F1257" s="7" t="n">
        <v>0</v>
      </c>
      <c r="G1257" s="7" t="inlineStr">
        <is>
          <t>Excellent!!  I used pepparoni, mushrooms in addition to the cheese. I often make homemade pizza for the family....this way, I can eat pizza too, without all the carbs.&lt;br/&gt;&lt;br/&gt;Red</t>
        </is>
      </c>
    </row>
    <row r="1258" ht="409.5" customHeight="1">
      <c r="A1258" s="7" t="n">
        <v>31936</v>
      </c>
      <c r="B1258" s="7" t="n">
        <v>829697</v>
      </c>
      <c r="C1258" s="7" t="n">
        <v>183098</v>
      </c>
      <c r="D1258" s="7" t="n">
        <v>48494</v>
      </c>
      <c r="E1258" s="8" t="n">
        <v>38411</v>
      </c>
      <c r="F1258" s="7" t="n">
        <v>5</v>
      </c>
      <c r="G1258" s="9" t="inlineStr">
        <is>
          <t xml:space="preserve">These were really good. I did use the shredded "Simply Potatoes" which are in the refrigerator section of the grocery store. I was too lazy to shred them myself. My only criticism is that you did not specify a suggested amount of salt, so for fear of over-salting, I did not add quite enough. But at least I know for next time. Thank you for providing a "healthy" latke recipe!_x000D_
--Marla, AZ </t>
        </is>
      </c>
    </row>
    <row r="1259">
      <c r="A1259" t="n">
        <v>60738</v>
      </c>
      <c r="B1259" t="n">
        <v>621032</v>
      </c>
      <c r="C1259" t="n">
        <v>268501</v>
      </c>
      <c r="D1259" t="n">
        <v>74629</v>
      </c>
      <c r="E1259" s="1" t="n">
        <v>41603</v>
      </c>
      <c r="F1259" t="n">
        <v>3</v>
      </c>
      <c r="G1259" t="inlineStr">
        <is>
          <t>Yes, this is easy.  However, we found that it took almost 2 hours to absorb the liquid.  And then, it was bland.  No wonder there were suggestions to add hot peppers or other things.  This recipe will not stay in the rotation, however, I will keep it because I liked the ratio of rice to lentils to liquid.  I will be using that part to make something with more flavors.</t>
        </is>
      </c>
    </row>
    <row r="1260">
      <c r="A1260" s="7" t="n">
        <v>20678</v>
      </c>
      <c r="B1260" s="7" t="n">
        <v>173375</v>
      </c>
      <c r="C1260" s="7" t="n">
        <v>140107</v>
      </c>
      <c r="D1260" s="7" t="n">
        <v>85332</v>
      </c>
      <c r="E1260" s="8" t="n">
        <v>39883</v>
      </c>
      <c r="F1260" s="7" t="n">
        <v>5</v>
      </c>
      <c r="G1260" s="7" t="inlineStr">
        <is>
          <t>This is a very good corned beef recipe. However when I went to school 60 hours was 2.5 days not 5 days, so this was about right time to brine the brisket. It is better than most corned beef that you can buy ay wally world or most stores. thanks for the recipe Evelyn</t>
        </is>
      </c>
    </row>
    <row r="1261">
      <c r="A1261" s="7" t="n">
        <v>32259</v>
      </c>
      <c r="B1261" s="7" t="n">
        <v>757796</v>
      </c>
      <c r="C1261" s="7" t="n">
        <v>66008</v>
      </c>
      <c r="D1261" s="7" t="n">
        <v>14217</v>
      </c>
      <c r="E1261" s="8" t="n">
        <v>38122</v>
      </c>
      <c r="F1261" s="7" t="n">
        <v>5</v>
      </c>
      <c r="G1261" s="7" t="inlineStr">
        <is>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is>
      </c>
    </row>
    <row r="1262">
      <c r="A1262" s="7" t="n">
        <v>106457</v>
      </c>
      <c r="B1262" s="7" t="n">
        <v>288208</v>
      </c>
      <c r="C1262" s="7" t="n">
        <v>2001293871</v>
      </c>
      <c r="D1262" s="7" t="n">
        <v>4127</v>
      </c>
      <c r="E1262" s="8" t="n">
        <v>42716</v>
      </c>
      <c r="F1262" s="7" t="n">
        <v>0</v>
      </c>
      <c r="G1262" s="7" t="inlineStr">
        <is>
          <t>I like this recipe pretty basic. I tweaked it!</t>
        </is>
      </c>
    </row>
    <row r="1263">
      <c r="A1263" s="7" t="n">
        <v>11982</v>
      </c>
      <c r="B1263" s="7" t="n">
        <v>125287</v>
      </c>
      <c r="C1263" s="7" t="n">
        <v>18391</v>
      </c>
      <c r="D1263" s="7" t="n">
        <v>12644</v>
      </c>
      <c r="E1263" s="8" t="n">
        <v>37193</v>
      </c>
      <c r="F1263" s="7" t="n">
        <v>5</v>
      </c>
      <c r="G1263" s="7" t="inlineStr">
        <is>
          <t>i made it without the chicken and it was still great</t>
        </is>
      </c>
    </row>
    <row r="1264">
      <c r="A1264" s="7" t="n">
        <v>102573</v>
      </c>
      <c r="B1264" s="7" t="n">
        <v>466164</v>
      </c>
      <c r="C1264" s="7" t="n">
        <v>198154</v>
      </c>
      <c r="D1264" s="7" t="n">
        <v>17118</v>
      </c>
      <c r="E1264" s="8" t="n">
        <v>41501</v>
      </c>
      <c r="F1264" s="7" t="n">
        <v>3</v>
      </c>
      <c r="G1264" s="7" t="inlineStr">
        <is>
          <t>I didn&amp;#039;t tell anyone that the eggs had cottage cheese in them. While DH and I liked them, no one else was impressed.</t>
        </is>
      </c>
    </row>
    <row r="1265">
      <c r="A1265" s="7" t="n">
        <v>98998</v>
      </c>
      <c r="B1265" s="7" t="n">
        <v>8892</v>
      </c>
      <c r="C1265" s="7" t="n">
        <v>68460</v>
      </c>
      <c r="D1265" s="7" t="n">
        <v>67113</v>
      </c>
      <c r="E1265" s="8" t="n">
        <v>37825</v>
      </c>
      <c r="F1265" s="7" t="n">
        <v>5</v>
      </c>
      <c r="G1265" s="7" t="inlineStr">
        <is>
          <t>This was absolutely outstanding!  I could only find lump crabmeat in 1 pound packages so I increased the amounts of mayo by 2 T. and added extra lemon juice, zest and cayenne.  I whisked it all together in step one and then added the green onions to that mixture before adding it to the crabmeat because I wanted to keep those lumps of meat intact.  It worked.  This was delicious and we'll be doing again soon...I'd like to try it with lobster, or maybe even shrimp.  DO NOT skip grilling the bread, it really adds to this sandwich.  Thanks chia!</t>
        </is>
      </c>
    </row>
    <row r="1266">
      <c r="A1266" s="7" t="n">
        <v>68642</v>
      </c>
      <c r="B1266" s="7" t="n">
        <v>612044</v>
      </c>
      <c r="C1266" s="7" t="n">
        <v>2002070791</v>
      </c>
      <c r="D1266" s="7" t="n">
        <v>238994</v>
      </c>
      <c r="E1266" s="8" t="n">
        <v>43182</v>
      </c>
      <c r="F1266" s="7" t="n">
        <v>0</v>
      </c>
      <c r="G1266" s="7" t="inlineStr">
        <is>
          <t>Is this recipe with frozen crab leg or thawed. Do you need water in bottom of pan in oven</t>
        </is>
      </c>
    </row>
    <row r="1267">
      <c r="A1267" s="7" t="n">
        <v>109796</v>
      </c>
      <c r="B1267" s="7" t="n">
        <v>934952</v>
      </c>
      <c r="C1267" s="7" t="n">
        <v>455641</v>
      </c>
      <c r="D1267" s="7" t="n">
        <v>318425</v>
      </c>
      <c r="E1267" s="8" t="n">
        <v>39687</v>
      </c>
      <c r="F1267" s="7" t="n">
        <v>4</v>
      </c>
      <c r="G1267" s="7" t="inlineStr">
        <is>
          <t>This was a good crisp, although we would have prefered it a tad sweeter. I used a mix of nectarines, peaches and cherries, and it made a great combo. I also subbed nutmeg for the cardamom and added some chopped walnuts to the topping. Thanks for a great recipe!</t>
        </is>
      </c>
    </row>
    <row r="1268">
      <c r="A1268" s="7" t="n">
        <v>119304</v>
      </c>
      <c r="B1268" s="7" t="n">
        <v>450939</v>
      </c>
      <c r="C1268" s="7" t="n">
        <v>347822</v>
      </c>
      <c r="D1268" s="7" t="n">
        <v>344752</v>
      </c>
      <c r="E1268" s="8" t="n">
        <v>40145</v>
      </c>
      <c r="F1268" s="7" t="n">
        <v>5</v>
      </c>
      <c r="G1268" s="7" t="inlineStr">
        <is>
          <t>Easy and tasteful dish!!! The night before, I took the puff pastry package and placed it in the fridge. The following day, it was ready to go and ready in 45 mins (prep - 20, baked 25 mins).</t>
        </is>
      </c>
    </row>
    <row r="1269">
      <c r="A1269" s="7" t="n">
        <v>54821</v>
      </c>
      <c r="B1269" s="7" t="n">
        <v>210304</v>
      </c>
      <c r="C1269" s="7" t="n">
        <v>145626</v>
      </c>
      <c r="D1269" s="7" t="n">
        <v>65121</v>
      </c>
      <c r="E1269" s="8" t="n">
        <v>38940</v>
      </c>
      <c r="F1269" s="7" t="n">
        <v>5</v>
      </c>
      <c r="G1269" s="7" t="inlineStr">
        <is>
          <t>We love this so much - we have made it many times already.  Its one of those summer staples, definitly a keeper.  I have used bread crumb topping and ritz topping and love it either way.</t>
        </is>
      </c>
    </row>
    <row r="1270">
      <c r="A1270" s="7" t="n">
        <v>66947</v>
      </c>
      <c r="B1270" s="7" t="n">
        <v>941178</v>
      </c>
      <c r="C1270" s="7" t="n">
        <v>30407</v>
      </c>
      <c r="D1270" s="7" t="n">
        <v>73792</v>
      </c>
      <c r="E1270" s="8" t="n">
        <v>41548</v>
      </c>
      <c r="F1270" s="7" t="n">
        <v>0</v>
      </c>
      <c r="G1270" s="7" t="inlineStr">
        <is>
          <t>OMG, I can&amp;#039;t believe I have never reviewed this recipe. I must have copied it years ago and the name changed. But I have been using this recipe a couple years now. Not only have I done apples but I also did pears last year, both yummy. To season the apples I put them on the trays and sprinkle the spice on by hand with big pinches at a time. I usually need 3 times the recipe for 1 load in the dehydrator.</t>
        </is>
      </c>
    </row>
    <row r="1271">
      <c r="A1271" s="7" t="n">
        <v>57310</v>
      </c>
      <c r="B1271" s="7" t="n">
        <v>714638</v>
      </c>
      <c r="C1271" s="7" t="n">
        <v>222564</v>
      </c>
      <c r="D1271" s="7" t="n">
        <v>331846</v>
      </c>
      <c r="E1271" s="8" t="n">
        <v>43182</v>
      </c>
      <c r="F1271" s="7" t="n">
        <v>5</v>
      </c>
      <c r="G1271" s="7" t="inlineStr">
        <is>
          <t>Very yummy and surprising with the ginger. I used fresh, minced ginger, since it gets boiled with sugar and the cranberries, anyway. No difference in the end result. I also doubled the topping and added some salt to it. Very nice with ice-cream!</t>
        </is>
      </c>
    </row>
    <row r="1272">
      <c r="A1272" s="7" t="n">
        <v>27141</v>
      </c>
      <c r="B1272" s="7" t="n">
        <v>541350</v>
      </c>
      <c r="C1272" s="7" t="n">
        <v>380466</v>
      </c>
      <c r="D1272" s="7" t="n">
        <v>41681</v>
      </c>
      <c r="E1272" s="8" t="n">
        <v>39118</v>
      </c>
      <c r="F1272" s="7" t="n">
        <v>5</v>
      </c>
      <c r="G1272" s="7" t="inlineStr">
        <is>
          <t>I made these for the Super Bowl. My family enjoyed these and I will be making these again! Thank you for posting this recipe!</t>
        </is>
      </c>
    </row>
    <row r="1273">
      <c r="A1273" s="7" t="n">
        <v>72481</v>
      </c>
      <c r="B1273" s="7" t="n">
        <v>389220</v>
      </c>
      <c r="C1273" s="7" t="n">
        <v>1682517</v>
      </c>
      <c r="D1273" s="7" t="n">
        <v>166905</v>
      </c>
      <c r="E1273" s="8" t="n">
        <v>40433</v>
      </c>
      <c r="F1273" s="7" t="n">
        <v>0</v>
      </c>
      <c r="G1273" s="7" t="inlineStr">
        <is>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is>
      </c>
    </row>
    <row r="1274">
      <c r="A1274" s="7" t="n">
        <v>45892</v>
      </c>
      <c r="B1274" s="7" t="n">
        <v>502294</v>
      </c>
      <c r="C1274" s="7" t="n">
        <v>275326</v>
      </c>
      <c r="D1274" s="7" t="n">
        <v>225417</v>
      </c>
      <c r="E1274" s="8" t="n">
        <v>41003</v>
      </c>
      <c r="F1274" s="7" t="n">
        <v>5</v>
      </c>
      <c r="G1274" s="7" t="inlineStr">
        <is>
          <t>These bake perfectly and stay moist for days.  I bake them 12 mins, which is not over cooked.  The suggestion to cool on the pan 1 min before removing to the cooling rack worked really well.  Still, they were a little too sweet, so next time I will cut back on the white sugar.  I used a food processor to grind 1/2 the old-fashioned oats which I think made a chewier cookie.  Also, substitute applesauce for 1/2 butter, and add ground flax seed.  Really good.</t>
        </is>
      </c>
    </row>
    <row r="1275">
      <c r="A1275" s="7" t="n">
        <v>94399</v>
      </c>
      <c r="B1275" s="7" t="n">
        <v>347996</v>
      </c>
      <c r="C1275" s="7" t="n">
        <v>4439</v>
      </c>
      <c r="D1275" s="7" t="n">
        <v>44133</v>
      </c>
      <c r="E1275" s="8" t="n">
        <v>39589</v>
      </c>
      <c r="F1275" s="7" t="n">
        <v>5</v>
      </c>
      <c r="G1275" s="7" t="inlineStr">
        <is>
          <t>Well, this is the best macaroni salad ever!!! I just threw all of my old recipes away. I cut this in half and it still made a ton of incredible salad. I used whole wheat macaroni and low fat cheese and no one knew. Piggy noises all around.</t>
        </is>
      </c>
    </row>
    <row r="1276">
      <c r="A1276" s="7" t="n">
        <v>16267</v>
      </c>
      <c r="B1276" s="7" t="n">
        <v>486430</v>
      </c>
      <c r="C1276" s="7" t="n">
        <v>487464</v>
      </c>
      <c r="D1276" s="7" t="n">
        <v>59000</v>
      </c>
      <c r="E1276" s="8" t="n">
        <v>40022</v>
      </c>
      <c r="F1276" s="7" t="n">
        <v>5</v>
      </c>
      <c r="G1276" s="7" t="inlineStr">
        <is>
          <t>Yum!!  They're still cooling, but I stole a piece to see if I needed to put them in longer (at least that's the excuse I'm using), and this recipe is delicious!  I cooked them for 25 minutes, because they started to brown quickly on the sides, and this made a very moist "cake-like" texture.  Thanks for a great, tasty way to use up my too-ripe bananas :)</t>
        </is>
      </c>
    </row>
    <row r="1277">
      <c r="A1277" s="7" t="n">
        <v>94641</v>
      </c>
      <c r="B1277" s="7" t="n">
        <v>1093551</v>
      </c>
      <c r="C1277" s="7" t="n">
        <v>53932</v>
      </c>
      <c r="D1277" s="7" t="n">
        <v>227975</v>
      </c>
      <c r="E1277" s="8" t="n">
        <v>39525</v>
      </c>
      <c r="F1277" s="7" t="n">
        <v>5</v>
      </c>
      <c r="G1277" s="7" t="inlineStr">
        <is>
          <t>This was so deliciously rich.  I used a gorgonzola dolce and the sauce was thick enough that I didn't need to add cream.  There was also sufficient salt in the gorgonzola, so didn't need to add more salt either.</t>
        </is>
      </c>
    </row>
    <row r="1278">
      <c r="A1278" s="7" t="n">
        <v>105677</v>
      </c>
      <c r="B1278" s="7" t="n">
        <v>558755</v>
      </c>
      <c r="C1278" s="7" t="n">
        <v>831285</v>
      </c>
      <c r="D1278" s="7" t="n">
        <v>357097</v>
      </c>
      <c r="E1278" s="8" t="n">
        <v>41437</v>
      </c>
      <c r="F1278" s="7" t="n">
        <v>5</v>
      </c>
      <c r="G1278" s="7" t="inlineStr">
        <is>
          <t>I enjoyed this soup.  Very tasty.  I doubled it because I had 2 head of cauliflower to use.  I doubled everything except the salt and water (left those as the single recipe amounts).  I didn&amp;#039;t bother with the cheese garnish to keep the fat and calories down (I used 3 cups for the double recipe).  I also left out the red pepper flakes because I&amp;#039;m not fond of spicy things, but suspect that would have been nice for those so inclined.  I used skim milk and the result was nice and creamy, although the texture was a bit course because I used an immersion blender.  Using a blender likely would have resulted in a smoother soup and added to the sense of richness.  The mustard added a really nice flavour.   I&amp;#039;d certainly make this again.</t>
        </is>
      </c>
    </row>
    <row r="1279">
      <c r="A1279" s="7" t="n">
        <v>106088</v>
      </c>
      <c r="B1279" s="7" t="n">
        <v>1002082</v>
      </c>
      <c r="C1279" s="7" t="n">
        <v>95743</v>
      </c>
      <c r="D1279" s="7" t="n">
        <v>19187</v>
      </c>
      <c r="E1279" s="8" t="n">
        <v>39462</v>
      </c>
      <c r="F1279" s="7" t="n">
        <v>5</v>
      </c>
      <c r="G1279" s="7" t="inlineStr">
        <is>
          <t>Lots of flavor from a few simple ingredients.  I subbed turkey for the beef and pork.  Keeper recipe, JoAnn.</t>
        </is>
      </c>
    </row>
    <row r="1280">
      <c r="A1280" s="7" t="n">
        <v>96334</v>
      </c>
      <c r="B1280" s="7" t="n">
        <v>747642</v>
      </c>
      <c r="C1280" s="7" t="n">
        <v>25319</v>
      </c>
      <c r="D1280" s="7" t="n">
        <v>49200</v>
      </c>
      <c r="E1280" s="8" t="n">
        <v>38112</v>
      </c>
      <c r="F1280" s="7" t="n">
        <v>5</v>
      </c>
      <c r="G1280" s="7" t="inlineStr">
        <is>
          <t xml:space="preserve">These are so yummy!! I love homemade fries but I don't like deep frying so these were perfect! </t>
        </is>
      </c>
    </row>
    <row r="1281">
      <c r="A1281" s="7" t="n">
        <v>121004</v>
      </c>
      <c r="B1281" s="7" t="n">
        <v>54123</v>
      </c>
      <c r="C1281" s="7" t="n">
        <v>482376</v>
      </c>
      <c r="D1281" s="7" t="n">
        <v>179575</v>
      </c>
      <c r="E1281" s="8" t="n">
        <v>40479</v>
      </c>
      <c r="F1281" s="7" t="n">
        <v>5</v>
      </c>
      <c r="G1281" s="7" t="inlineStr">
        <is>
          <t>Great way to get a complete meal easily. The chicken did brown up nicely and there was very tender. Great flavors complementing one another. Thank you!</t>
        </is>
      </c>
    </row>
    <row r="1282">
      <c r="A1282" s="7" t="n">
        <v>68102</v>
      </c>
      <c r="B1282" s="7" t="n">
        <v>711102</v>
      </c>
      <c r="C1282" s="7" t="n">
        <v>67656</v>
      </c>
      <c r="D1282" s="7" t="n">
        <v>205840</v>
      </c>
      <c r="E1282" s="8" t="n">
        <v>39692</v>
      </c>
      <c r="F1282" s="7" t="n">
        <v>5</v>
      </c>
      <c r="G1282" s="7" t="inlineStr">
        <is>
          <t>I made this recipe using boneless chicken breasts and used them atop a hearty dinner salad.  With the combination of hot sauce in the buttermilk and the seasoned coating these offered a tasty zip to the dish.  Admittedly, I was generous with the hot sauce and added a 1/4 teaspoon of garlic powder to coat.  Since my chicken pieces were quite small I reduced the total cooking time to 16 minutes.  Thanks Redsie.</t>
        </is>
      </c>
    </row>
    <row r="1283">
      <c r="A1283" s="7" t="n">
        <v>80253</v>
      </c>
      <c r="B1283" s="7" t="n">
        <v>887736</v>
      </c>
      <c r="C1283" s="7" t="n">
        <v>2001290243</v>
      </c>
      <c r="D1283" s="7" t="n">
        <v>518202</v>
      </c>
      <c r="E1283" s="8" t="n">
        <v>42714</v>
      </c>
      <c r="F1283" s="7" t="n">
        <v>5</v>
      </c>
      <c r="G1283" s="7" t="inlineStr">
        <is>
          <t>How to poach an eggs-How To Easily Poach an Egg https://www.youtube.com/watch?v=Ng8X8-BXauY</t>
        </is>
      </c>
    </row>
    <row r="1284">
      <c r="A1284" s="7" t="n">
        <v>126649</v>
      </c>
      <c r="B1284" s="7" t="n">
        <v>414759</v>
      </c>
      <c r="C1284" s="7" t="n">
        <v>95743</v>
      </c>
      <c r="D1284" s="7" t="n">
        <v>69045</v>
      </c>
      <c r="E1284" s="8" t="n">
        <v>38030</v>
      </c>
      <c r="F1284" s="7" t="n">
        <v>5</v>
      </c>
      <c r="G1284" s="7" t="inlineStr">
        <is>
          <t>Tuna melt, ho-hum, right?  Wrong!  This is one great sandwich.  Don't skip the walnuts.  They absolutely make the sandwich. Thank you, Nurse Di.</t>
        </is>
      </c>
    </row>
    <row r="1285" ht="409.5" customHeight="1">
      <c r="A1285" s="7" t="n">
        <v>72627</v>
      </c>
      <c r="B1285" s="7" t="n">
        <v>110299</v>
      </c>
      <c r="C1285" s="7" t="n">
        <v>59608</v>
      </c>
      <c r="D1285" s="7" t="n">
        <v>46098</v>
      </c>
      <c r="E1285" s="8" t="n">
        <v>37601</v>
      </c>
      <c r="F1285" s="7" t="n">
        <v>5</v>
      </c>
      <c r="G1285" s="9" t="inlineStr">
        <is>
          <t xml:space="preserve">Excellent and most impressive tart. I've made it twice now. It was good to be able to start a week in advance with the ginger butter and pastry._x000D_
It takes quite a while for the butter to brown (can't remember exactly but about 10 minutes at least), and the bubbles never did go away completely.  _x000D_
I used a 9 1/2" tart pan.  I overcooked my first tart (because the pears shrank away from the filling upon cooling), but the second time at 1 hour was perfect. _x000D_
The best thing about this tart, apart from the fun you have making it, and its appearance, is the really wonderful taste. _x000D_
There is a picture on the internet of this tart so you know what you are aiming for. That was really helpful too.   Next time I'm going to try this with mangoes.  </t>
        </is>
      </c>
    </row>
    <row r="1286" ht="409.5" customHeight="1">
      <c r="A1286" s="7" t="n">
        <v>10814</v>
      </c>
      <c r="B1286" s="7" t="n">
        <v>556715</v>
      </c>
      <c r="C1286" s="7" t="n">
        <v>814424</v>
      </c>
      <c r="D1286" s="7" t="n">
        <v>95057</v>
      </c>
      <c r="E1286" s="8" t="n">
        <v>39548</v>
      </c>
      <c r="F1286" s="7" t="n">
        <v>3</v>
      </c>
      <c r="G1286" s="9" t="inlineStr">
        <is>
          <t>The mix is not runny at all; it doesn't leak out like some cheddar cheese mixes when heated. I used hot, bulk pork sausage and pepper jack cheese (instead of shredded parmesan) and it had a very well-balanced flavor. Make sure the pork sausage is well-crumbled, defrosting the meat first if frozen for a smooth filling.
On the hotness scale my family votes one hot, one moderate.</t>
        </is>
      </c>
    </row>
    <row r="1287">
      <c r="A1287" s="7" t="n">
        <v>102086</v>
      </c>
      <c r="B1287" s="7" t="n">
        <v>433299</v>
      </c>
      <c r="C1287" s="7" t="n">
        <v>1436075</v>
      </c>
      <c r="D1287" s="7" t="n">
        <v>73679</v>
      </c>
      <c r="E1287" s="8" t="n">
        <v>40838</v>
      </c>
      <c r="F1287" s="7" t="n">
        <v>5</v>
      </c>
      <c r="G1287" s="7" t="inlineStr">
        <is>
          <t>I really enjoyed this. Ate it straight with no rice but I look forward to trying it again with some rice. It was very flavorful and seemed pretty healthy! Didn't use the cilantro or parsley, and my husband threw in bottled lemon juice before I could remind him we had a fresh lemon, but still tasted wonderful in the end.</t>
        </is>
      </c>
    </row>
    <row r="1288">
      <c r="A1288" s="7" t="n">
        <v>16854</v>
      </c>
      <c r="B1288" s="7" t="n">
        <v>189876</v>
      </c>
      <c r="C1288" s="7" t="n">
        <v>29291</v>
      </c>
      <c r="D1288" s="7" t="n">
        <v>17524</v>
      </c>
      <c r="E1288" s="8" t="n">
        <v>37339</v>
      </c>
      <c r="F1288" s="7" t="n">
        <v>5</v>
      </c>
      <c r="G1288" s="7" t="inlineStr">
        <is>
          <t>Boy oh boy!!! This was so tasty and so easy. I used frozen corn and I didn't have a mushroom soup so I substituted the mushroom soup with the same amount of chicken stock (broth), and covered it for the first 40 mins with aluminium foil.It cooked beautifully and the smell was delicious. This will definitely be a regular for us. Thanks for posting this.</t>
        </is>
      </c>
    </row>
    <row r="1289">
      <c r="A1289" s="7" t="n">
        <v>70517</v>
      </c>
      <c r="B1289" s="7" t="n">
        <v>536550</v>
      </c>
      <c r="C1289" s="7" t="n">
        <v>68904</v>
      </c>
      <c r="D1289" s="7" t="n">
        <v>216575</v>
      </c>
      <c r="E1289" s="8" t="n">
        <v>39278</v>
      </c>
      <c r="F1289" s="7" t="n">
        <v>4</v>
      </c>
      <c r="G1289" s="7" t="inlineStr">
        <is>
          <t>I used jasmine rice and scallions instead of onions because that's all I had but other than that, I followed the recipe and it was delicious! Thanks for posting!</t>
        </is>
      </c>
    </row>
    <row r="1290">
      <c r="A1290" s="7" t="n">
        <v>77005</v>
      </c>
      <c r="B1290" s="7" t="n">
        <v>1034496</v>
      </c>
      <c r="C1290" s="7" t="n">
        <v>1803282638</v>
      </c>
      <c r="D1290" s="7" t="n">
        <v>133604</v>
      </c>
      <c r="E1290" s="8" t="n">
        <v>41942</v>
      </c>
      <c r="F1290" s="7" t="n">
        <v>0</v>
      </c>
      <c r="G1290" s="7" t="inlineStr">
        <is>
          <t>I worked at this restaurant and its missing cheddar cheese (shredded)</t>
        </is>
      </c>
    </row>
    <row r="1291">
      <c r="A1291" s="7" t="n">
        <v>112227</v>
      </c>
      <c r="B1291" s="7" t="n">
        <v>455714</v>
      </c>
      <c r="C1291" s="7" t="n">
        <v>683666</v>
      </c>
      <c r="D1291" s="7" t="n">
        <v>112555</v>
      </c>
      <c r="E1291" s="8" t="n">
        <v>40359</v>
      </c>
      <c r="F1291" s="7" t="n">
        <v>5</v>
      </c>
      <c r="G1291" s="7" t="inlineStr">
        <is>
          <t>Yum!! I used canned sliced pineapple  and a little less olive oil than 1 tablespoon, and I thought this was delicious! Will definitely make again; Thanks!</t>
        </is>
      </c>
    </row>
    <row r="1292">
      <c r="A1292" s="7" t="n">
        <v>46215</v>
      </c>
      <c r="B1292" s="7" t="n">
        <v>102784</v>
      </c>
      <c r="C1292" s="7" t="n">
        <v>102937</v>
      </c>
      <c r="D1292" s="7" t="n">
        <v>2665</v>
      </c>
      <c r="E1292" s="8" t="n">
        <v>37900</v>
      </c>
      <c r="F1292" s="7" t="n">
        <v>5</v>
      </c>
      <c r="G1292" s="7" t="inlineStr">
        <is>
          <t>I made this for a dinner party tonight, it was so easy and so impressive looking!  Of course, it was also delicious!  All my guests loved it.  Thank you for a wonderful recipe!</t>
        </is>
      </c>
    </row>
    <row r="1293">
      <c r="A1293" s="7" t="n">
        <v>50960</v>
      </c>
      <c r="B1293" s="7" t="n">
        <v>134805</v>
      </c>
      <c r="C1293" s="7" t="n">
        <v>357596</v>
      </c>
      <c r="D1293" s="7" t="n">
        <v>98846</v>
      </c>
      <c r="E1293" s="8" t="n">
        <v>38992</v>
      </c>
      <c r="F1293" s="7" t="n">
        <v>5</v>
      </c>
      <c r="G1293" s="7" t="inlineStr">
        <is>
          <t>Great recipe!  Goes together in a hurry and you can't even tell its low fat, perfect for my hectic college lifestyle.  I didn't have breadcrumbs, so I used a cheesegrater on a couple heel slices of frozen whole wheat bread and it worked out just fine.  I also didn't have any italian seasoning, so I just threw in some garlic powder, oregano, basil, reduced fat parmesan cheese powder, and black pepper instead.  Will become a regular item on my menu, Thanks!  (:</t>
        </is>
      </c>
    </row>
    <row r="1294">
      <c r="A1294" s="7" t="n">
        <v>12368</v>
      </c>
      <c r="B1294" s="7" t="n">
        <v>1099915</v>
      </c>
      <c r="C1294" s="7" t="n">
        <v>37449</v>
      </c>
      <c r="D1294" s="7" t="n">
        <v>97699</v>
      </c>
      <c r="E1294" s="8" t="n">
        <v>38221</v>
      </c>
      <c r="F1294" s="7" t="n">
        <v>5</v>
      </c>
      <c r="G1294" s="7" t="inlineStr">
        <is>
          <t>This was so easy to make and so good! My husband had this with leftover chicken over spagetti. I roasted some squash, onions and tomatoes and served over spagetti with the sauce. Delicious! Thank you for a quick sauce that I will make often!</t>
        </is>
      </c>
    </row>
    <row r="1295">
      <c r="A1295" s="7" t="n">
        <v>115115</v>
      </c>
      <c r="B1295" s="7" t="n">
        <v>278423</v>
      </c>
      <c r="C1295" s="7" t="n">
        <v>205750</v>
      </c>
      <c r="D1295" s="7" t="n">
        <v>104062</v>
      </c>
      <c r="E1295" s="8" t="n">
        <v>38844</v>
      </c>
      <c r="F1295" s="7" t="n">
        <v>5</v>
      </c>
      <c r="G1295" s="7" t="inlineStr">
        <is>
          <t>This cake has everything a basic cake should have. It is moist(we didn't need to butter the slices), not too sweet or rich and it is so very easy to make! We loved it and will definitely make again. Thanks Jan.</t>
        </is>
      </c>
    </row>
    <row r="1296">
      <c r="A1296" s="7" t="n">
        <v>15033</v>
      </c>
      <c r="B1296" s="7" t="n">
        <v>328090</v>
      </c>
      <c r="C1296" s="7" t="n">
        <v>174096</v>
      </c>
      <c r="D1296" s="7" t="n">
        <v>391677</v>
      </c>
      <c r="E1296" s="8" t="n">
        <v>40283</v>
      </c>
      <c r="F1296" s="7" t="n">
        <v>5</v>
      </c>
      <c r="G1296" s="7" t="inlineStr">
        <is>
          <t>Very interesting and tasty blend of flavors!  I omitted the salt (personal preference) and minced a garlic clove for the halved recipe I made.  I tried it immediately after making it, and then again after letting it sit overnight.  The flavors really intensify and come together with the time to meld overnight.  Thanks for sharing!  ~PAC Spring '10~</t>
        </is>
      </c>
    </row>
    <row r="1297">
      <c r="A1297" s="7" t="n">
        <v>122408</v>
      </c>
      <c r="B1297" s="7" t="n">
        <v>494142</v>
      </c>
      <c r="C1297" s="7" t="n">
        <v>139350</v>
      </c>
      <c r="D1297" s="7" t="n">
        <v>29251</v>
      </c>
      <c r="E1297" s="8" t="n">
        <v>39218</v>
      </c>
      <c r="F1297" s="7" t="n">
        <v>5</v>
      </c>
      <c r="G1297" s="7" t="inlineStr">
        <is>
          <t>Fabulous!  The only changes I made were to use regular chili powder (I don't have ancho chile powder) and I added 1/4 c. of minced fresh onion to both the meat mixture and the cream cheese mixture instead of the onion flakes. Since I only used 1 lb. of ground beef there was plenty of cream cheese mixture left over. It was delicious spread on the hamburger buns.  We topped our burgers with lettuce, tomato and ranch dressing.  We'll definitely be making these again this summer!</t>
        </is>
      </c>
    </row>
    <row r="1298">
      <c r="A1298" s="7" t="n">
        <v>105643</v>
      </c>
      <c r="B1298" s="7" t="n">
        <v>669192</v>
      </c>
      <c r="C1298" s="7" t="n">
        <v>184530</v>
      </c>
      <c r="D1298" s="7" t="n">
        <v>245119</v>
      </c>
      <c r="E1298" s="8" t="n">
        <v>39420</v>
      </c>
      <c r="F1298" s="7" t="n">
        <v>5</v>
      </c>
      <c r="G1298" s="7" t="inlineStr">
        <is>
          <t>Don't let the list of simple ingredients fool you, this dish is incredibly tasty. I used red onion and vine-ripened tomatoes, cut back the chilli powder to half a tsp (the one I use is very hot), the full amount of turmeric and a generous amount of freshly ground sea salt.  The tomatoes I used could probably have done with another half day's ripening, so I added 1/3 tsp of sugar.  The sauce was amazing.  5 plus!</t>
        </is>
      </c>
    </row>
    <row r="1299">
      <c r="A1299" s="7" t="n">
        <v>82999</v>
      </c>
      <c r="B1299" s="7" t="n">
        <v>934466</v>
      </c>
      <c r="C1299" s="7" t="n">
        <v>95743</v>
      </c>
      <c r="D1299" s="7" t="n">
        <v>150081</v>
      </c>
      <c r="E1299" s="8" t="n">
        <v>38723</v>
      </c>
      <c r="F1299" s="7" t="n">
        <v>5</v>
      </c>
      <c r="G1299" s="7" t="inlineStr">
        <is>
          <t>I wanted to conserve all the juices possible so I did not remove the foil during roasting.  I had some high quality balsmaic and mmmmm, this was goooood.</t>
        </is>
      </c>
    </row>
    <row r="1300">
      <c r="A1300" s="7" t="n">
        <v>92742</v>
      </c>
      <c r="B1300" s="7" t="n">
        <v>159431</v>
      </c>
      <c r="C1300" s="7" t="n">
        <v>992845</v>
      </c>
      <c r="D1300" s="7" t="n">
        <v>251840</v>
      </c>
      <c r="E1300" s="8" t="n">
        <v>41070</v>
      </c>
      <c r="F1300" s="7" t="n">
        <v>5</v>
      </c>
      <c r="G1300" s="7" t="inlineStr">
        <is>
          <t>I have never made a successful yeast pizza crust, until last night! I used whole-wheat flour, and it was easy to roll and had a great flavor! Thank you!</t>
        </is>
      </c>
    </row>
    <row r="1301">
      <c r="A1301" s="7" t="n">
        <v>22272</v>
      </c>
      <c r="B1301" s="7" t="n">
        <v>575826</v>
      </c>
      <c r="C1301" s="7" t="n">
        <v>841753</v>
      </c>
      <c r="D1301" s="7" t="n">
        <v>15242</v>
      </c>
      <c r="E1301" s="8" t="n">
        <v>39588</v>
      </c>
      <c r="F1301" s="7" t="n">
        <v>5</v>
      </c>
      <c r="G1301" s="7" t="inlineStr">
        <is>
          <t>My Wife loves this recipe! I made it for a small potluck and it was the first dish to be emptied. Awesome stuff!!</t>
        </is>
      </c>
    </row>
    <row r="1302">
      <c r="A1302" s="7" t="n">
        <v>60031</v>
      </c>
      <c r="B1302" s="7" t="n">
        <v>368037</v>
      </c>
      <c r="C1302" s="7" t="n">
        <v>305531</v>
      </c>
      <c r="D1302" s="7" t="n">
        <v>149164</v>
      </c>
      <c r="E1302" s="8" t="n">
        <v>41207</v>
      </c>
      <c r="F1302" s="7" t="n">
        <v>5</v>
      </c>
      <c r="G1302" s="7" t="inlineStr">
        <is>
          <t>So simple and good. I haven't used Velveeta for a long time and it was a nice change of pace for us. My grandson gobbled this up. Thanks for sharing a nice dish firefly68. Made for Fall PAC 2012.</t>
        </is>
      </c>
    </row>
    <row r="1303">
      <c r="A1303" s="7" t="n">
        <v>864</v>
      </c>
      <c r="B1303" s="7" t="n">
        <v>1046264</v>
      </c>
      <c r="C1303" s="7" t="n">
        <v>427214</v>
      </c>
      <c r="D1303" s="7" t="n">
        <v>104393</v>
      </c>
      <c r="E1303" s="8" t="n">
        <v>39420</v>
      </c>
      <c r="F1303" s="7" t="n">
        <v>5</v>
      </c>
      <c r="G1303" s="7" t="inlineStr">
        <is>
          <t>Fantastic and versatile dish!  My whole family loved it.  I made it once for a party and omitted the tomatoes and added chicken broth instead and it was also a hit.  People couldn't believe it wasn't from a restaurant.  It is yummy.</t>
        </is>
      </c>
    </row>
    <row r="1304">
      <c r="A1304" s="7" t="n">
        <v>22162</v>
      </c>
      <c r="B1304" s="7" t="n">
        <v>288308</v>
      </c>
      <c r="C1304" s="7" t="n">
        <v>749244</v>
      </c>
      <c r="D1304" s="7" t="n">
        <v>260838</v>
      </c>
      <c r="E1304" s="8" t="n">
        <v>40628</v>
      </c>
      <c r="F1304" s="7" t="n">
        <v>4</v>
      </c>
      <c r="G1304" s="7" t="inlineStr">
        <is>
          <t>This really was good! I found it a month or so ago with a coupon for Carnation milk attached so when I cut the coupon I cut the recipe too. I've been carrying it around with me since then and I found it while I was shopping so I bought the ingredients and made it tonight. &lt;br/&gt;&lt;br/&gt;I used hamburger instead of chicken because I already had it cooked, everything else was the same. (Next time I'll use chicken) It was really good! It will defiantly be in my rotation.</t>
        </is>
      </c>
    </row>
    <row r="1305">
      <c r="A1305" s="7" t="n">
        <v>107803</v>
      </c>
      <c r="B1305" s="7" t="n">
        <v>581107</v>
      </c>
      <c r="C1305" s="7" t="n">
        <v>162826</v>
      </c>
      <c r="D1305" s="7" t="n">
        <v>53909</v>
      </c>
      <c r="E1305" s="8" t="n">
        <v>39144</v>
      </c>
      <c r="F1305" s="7" t="n">
        <v>5</v>
      </c>
      <c r="G1305" s="7" t="inlineStr">
        <is>
          <t>Add me to the five star list, Hil-Billy. This was exceptional--exceptionally easy and exceptionally delicious in a cast iron skillet. THX for posting. Caroline</t>
        </is>
      </c>
    </row>
    <row r="1306">
      <c r="A1306" s="7" t="n">
        <v>124728</v>
      </c>
      <c r="B1306" s="7" t="n">
        <v>384005</v>
      </c>
      <c r="C1306" s="7" t="n">
        <v>20754</v>
      </c>
      <c r="D1306" s="7" t="n">
        <v>138792</v>
      </c>
      <c r="E1306" s="8" t="n">
        <v>38648</v>
      </c>
      <c r="F1306" s="7" t="n">
        <v>5</v>
      </c>
      <c r="G1306" s="7" t="inlineStr">
        <is>
          <t>WOW if you love chocolate this is a must try!  Served this to my family and it was a big hit!  I did use the hot fudge.  Thanks for a wonderful impressive dessert, Rachel</t>
        </is>
      </c>
    </row>
    <row r="1307">
      <c r="A1307" s="7" t="n">
        <v>110746</v>
      </c>
      <c r="B1307" s="7" t="n">
        <v>1015824</v>
      </c>
      <c r="C1307" s="7" t="n">
        <v>677508</v>
      </c>
      <c r="D1307" s="7" t="n">
        <v>286018</v>
      </c>
      <c r="E1307" s="8" t="n">
        <v>39633</v>
      </c>
      <c r="F1307" s="7" t="n">
        <v>5</v>
      </c>
      <c r="G1307" s="7" t="inlineStr">
        <is>
          <t>Very unique recipe, but in a very good way!  Most everyone enjoyed it except those with nut allergies, who avoided it of course.  I used the spanish peanuts as recommended, but think I'll try it with honey roasted nuts the next go around.  A unique Keeper!  Made for ZWT4.</t>
        </is>
      </c>
    </row>
    <row r="1308">
      <c r="A1308" s="7" t="n">
        <v>25200</v>
      </c>
      <c r="B1308" s="7" t="n">
        <v>663627</v>
      </c>
      <c r="C1308" s="7" t="n">
        <v>158086</v>
      </c>
      <c r="D1308" s="7" t="n">
        <v>176207</v>
      </c>
      <c r="E1308" s="8" t="n">
        <v>40306</v>
      </c>
      <c r="F1308" s="7" t="n">
        <v>5</v>
      </c>
      <c r="G1308" s="7" t="inlineStr">
        <is>
          <t>Made this to sell at Willies Rear in TC.  It was a big hit with the patrons....sold out...should have taken a picture....</t>
        </is>
      </c>
    </row>
    <row r="1309">
      <c r="A1309" s="7" t="n">
        <v>86863</v>
      </c>
      <c r="B1309" s="7" t="n">
        <v>548225</v>
      </c>
      <c r="C1309" s="7" t="n">
        <v>150281</v>
      </c>
      <c r="D1309" s="7" t="n">
        <v>60572</v>
      </c>
      <c r="E1309" s="8" t="n">
        <v>38179</v>
      </c>
      <c r="F1309" s="7" t="n">
        <v>5</v>
      </c>
      <c r="G1309" s="7" t="inlineStr">
        <is>
          <t>Lovely meal. The house smelled delightful while it was cooking. I found the recipe easy and tasted great. I served it with lemon rice and Naan for a hearty yet simple meal. Only thing I did different was add a little cream at the end of step 8.</t>
        </is>
      </c>
    </row>
    <row r="1310">
      <c r="A1310" s="7" t="n">
        <v>62547</v>
      </c>
      <c r="B1310" s="7" t="n">
        <v>59427</v>
      </c>
      <c r="C1310" s="7" t="n">
        <v>353485</v>
      </c>
      <c r="D1310" s="7" t="n">
        <v>298543</v>
      </c>
      <c r="E1310" s="8" t="n">
        <v>39634</v>
      </c>
      <c r="F1310" s="7" t="n">
        <v>4</v>
      </c>
      <c r="G1310" s="7" t="inlineStr">
        <is>
          <t>While I honestly don't remember Wild Sauce I have to say this was very good and tasted like something we could get at Taco Bell.  I made a 1/2 recipe with no problem - will likely make again.</t>
        </is>
      </c>
    </row>
    <row r="1311">
      <c r="A1311" s="7" t="n">
        <v>36450</v>
      </c>
      <c r="B1311" s="7" t="n">
        <v>984238</v>
      </c>
      <c r="C1311" s="7" t="n">
        <v>154222</v>
      </c>
      <c r="D1311" s="7" t="n">
        <v>9272</v>
      </c>
      <c r="E1311" s="8" t="n">
        <v>38193</v>
      </c>
      <c r="F1311" s="7" t="n">
        <v>5</v>
      </c>
      <c r="G1311" s="7" t="inlineStr">
        <is>
          <t>This is probably the best salsa I've ever eaten. My family will no longer eat the jarred store bought. And the more I can the more they eat. I had to make double the batch this year and hope it will get me thru the winter, as I only like to use fresh tomatos. YOU CAN'T BEAT THIS ONE! A BIG THANKS!</t>
        </is>
      </c>
    </row>
    <row r="1312">
      <c r="A1312" s="7" t="n">
        <v>15455</v>
      </c>
      <c r="B1312" s="7" t="n">
        <v>973514</v>
      </c>
      <c r="C1312" s="7" t="n">
        <v>142559</v>
      </c>
      <c r="D1312" s="7" t="n">
        <v>287112</v>
      </c>
      <c r="E1312" s="8" t="n">
        <v>39634</v>
      </c>
      <c r="F1312" s="7" t="n">
        <v>5</v>
      </c>
      <c r="G1312" s="7" t="inlineStr">
        <is>
          <t>Crazy but true! I used Betty Crocker lemon cake mix and diet Squirt. Very good! Can't wait to try other combos - vanilla cake w/diet rootbeer? Vanilla cake with peach Fresca? Chocolate cake with raspberry Diet Rite? The options are limtless! Thanks for posting!!</t>
        </is>
      </c>
    </row>
    <row r="1313">
      <c r="A1313" s="7" t="n">
        <v>4981</v>
      </c>
      <c r="B1313" s="7" t="n">
        <v>1120339</v>
      </c>
      <c r="C1313" s="7" t="n">
        <v>518581</v>
      </c>
      <c r="D1313" s="7" t="n">
        <v>159843</v>
      </c>
      <c r="E1313" s="8" t="n">
        <v>39880</v>
      </c>
      <c r="F1313" s="7" t="n">
        <v>1</v>
      </c>
      <c r="G1313" s="7" t="inlineStr">
        <is>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is>
      </c>
    </row>
    <row r="1314">
      <c r="A1314" s="7" t="n">
        <v>92354</v>
      </c>
      <c r="B1314" s="7" t="n">
        <v>299375</v>
      </c>
      <c r="C1314" s="7" t="n">
        <v>185446</v>
      </c>
      <c r="D1314" s="7" t="n">
        <v>134051</v>
      </c>
      <c r="E1314" s="8" t="n">
        <v>40201</v>
      </c>
      <c r="F1314" s="7" t="n">
        <v>5</v>
      </c>
      <c r="G1314" s="7" t="inlineStr">
        <is>
          <t>I was hesitant to try this--after all, how good could a three ingredient cake be?  Pretty darned good!  Everything about this recipe is wonderful.  Even if you are not pressed for time or ingredients, it is worth making. I did listen to other reviewers and doubled the topping mix and chopped up the apples a bit.  That worked out well--thanks, Dienia and Vicki.</t>
        </is>
      </c>
    </row>
    <row r="1315">
      <c r="A1315" s="7" t="n">
        <v>12544</v>
      </c>
      <c r="B1315" s="7" t="n">
        <v>448358</v>
      </c>
      <c r="C1315" s="7" t="n">
        <v>169969</v>
      </c>
      <c r="D1315" s="7" t="n">
        <v>140771</v>
      </c>
      <c r="E1315" s="8" t="n">
        <v>38645</v>
      </c>
      <c r="F1315" s="7" t="n">
        <v>5</v>
      </c>
      <c r="G1315" s="7" t="inlineStr">
        <is>
          <t>Wonderful flavors, truly a beautiful marinade! I marinated 2 large prime ribs (which I never do) and they were spectacular! The leftovers made wonderful sandwiches the next day!!! Thanks Lori!</t>
        </is>
      </c>
    </row>
    <row r="1316">
      <c r="A1316" s="7" t="n">
        <v>7165</v>
      </c>
      <c r="B1316" s="7" t="n">
        <v>306718</v>
      </c>
      <c r="C1316" s="7" t="n">
        <v>486725</v>
      </c>
      <c r="D1316" s="7" t="n">
        <v>391273</v>
      </c>
      <c r="E1316" s="8" t="n">
        <v>41670</v>
      </c>
      <c r="F1316" s="7" t="n">
        <v>4</v>
      </c>
      <c r="G1316" s="7" t="inlineStr">
        <is>
          <t>Nice, easy to make meal. I made my own ranch and scaled this down for 2 (except for the celery, green onions and red pepper - we like lots of veggies).</t>
        </is>
      </c>
    </row>
    <row r="1317">
      <c r="A1317" s="7" t="n">
        <v>125185</v>
      </c>
      <c r="B1317" s="7" t="n">
        <v>1064872</v>
      </c>
      <c r="C1317" s="7" t="n">
        <v>1745994</v>
      </c>
      <c r="D1317" s="7" t="n">
        <v>126997</v>
      </c>
      <c r="E1317" s="8" t="n">
        <v>40510</v>
      </c>
      <c r="F1317" s="7" t="n">
        <v>5</v>
      </c>
      <c r="G1317" s="7" t="inlineStr">
        <is>
          <t>Love these rolls! This recipe is so easy. I made it without any changes the first time and they were great. Since then I've tweaked it with my usual bread recipe changes (a little potato flour, a little vital wheat gluten), but that's just to put my own spin on it. These rolls are my favorite for sandwiches, especially Italian beef. For anyone who has trouble making bread I cannot recommend highly enough to weigh your flour and not to use measuring cups (125 grams or 4.41 oz of flour per cup).</t>
        </is>
      </c>
    </row>
    <row r="1318">
      <c r="A1318" s="7" t="n">
        <v>74075</v>
      </c>
      <c r="B1318" s="7" t="n">
        <v>777891</v>
      </c>
      <c r="C1318" s="7" t="n">
        <v>27783</v>
      </c>
      <c r="D1318" s="7" t="n">
        <v>35260</v>
      </c>
      <c r="E1318" s="8" t="n">
        <v>37557</v>
      </c>
      <c r="F1318" s="7" t="n">
        <v>0</v>
      </c>
      <c r="G1318" s="7" t="inlineStr">
        <is>
          <t>Just to clarify that if you don't have the exact size pan indicated, use the large wide flat pan with a rim - such as a jelly roll pan.  The slight sogginess that reviewer Jen experienced was probably due to using a 9x13 lasagna pan - which is much deeper and smaller. In Germany, they sell pans especially designed for making this dish that unfortunately aren't available everywhere.  When sliced, this should look more like a flat, square slice of pizza.</t>
        </is>
      </c>
    </row>
    <row r="1319">
      <c r="A1319" s="7" t="n">
        <v>94886</v>
      </c>
      <c r="B1319" s="7" t="n">
        <v>733659</v>
      </c>
      <c r="C1319" s="7" t="n">
        <v>225116</v>
      </c>
      <c r="D1319" s="7" t="n">
        <v>160417</v>
      </c>
      <c r="E1319" s="8" t="n">
        <v>39095</v>
      </c>
      <c r="F1319" s="7" t="n">
        <v>5</v>
      </c>
      <c r="G1319" s="7" t="inlineStr">
        <is>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is>
      </c>
    </row>
    <row r="1320">
      <c r="A1320" s="7" t="n">
        <v>48321</v>
      </c>
      <c r="B1320" s="7" t="n">
        <v>638616</v>
      </c>
      <c r="C1320" s="7" t="n">
        <v>12099</v>
      </c>
      <c r="D1320" s="7" t="n">
        <v>13927</v>
      </c>
      <c r="E1320" s="8" t="n">
        <v>37415</v>
      </c>
      <c r="F1320" s="7" t="n">
        <v>5</v>
      </c>
      <c r="G1320" s="7" t="inlineStr">
        <is>
          <t>Seriously delicious dish! I didn't have time to let it sit overnight before the party I had made it for started, but it was wonderful after just a few hours in the fridge. I had to explain to everyone it wasn't a dessert at first but after that it vanished. Will definitely make again!</t>
        </is>
      </c>
    </row>
    <row r="1321">
      <c r="A1321" t="n">
        <v>11598</v>
      </c>
      <c r="B1321" t="n">
        <v>436649</v>
      </c>
      <c r="C1321" t="n">
        <v>677508</v>
      </c>
      <c r="D1321" t="n">
        <v>281971</v>
      </c>
      <c r="E1321" s="1" t="n">
        <v>39584</v>
      </c>
      <c r="F1321" t="n">
        <v>5</v>
      </c>
      <c r="G1321" t="inlineStr">
        <is>
          <t>These are to die for!!  I fixed these tonite for dessert for some friends and everyone agreed that we would be making them again.  I did sprinkle with cinnamon and topped the ice cream with a maraschino cherry.  I'll definitely be making these again.</t>
        </is>
      </c>
    </row>
    <row r="1322">
      <c r="A1322" s="7" t="n">
        <v>69778</v>
      </c>
      <c r="B1322" s="7" t="n">
        <v>547383</v>
      </c>
      <c r="C1322" s="7" t="n">
        <v>51686</v>
      </c>
      <c r="D1322" s="7" t="n">
        <v>64398</v>
      </c>
      <c r="E1322" s="8" t="n">
        <v>37792</v>
      </c>
      <c r="F1322" s="7" t="n">
        <v>4</v>
      </c>
      <c r="G1322" s="7" t="inlineStr">
        <is>
          <t>Can't nail this one down- slightly oriental, but not really?!.Cooked on top of the stove on low, covered for two hours.  Meat was falling off the bones.  Very unusual and delicious flavor.  Served sauce over Yukon gold mashed potatoes.  A keeper for sure!</t>
        </is>
      </c>
    </row>
    <row r="1323">
      <c r="A1323" s="7" t="n">
        <v>4943</v>
      </c>
      <c r="B1323" s="7" t="n">
        <v>641141</v>
      </c>
      <c r="C1323" s="7" t="n">
        <v>981962</v>
      </c>
      <c r="D1323" s="7" t="n">
        <v>172801</v>
      </c>
      <c r="E1323" s="8" t="n">
        <v>40763</v>
      </c>
      <c r="F1323" s="7" t="n">
        <v>3</v>
      </c>
      <c r="G1323" s="7" t="inlineStr">
        <is>
          <t>This recipe for pb buttercream tastes very good, but it is very soft and whipped, and never really sets up. I used it to frost dark chocolate cupcakes topped with mini Reese's cups and would have liked it better if it would have hardened slightly after I put it on.</t>
        </is>
      </c>
    </row>
    <row r="1324">
      <c r="A1324" s="7" t="n">
        <v>65360</v>
      </c>
      <c r="B1324" s="7" t="n">
        <v>14775</v>
      </c>
      <c r="C1324" s="7" t="n">
        <v>229619</v>
      </c>
      <c r="D1324" s="7" t="n">
        <v>37413</v>
      </c>
      <c r="E1324" s="8" t="n">
        <v>38698</v>
      </c>
      <c r="F1324" s="7" t="n">
        <v>4</v>
      </c>
      <c r="G1324" s="7" t="inlineStr">
        <is>
          <t xml:space="preserve">Quick, easy and good.  I served this with rice.  DH is having a sandwich made with one of the leftover patties for lunch tomorrow.  </t>
        </is>
      </c>
    </row>
    <row r="1325" ht="409.5" customHeight="1">
      <c r="A1325" s="7" t="n">
        <v>120392</v>
      </c>
      <c r="B1325" s="7" t="n">
        <v>1125603</v>
      </c>
      <c r="C1325" s="7" t="n">
        <v>14664</v>
      </c>
      <c r="D1325" s="7" t="n">
        <v>21332</v>
      </c>
      <c r="E1325" s="8" t="n">
        <v>37780</v>
      </c>
      <c r="F1325" s="7" t="n">
        <v>5</v>
      </c>
      <c r="G1325" s="9" t="inlineStr">
        <is>
          <t>My neighbors and I were having a cookout yesterday and I needed a quick and easy sauce for the ham steaks. Seeing as how this only had 3 ingredients I thought I'd give this a try. I'm glad I did too_x000D_
for this really gave a nice taste to the ham that everyone loved. I used catsup with the mixture and it_x000D_
really pleased me. I'll be using this again that's for sure. Anything this simple, fast and sweet deserves a 5 in my book! Thanks you for posting this little gem.</t>
        </is>
      </c>
    </row>
    <row r="1326">
      <c r="A1326" s="7" t="n">
        <v>27420</v>
      </c>
      <c r="B1326" s="7" t="n">
        <v>472727</v>
      </c>
      <c r="C1326" s="7" t="n">
        <v>574936</v>
      </c>
      <c r="D1326" s="7" t="n">
        <v>108364</v>
      </c>
      <c r="E1326" s="8" t="n">
        <v>40567</v>
      </c>
      <c r="F1326" s="7" t="n">
        <v>5</v>
      </c>
      <c r="G1326" s="7" t="inlineStr">
        <is>
          <t>This is excellent fried chicken.  I followed the recipe but adjusted the preparation method.  I first tossed the chicken into flour, then marinaded it in the sauce mixture for a few hours, mixed the seasoning and dredging mixture together and then tossed the chicken through it.  I was concerned about the sauce mixture washing away the seasoning.  Turned out great.  Thanks.</t>
        </is>
      </c>
    </row>
    <row r="1327" ht="345" customHeight="1">
      <c r="A1327" s="7" t="n">
        <v>69972</v>
      </c>
      <c r="B1327" s="7" t="n">
        <v>215780</v>
      </c>
      <c r="C1327" s="7" t="n">
        <v>49304</v>
      </c>
      <c r="D1327" s="7" t="n">
        <v>34348</v>
      </c>
      <c r="E1327" s="8" t="n">
        <v>37529</v>
      </c>
      <c r="F1327" s="7" t="n">
        <v>5</v>
      </c>
      <c r="G1327" s="9" t="inlineStr">
        <is>
          <t>WOW, Great recipe, I made this cake yesterday as I was having company for dinner, They loved it. 
It is VERY RICH. I served it with Vanilla ice cream.Thanks for a great recipe.</t>
        </is>
      </c>
    </row>
    <row r="1328">
      <c r="A1328" s="7" t="n">
        <v>79850</v>
      </c>
      <c r="B1328" s="7" t="n">
        <v>939992</v>
      </c>
      <c r="C1328" s="7" t="n">
        <v>36187</v>
      </c>
      <c r="D1328" s="7" t="n">
        <v>47195</v>
      </c>
      <c r="E1328" s="8" t="n">
        <v>39379</v>
      </c>
      <c r="F1328" s="7" t="n">
        <v>5</v>
      </c>
      <c r="G1328" s="7" t="inlineStr">
        <is>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is>
      </c>
    </row>
    <row r="1329">
      <c r="A1329" s="7" t="n">
        <v>24037</v>
      </c>
      <c r="B1329" s="7" t="n">
        <v>822626</v>
      </c>
      <c r="C1329" s="7" t="n">
        <v>381180</v>
      </c>
      <c r="D1329" s="7" t="n">
        <v>262348</v>
      </c>
      <c r="E1329" s="8" t="n">
        <v>40843</v>
      </c>
      <c r="F1329" s="7" t="n">
        <v>5</v>
      </c>
      <c r="G1329" s="7" t="inlineStr">
        <is>
          <t>DELICIOUS!  I made this recipe with a 3.33 lb boneless chuck roast trimmed of all fat, fresh mushrooms, and doubled all ingredients EXCEPT the mushroom soup.  NOTE:  My Lipton Beefy Onion Soup Mix envelopes weighed .95 ounces each, therefore I believe the soup mix amount is incorrect on the recipe!  Total crock time on low was 5 hours ~ Made for Fall PAC 2011.</t>
        </is>
      </c>
    </row>
    <row r="1330">
      <c r="A1330" s="7" t="n">
        <v>92903</v>
      </c>
      <c r="B1330" s="7" t="n">
        <v>604360</v>
      </c>
      <c r="C1330" s="7" t="n">
        <v>50969</v>
      </c>
      <c r="D1330" s="7" t="n">
        <v>206086</v>
      </c>
      <c r="E1330" s="8" t="n">
        <v>39538</v>
      </c>
      <c r="F1330" s="7" t="n">
        <v>4</v>
      </c>
      <c r="G1330" s="7" t="inlineStr">
        <is>
          <t>I made this for dinner on 3/28/08,and since the are only two of us I divided the recipe in half. I used two large boneless skinless chicken breast cut in half and pounded them until they all were the same thickness.Then I followed the rest of the recipe as written.But the next time this is made I'm going to cut the cooking time down just a bit since the length of time stated made it just a little too dry for us.And what is fried chicken without gravy ? I took a little bit of the seasoned flour and added it to the pan drippings,mixed it with about a cup or so of milk,whisked it over a medium heat and made some very good gravy. Thanks for posting,and "Keep Smiling :)"</t>
        </is>
      </c>
    </row>
    <row r="1331">
      <c r="A1331" s="7" t="n">
        <v>70892</v>
      </c>
      <c r="B1331" s="7" t="n">
        <v>1123730</v>
      </c>
      <c r="C1331" s="7" t="n">
        <v>667994</v>
      </c>
      <c r="D1331" s="7" t="n">
        <v>57679</v>
      </c>
      <c r="E1331" s="8" t="n">
        <v>39677</v>
      </c>
      <c r="F1331" s="7" t="n">
        <v>0</v>
      </c>
      <c r="G1331" s="7" t="inlineStr">
        <is>
          <t>AWESOME!!  I'll make this again and again.</t>
        </is>
      </c>
    </row>
    <row r="1332">
      <c r="A1332" s="7" t="n">
        <v>293</v>
      </c>
      <c r="B1332" s="7" t="n">
        <v>497694</v>
      </c>
      <c r="C1332" s="7" t="n">
        <v>250238</v>
      </c>
      <c r="D1332" s="7" t="n">
        <v>133718</v>
      </c>
      <c r="E1332" s="8" t="n">
        <v>39089</v>
      </c>
      <c r="F1332" s="7" t="n">
        <v>5</v>
      </c>
      <c r="G1332" s="7" t="inlineStr">
        <is>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is>
      </c>
    </row>
    <row r="1333">
      <c r="A1333" s="7" t="n">
        <v>126490</v>
      </c>
      <c r="B1333" s="7" t="n">
        <v>1004213</v>
      </c>
      <c r="C1333" s="7" t="n">
        <v>768828</v>
      </c>
      <c r="D1333" s="7" t="n">
        <v>143440</v>
      </c>
      <c r="E1333" s="8" t="n">
        <v>40161</v>
      </c>
      <c r="F1333" s="7" t="n">
        <v>5</v>
      </c>
      <c r="G1333" s="7" t="inlineStr">
        <is>
          <t>These were great and so easy.  I also had to heat the caramels for a longer time - could have been because my caramels were several years old, and also spread the melted kiss.  Thanks for a great recipe DoryJean.  I will definitely be making these again.</t>
        </is>
      </c>
    </row>
    <row r="1334">
      <c r="A1334" s="7" t="n">
        <v>123077</v>
      </c>
      <c r="B1334" s="7" t="n">
        <v>668691</v>
      </c>
      <c r="C1334" s="7" t="n">
        <v>1853507</v>
      </c>
      <c r="D1334" s="7" t="n">
        <v>138364</v>
      </c>
      <c r="E1334" s="8" t="n">
        <v>40615</v>
      </c>
      <c r="F1334" s="7" t="n">
        <v>4</v>
      </c>
      <c r="G1334" s="7" t="inlineStr">
        <is>
          <t>I've never reviewed a recipe before, but was so pleasantly surprised &lt;br/&gt;i had to.  I was a bit skeptical about this recipe, but it turned out really good.  A very easy, tasty meal.</t>
        </is>
      </c>
    </row>
    <row r="1335">
      <c r="A1335" s="7" t="n">
        <v>123802</v>
      </c>
      <c r="B1335" s="7" t="n">
        <v>949153</v>
      </c>
      <c r="C1335" s="7" t="n">
        <v>111291</v>
      </c>
      <c r="D1335" s="7" t="n">
        <v>82276</v>
      </c>
      <c r="E1335" s="8" t="n">
        <v>40225</v>
      </c>
      <c r="F1335" s="7" t="n">
        <v>5</v>
      </c>
      <c r="G1335" s="7" t="inlineStr">
        <is>
          <t>wowzer, this is really, really good!  i made it just as posted with just a few minor additions - i added 1 1/2 tsp. of dried cilantro (although i'm sure fresh would totally rock), some chicken base and subbed cheyenne pepper for the chipotle powder.  as suggested by other reviewers, in place of the tomato sauce i used a 6 oz. can of tomato paste and then filled that can with almost 6 ozs. of juice from my (home grown) fresh frozen corn.  YUMMALICOUS!</t>
        </is>
      </c>
    </row>
    <row r="1336">
      <c r="A1336" s="7" t="n">
        <v>84976</v>
      </c>
      <c r="B1336" s="7" t="n">
        <v>873669</v>
      </c>
      <c r="C1336" s="7" t="n">
        <v>1529582</v>
      </c>
      <c r="D1336" s="7" t="n">
        <v>183784</v>
      </c>
      <c r="E1336" s="8" t="n">
        <v>40200</v>
      </c>
      <c r="F1336" s="7" t="n">
        <v>5</v>
      </c>
      <c r="G1336" s="7" t="inlineStr">
        <is>
          <t>This By far is the best recipe, my Husband,who dislike rice actually said to me ....."hey, that's pretty good i'll have some more please" that was a first in 29 years! and to me, a very picky eater......this is amazingly awesome!</t>
        </is>
      </c>
    </row>
    <row r="1337">
      <c r="A1337" s="7" t="n">
        <v>90178</v>
      </c>
      <c r="B1337" s="7" t="n">
        <v>449291</v>
      </c>
      <c r="C1337" s="7" t="n">
        <v>383346</v>
      </c>
      <c r="D1337" s="7" t="n">
        <v>290574</v>
      </c>
      <c r="E1337" s="8" t="n">
        <v>41404</v>
      </c>
      <c r="F1337" s="7" t="n">
        <v>5</v>
      </c>
      <c r="G1337" s="7" t="inlineStr">
        <is>
          <t>This is a great dressing.  I used it on a mixed salad with tomatoes.  It was spicy but great.  Thanks AniSarit :)  Made for Name that ingredient tag game</t>
        </is>
      </c>
    </row>
    <row r="1338">
      <c r="A1338" s="7" t="n">
        <v>114214</v>
      </c>
      <c r="B1338" s="7" t="n">
        <v>936844</v>
      </c>
      <c r="C1338" s="7" t="n">
        <v>1618552</v>
      </c>
      <c r="D1338" s="7" t="n">
        <v>200044</v>
      </c>
      <c r="E1338" s="8" t="n">
        <v>40761</v>
      </c>
      <c r="F1338" s="7" t="n">
        <v>4</v>
      </c>
      <c r="G1338" s="7" t="inlineStr">
        <is>
          <t>I made this for a union meeting Christmas Party. It was a big hit! It was so tasty!!</t>
        </is>
      </c>
    </row>
    <row r="1339">
      <c r="A1339" s="7" t="n">
        <v>76993</v>
      </c>
      <c r="B1339" s="7" t="n">
        <v>513583</v>
      </c>
      <c r="C1339" s="7" t="n">
        <v>1169413</v>
      </c>
      <c r="D1339" s="7" t="n">
        <v>259616</v>
      </c>
      <c r="E1339" s="8" t="n">
        <v>39858</v>
      </c>
      <c r="F1339" s="7" t="n">
        <v>5</v>
      </c>
      <c r="G1339" s="7" t="inlineStr">
        <is>
          <t>WOW!!  That is terrific.</t>
        </is>
      </c>
    </row>
    <row r="1340">
      <c r="A1340" s="7" t="n">
        <v>61747</v>
      </c>
      <c r="B1340" s="7" t="n">
        <v>468893</v>
      </c>
      <c r="C1340" s="7" t="n">
        <v>1680722</v>
      </c>
      <c r="D1340" s="7" t="n">
        <v>155403</v>
      </c>
      <c r="E1340" s="8" t="n">
        <v>40642</v>
      </c>
      <c r="F1340" s="7" t="n">
        <v>5</v>
      </c>
      <c r="G1340" s="7" t="inlineStr">
        <is>
          <t>I'm glad I used my first salad from the garden for your recipe!&lt;br/&gt;It was really delicious. I prepared the sauce as described. For the salad I used walnuts (from one tree near our house) and instead of gorgonzola some sheep cheese and some slices parmigiano!&lt;br/&gt;Yummi, we all liked it very much and we say together: THANKS!</t>
        </is>
      </c>
    </row>
    <row r="1341">
      <c r="A1341" s="7" t="n">
        <v>119545</v>
      </c>
      <c r="B1341" s="7" t="n">
        <v>688962</v>
      </c>
      <c r="C1341" s="7" t="n">
        <v>599450</v>
      </c>
      <c r="D1341" s="7" t="n">
        <v>301162</v>
      </c>
      <c r="E1341" s="8" t="n">
        <v>39860</v>
      </c>
      <c r="F1341" s="7" t="n">
        <v>5</v>
      </c>
      <c r="G1341" s="7" t="inlineStr">
        <is>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is>
      </c>
    </row>
    <row r="1342">
      <c r="A1342" s="7" t="n">
        <v>24406</v>
      </c>
      <c r="B1342" s="7" t="n">
        <v>1007479</v>
      </c>
      <c r="C1342" s="7" t="n">
        <v>242729</v>
      </c>
      <c r="D1342" s="7" t="n">
        <v>52222</v>
      </c>
      <c r="E1342" s="8" t="n">
        <v>39596</v>
      </c>
      <c r="F1342" s="7" t="n">
        <v>5</v>
      </c>
      <c r="G1342" s="7" t="inlineStr">
        <is>
          <t>A a superb and VERY colourful stir-fry! I loved this - I also added green peppers and spring onions - I cut back on the oil as well. Made for ZWT 4 - thanks Sharon! FT:-)</t>
        </is>
      </c>
    </row>
    <row r="1343">
      <c r="A1343" s="7" t="n">
        <v>70048</v>
      </c>
      <c r="B1343" s="7" t="n">
        <v>45207</v>
      </c>
      <c r="C1343" s="7" t="n">
        <v>407338</v>
      </c>
      <c r="D1343" s="7" t="n">
        <v>65163</v>
      </c>
      <c r="E1343" s="8" t="n">
        <v>39344</v>
      </c>
      <c r="F1343" s="7" t="n">
        <v>5</v>
      </c>
      <c r="G1343" s="7" t="inlineStr">
        <is>
          <t>I made these into muffins and they were just delicious!  I added 1/4 teaspoon of cinnamon into the batter.  I will be baking these again for sure!</t>
        </is>
      </c>
    </row>
    <row r="1344">
      <c r="A1344" s="7" t="n">
        <v>109052</v>
      </c>
      <c r="B1344" s="7" t="n">
        <v>96039</v>
      </c>
      <c r="C1344" s="7" t="n">
        <v>2000802708</v>
      </c>
      <c r="D1344" s="7" t="n">
        <v>126623</v>
      </c>
      <c r="E1344" s="8" t="n">
        <v>42374</v>
      </c>
      <c r="F1344" s="7" t="n">
        <v>5</v>
      </c>
      <c r="G1344" s="7" t="inlineStr">
        <is>
          <t>this is amazing, i mixed it with a mix bad of mix summer veggies, add cream of mushroom to it..and its amazing.</t>
        </is>
      </c>
    </row>
    <row r="1345">
      <c r="A1345" t="n">
        <v>55302</v>
      </c>
      <c r="B1345" t="n">
        <v>937965</v>
      </c>
      <c r="C1345" t="n">
        <v>221235</v>
      </c>
      <c r="D1345" t="n">
        <v>82102</v>
      </c>
      <c r="E1345" s="1" t="n">
        <v>39301</v>
      </c>
      <c r="F1345" t="n">
        <v>5</v>
      </c>
      <c r="G1345" t="inlineStr">
        <is>
          <t>Great chicken.  Made this for a party, and I was told this was a keeper by all.  I took the advise of others and made extra bread crumb mix.  The leftovers made great chicken parm.</t>
        </is>
      </c>
    </row>
    <row r="1346">
      <c r="A1346" s="7" t="n">
        <v>94896</v>
      </c>
      <c r="B1346" s="7" t="n">
        <v>103896</v>
      </c>
      <c r="C1346" s="7" t="n">
        <v>177933</v>
      </c>
      <c r="D1346" s="7" t="n">
        <v>110043</v>
      </c>
      <c r="E1346" s="8" t="n">
        <v>38440</v>
      </c>
      <c r="F1346" s="7" t="n">
        <v>5</v>
      </c>
      <c r="G1346" s="7" t="inlineStr">
        <is>
          <t>This was any easy recipe and tasted great.</t>
        </is>
      </c>
    </row>
    <row r="1347">
      <c r="A1347" s="7" t="n">
        <v>49252</v>
      </c>
      <c r="B1347" s="7" t="n">
        <v>339465</v>
      </c>
      <c r="C1347" s="7" t="n">
        <v>935428</v>
      </c>
      <c r="D1347" s="7" t="n">
        <v>163454</v>
      </c>
      <c r="E1347" s="8" t="n">
        <v>39990</v>
      </c>
      <c r="F1347" s="7" t="n">
        <v>5</v>
      </c>
      <c r="G1347" s="7" t="inlineStr">
        <is>
          <t>This was great!! And sooooo easy!</t>
        </is>
      </c>
    </row>
    <row r="1348">
      <c r="A1348" s="7" t="n">
        <v>125664</v>
      </c>
      <c r="B1348" s="7" t="n">
        <v>301390</v>
      </c>
      <c r="C1348" s="7" t="n">
        <v>1072593</v>
      </c>
      <c r="D1348" s="7" t="n">
        <v>455329</v>
      </c>
      <c r="E1348" s="8" t="n">
        <v>40756</v>
      </c>
      <c r="F1348" s="7" t="n">
        <v>5</v>
      </c>
      <c r="G1348" s="7" t="inlineStr">
        <is>
          <t>This sauce rocks and rolls and even hootchie-kootchies.  The coconut is such a good idea and I'm full of not-so-good ideas.  Maybe next time we can combine our ideas and make one good one.  Made for Everyday Is A Holiday.</t>
        </is>
      </c>
    </row>
    <row r="1349">
      <c r="A1349" s="7" t="n">
        <v>112527</v>
      </c>
      <c r="B1349" s="7" t="n">
        <v>123635</v>
      </c>
      <c r="C1349" s="7" t="n">
        <v>102058</v>
      </c>
      <c r="D1349" s="7" t="n">
        <v>127522</v>
      </c>
      <c r="E1349" s="8" t="n">
        <v>38898</v>
      </c>
      <c r="F1349" s="7" t="n">
        <v>4</v>
      </c>
      <c r="G1349" s="7" t="inlineStr">
        <is>
          <t>Yummy recipe Kumquat; I didn't find Hoisin sauce or arrowroot here so made it without, my sauce was quite thin but was still tasty. I added veggies that I had to hand: peas and leeks took the place of sugar snap peas. Everything came out very well and DH liked it. Please see my rating system, a lovely 4 stars :)Thanks !</t>
        </is>
      </c>
    </row>
    <row r="1350">
      <c r="A1350" s="7" t="n">
        <v>118200</v>
      </c>
      <c r="B1350" s="7" t="n">
        <v>698252</v>
      </c>
      <c r="C1350" s="7" t="n">
        <v>246482</v>
      </c>
      <c r="D1350" s="7" t="n">
        <v>362415</v>
      </c>
      <c r="E1350" s="8" t="n">
        <v>40330</v>
      </c>
      <c r="F1350" s="7" t="n">
        <v>3</v>
      </c>
      <c r="G1350" s="7" t="inlineStr">
        <is>
          <t>The family was split on this one. Thanks for posting. Made for ZWT6 For the xtra hot dishes.</t>
        </is>
      </c>
    </row>
    <row r="1351">
      <c r="A1351" s="7" t="n">
        <v>95159</v>
      </c>
      <c r="B1351" s="7" t="n">
        <v>95265</v>
      </c>
      <c r="C1351" s="7" t="n">
        <v>275249</v>
      </c>
      <c r="D1351" s="7" t="n">
        <v>17751</v>
      </c>
      <c r="E1351" s="8" t="n">
        <v>39117</v>
      </c>
      <c r="F1351" s="7" t="n">
        <v>5</v>
      </c>
      <c r="G1351" s="7" t="inlineStr">
        <is>
          <t>I love experimenting with the toppings and mixing extra things into the dough. Chopped jalapenos, pepper jack cheese, and taco seasoning make a great mexican-food version that is great to dip in Southwest Creamcheese (from a local bagel shop).</t>
        </is>
      </c>
    </row>
    <row r="1352">
      <c r="A1352" s="7" t="n">
        <v>57757</v>
      </c>
      <c r="B1352" s="7" t="n">
        <v>366498</v>
      </c>
      <c r="C1352" s="7" t="n">
        <v>168896</v>
      </c>
      <c r="D1352" s="7" t="n">
        <v>280510</v>
      </c>
      <c r="E1352" s="8" t="n">
        <v>39571</v>
      </c>
      <c r="F1352" s="7" t="n">
        <v>5</v>
      </c>
      <c r="G1352" s="7" t="inlineStr">
        <is>
          <t>Terrific...should really be tried!  I normally wouldnt try a recipe with an ingredient I have never worked with before, like quinoa but because it was by this chef, and I really like her recipes, I went ahead and did and very glad too.  Directions were very simple, ingredient list was easy too.  I had a cup of quinoa that I bought to try but wasnt sure how I was going to try it.  My 4 yr old suggested muffins.  We used all organic ingredients, subbed white whole wheat organic flour for the regular flour.  Had no raisins so put walnuts in walnuts and carob chips.  The taste was very unique but not something you have to get use to.  The taste was not overly sweet, but was not lacking in flavor.  It had an earthy tone to it but not so much that you felt like you were eating something purely for the health aspect of it.  The texture was nice too; not spongey at all.  I will definitly make these again, and try adding a bit of flax and wheat germ (just to get some of the omegas and more fiber in for my daughter) with the flour part next time.  Excellent recipe for a healthy breakfast, snack, etc... Thank you so much for sharing.</t>
        </is>
      </c>
    </row>
    <row r="1353">
      <c r="A1353" s="7" t="n">
        <v>65006</v>
      </c>
      <c r="B1353" s="7" t="n">
        <v>688536</v>
      </c>
      <c r="C1353" s="7" t="n">
        <v>250063</v>
      </c>
      <c r="D1353" s="7" t="n">
        <v>21171</v>
      </c>
      <c r="E1353" s="8" t="n">
        <v>39004</v>
      </c>
      <c r="F1353" s="7" t="n">
        <v>5</v>
      </c>
      <c r="G1353" s="7" t="inlineStr">
        <is>
          <t>This was the best zucchini bread I have ever tried!  I doubled the recipe and made four loaves. The two I kept here at home were gone in less than 24 hours. I took the other two over to my 88-year old Grandmother's house and those were also gone in an instant! Grandma said this was the best she's ever had, too, including her own she used to make!  Excellent recipe, definitely a keeper! Thank You!</t>
        </is>
      </c>
    </row>
    <row r="1354">
      <c r="A1354" s="7" t="n">
        <v>77149</v>
      </c>
      <c r="B1354" s="7" t="n">
        <v>151082</v>
      </c>
      <c r="C1354" s="7" t="n">
        <v>2001275362</v>
      </c>
      <c r="D1354" s="7" t="n">
        <v>98446</v>
      </c>
      <c r="E1354" s="8" t="n">
        <v>42915</v>
      </c>
      <c r="F1354" s="7" t="n">
        <v>5</v>
      </c>
      <c r="G1354" s="7" t="inlineStr">
        <is>
          <t>Great recipe! We ended up going with the store bought crust but the filling was so fresh and bright in flavor we didn't even miss the homemade pie shell flavor.</t>
        </is>
      </c>
    </row>
    <row r="1355">
      <c r="A1355" s="7" t="n">
        <v>112912</v>
      </c>
      <c r="B1355" s="7" t="n">
        <v>884147</v>
      </c>
      <c r="C1355" s="7" t="n">
        <v>2001580720</v>
      </c>
      <c r="D1355" s="7" t="n">
        <v>225325</v>
      </c>
      <c r="E1355" s="8" t="n">
        <v>42898</v>
      </c>
      <c r="F1355" s="7" t="n">
        <v>5</v>
      </c>
      <c r="G1355" s="7" t="inlineStr">
        <is>
          <t>This was my first time cooking Mustard Greens and my family loves it. This recipe is great. They had so much flavor to the Mustard Greens. Thank you so much . I actually added the Bacon to my greens to since I was using the bacon grease.</t>
        </is>
      </c>
    </row>
    <row r="1356">
      <c r="A1356" s="7" t="n">
        <v>18489</v>
      </c>
      <c r="B1356" s="7" t="n">
        <v>600775</v>
      </c>
      <c r="C1356" s="7" t="n">
        <v>941347</v>
      </c>
      <c r="D1356" s="7" t="n">
        <v>298143</v>
      </c>
      <c r="E1356" s="8" t="n">
        <v>39692</v>
      </c>
      <c r="F1356" s="7" t="n">
        <v>5</v>
      </c>
      <c r="G1356" s="7" t="inlineStr">
        <is>
          <t>This was a great recipe!  I am gluten-intolerant, so I used rice flour, rice bran, and gluten free oats.  I left out the chocolate chips, and put in a tablespoon of molasses.  They turned out amazing!  They really give you the chocolate fix but are still quite healthy.</t>
        </is>
      </c>
    </row>
    <row r="1357">
      <c r="A1357" s="7" t="n">
        <v>10510</v>
      </c>
      <c r="B1357" s="7" t="n">
        <v>651225</v>
      </c>
      <c r="C1357" s="7" t="n">
        <v>1205055</v>
      </c>
      <c r="D1357" s="7" t="n">
        <v>153730</v>
      </c>
      <c r="E1357" s="8" t="n">
        <v>40192</v>
      </c>
      <c r="F1357" s="7" t="n">
        <v>5</v>
      </c>
      <c r="G1357" s="7" t="inlineStr">
        <is>
          <t>My kids are gluten free in addition to vegan. I used Bob's Red Mill all purpose baking flour and xanthan gum as suggested with the flour.  I make this cake for all my kids birthdays now.</t>
        </is>
      </c>
    </row>
    <row r="1358">
      <c r="A1358" s="7" t="n">
        <v>24124</v>
      </c>
      <c r="B1358" s="7" t="n">
        <v>784925</v>
      </c>
      <c r="C1358" s="7" t="n">
        <v>1803359672</v>
      </c>
      <c r="D1358" s="7" t="n">
        <v>91069</v>
      </c>
      <c r="E1358" s="8" t="n">
        <v>41960</v>
      </c>
      <c r="F1358" s="7" t="n">
        <v>0</v>
      </c>
      <c r="G1358" s="7" t="inlineStr">
        <is>
          <t>Just as a side note ... made this recipe this morning; haven&amp;#039;t tried it yet but it would be helpful if people added comments to their recipes such as how many and what size jars are being used, especially if they&amp;#039;re modifying the ingredients.  I made this exactly to a tee and needed almost four 250ml jars which is roughly 1 cup each.  Good thing I always sterilize a couple extra jars just in case :-)</t>
        </is>
      </c>
    </row>
    <row r="1359">
      <c r="A1359" s="7" t="n">
        <v>98756</v>
      </c>
      <c r="B1359" s="7" t="n">
        <v>577521</v>
      </c>
      <c r="C1359" s="7" t="n">
        <v>50411</v>
      </c>
      <c r="D1359" s="7" t="n">
        <v>53851</v>
      </c>
      <c r="E1359" s="8" t="n">
        <v>37726</v>
      </c>
      <c r="F1359" s="7" t="n">
        <v>5</v>
      </c>
      <c r="G1359" s="7" t="inlineStr">
        <is>
          <t>This recipe reminds me of one that my Grandma makes, she is always gets requests to take it to potlucks and to make it for family gatherings.  This is VERY GOOD, very moist and great with a glass of milk.  Thanks for posting this!</t>
        </is>
      </c>
    </row>
    <row r="1360">
      <c r="A1360" t="n">
        <v>46858</v>
      </c>
      <c r="B1360" t="n">
        <v>87468</v>
      </c>
      <c r="C1360" t="n">
        <v>969521</v>
      </c>
      <c r="D1360" t="n">
        <v>19859</v>
      </c>
      <c r="E1360" s="1" t="n">
        <v>40099</v>
      </c>
      <c r="F1360" t="n">
        <v>5</v>
      </c>
      <c r="G1360" t="inlineStr">
        <is>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is>
      </c>
    </row>
    <row r="1361">
      <c r="A1361" s="7" t="n">
        <v>76615</v>
      </c>
      <c r="B1361" s="7" t="n">
        <v>1064384</v>
      </c>
      <c r="C1361" s="7" t="n">
        <v>2002218612</v>
      </c>
      <c r="D1361" s="7" t="n">
        <v>292981</v>
      </c>
      <c r="E1361" s="8" t="n">
        <v>43296</v>
      </c>
      <c r="F1361" s="7" t="n">
        <v>1</v>
      </c>
      <c r="G1361" s="7" t="inlineStr">
        <is>
          <t>The liquid to dry ingredients ratio seems wrong - way too much liquid for 1 1/4 cups flour. Tried to follow the recipe and the cookie dough was wet and gummy so that it was impossible to break off a piece and roll it into a ball as described. Perhaps someone edited the recipe?</t>
        </is>
      </c>
    </row>
    <row r="1362">
      <c r="A1362" s="7" t="n">
        <v>53779</v>
      </c>
      <c r="B1362" s="7" t="n">
        <v>848748</v>
      </c>
      <c r="C1362" s="7" t="n">
        <v>679953</v>
      </c>
      <c r="D1362" s="7" t="n">
        <v>342046</v>
      </c>
      <c r="E1362" s="8" t="n">
        <v>39950</v>
      </c>
      <c r="F1362" s="7" t="n">
        <v>5</v>
      </c>
      <c r="G1362" s="7" t="inlineStr">
        <is>
          <t>Great dinner last night.  I doubled it so the 4 of us could have enough.  I did omit the chili flakes though.  All in all it was a GREAT filling tasty recipe,  Made for 1-2-3 hit wonders.</t>
        </is>
      </c>
    </row>
    <row r="1363">
      <c r="A1363" s="7" t="n">
        <v>47212</v>
      </c>
      <c r="B1363" s="7" t="n">
        <v>858252</v>
      </c>
      <c r="C1363" s="7" t="n">
        <v>101275</v>
      </c>
      <c r="D1363" s="7" t="n">
        <v>94356</v>
      </c>
      <c r="E1363" s="8" t="n">
        <v>38172</v>
      </c>
      <c r="F1363" s="7" t="n">
        <v>5</v>
      </c>
      <c r="G1363" s="7" t="inlineStr">
        <is>
          <t>This was great. I added a chilli too and some garam masala too. DH loved it for his lunch. Thanks :) Fay</t>
        </is>
      </c>
    </row>
    <row r="1364">
      <c r="A1364" s="7" t="n">
        <v>25877</v>
      </c>
      <c r="B1364" s="7" t="n">
        <v>766551</v>
      </c>
      <c r="C1364" s="7" t="n">
        <v>1340326</v>
      </c>
      <c r="D1364" s="7" t="n">
        <v>378799</v>
      </c>
      <c r="E1364" s="8" t="n">
        <v>40029</v>
      </c>
      <c r="F1364" s="7" t="n">
        <v>4</v>
      </c>
      <c r="G1364" s="7" t="inlineStr">
        <is>
          <t>Needs to be thoroughly cooked, otherwise gooey.  But excellent after a second shot in the oven.</t>
        </is>
      </c>
    </row>
    <row r="1365">
      <c r="A1365" s="7" t="n">
        <v>53268</v>
      </c>
      <c r="B1365" s="7" t="n">
        <v>42562</v>
      </c>
      <c r="C1365" s="7" t="n">
        <v>1152071</v>
      </c>
      <c r="D1365" s="7" t="n">
        <v>152693</v>
      </c>
      <c r="E1365" s="8" t="n">
        <v>40286</v>
      </c>
      <c r="F1365" s="7" t="n">
        <v>4</v>
      </c>
      <c r="G1365" s="7" t="inlineStr">
        <is>
          <t>I was a total skeptic.  These really aren't bad at all!</t>
        </is>
      </c>
    </row>
    <row r="1366">
      <c r="A1366" s="7" t="n">
        <v>25045</v>
      </c>
      <c r="B1366" s="7" t="n">
        <v>336996</v>
      </c>
      <c r="C1366" s="7" t="n">
        <v>68710</v>
      </c>
      <c r="D1366" s="7" t="n">
        <v>3929</v>
      </c>
      <c r="E1366" s="8" t="n">
        <v>39356</v>
      </c>
      <c r="F1366" s="7" t="n">
        <v>5</v>
      </c>
      <c r="G1366" s="7" t="inlineStr">
        <is>
          <t>Fantastic chicken! Easy recipe, baked up great, my teenage sons scarfed it down. Easy, good, and enjoyable. I did put Pam on the cookie sheet to prevent sticking.</t>
        </is>
      </c>
    </row>
    <row r="1367">
      <c r="A1367" s="7" t="n">
        <v>102795</v>
      </c>
      <c r="B1367" s="7" t="n">
        <v>187143</v>
      </c>
      <c r="C1367" s="7" t="n">
        <v>450004</v>
      </c>
      <c r="D1367" s="7" t="n">
        <v>374036</v>
      </c>
      <c r="E1367" s="8" t="n">
        <v>40689</v>
      </c>
      <c r="F1367" s="7" t="n">
        <v>5</v>
      </c>
      <c r="G1367" s="7" t="inlineStr">
        <is>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is>
      </c>
    </row>
    <row r="1368">
      <c r="A1368" t="n">
        <v>7926</v>
      </c>
      <c r="B1368" t="n">
        <v>154542</v>
      </c>
      <c r="C1368" t="n">
        <v>2558346</v>
      </c>
      <c r="D1368" t="n">
        <v>67252</v>
      </c>
      <c r="E1368" s="1" t="n">
        <v>41265</v>
      </c>
      <c r="F1368" t="n">
        <v>4</v>
      </c>
      <c r="G1368" t="inlineStr">
        <is>
          <t>I made this for a potluck gathering and it was a hit. It was moist with a very nice touch of spice. This will now be a part of my holiday menu for as long as I'm cooking.</t>
        </is>
      </c>
    </row>
    <row r="1369" ht="409.5" customHeight="1">
      <c r="A1369" s="7" t="n">
        <v>107843</v>
      </c>
      <c r="B1369" s="7" t="n">
        <v>710116</v>
      </c>
      <c r="C1369" s="7" t="n">
        <v>41487</v>
      </c>
      <c r="D1369" s="7" t="n">
        <v>28025</v>
      </c>
      <c r="E1369" s="8" t="n">
        <v>37462</v>
      </c>
      <c r="F1369" s="7" t="n">
        <v>4</v>
      </c>
      <c r="G1369" s="9" t="inlineStr">
        <is>
          <t>These were very good.  I used dried parsley flakes.  I also popped them in the freezer for about 10 mins before frying and they held together perfectly._x000D_
I love getting so much protein in one meal!  I'm semi-vegitarian--so this will be a 'regular' in my house so I can get the protein I need.</t>
        </is>
      </c>
    </row>
    <row r="1370">
      <c r="A1370" s="7" t="n">
        <v>77853</v>
      </c>
      <c r="B1370" s="7" t="n">
        <v>158623</v>
      </c>
      <c r="C1370" s="7" t="n">
        <v>62335</v>
      </c>
      <c r="D1370" s="7" t="n">
        <v>8701</v>
      </c>
      <c r="E1370" s="8" t="n">
        <v>39943</v>
      </c>
      <c r="F1370" s="7" t="n">
        <v>5</v>
      </c>
      <c r="G1370" s="7" t="inlineStr">
        <is>
          <t>These were the BEST! I did the 3 hour slow cooking method and they were absolutely fantastic. I don't think I'll ever put my husband through the 10 hour rib smoking fiasco ever again. It isn't worth it......these are BETTER! I used Kraft Honey BBQ sauce (had it in the pantry) and it was divine. I wouldn't change a THING! Thank you, Beverly!</t>
        </is>
      </c>
    </row>
    <row r="1371">
      <c r="A1371" s="7" t="n">
        <v>106794</v>
      </c>
      <c r="B1371" s="7" t="n">
        <v>880032</v>
      </c>
      <c r="C1371" s="7" t="n">
        <v>129652</v>
      </c>
      <c r="D1371" s="7" t="n">
        <v>291170</v>
      </c>
      <c r="E1371" s="8" t="n">
        <v>39983</v>
      </c>
      <c r="F1371" s="7" t="n">
        <v>5</v>
      </c>
      <c r="G1371" s="7" t="inlineStr">
        <is>
          <t>I used fat-free skim milk.  It tasted delicious &amp; creamy.  It was hard to believe it was fat-free!</t>
        </is>
      </c>
    </row>
    <row r="1372">
      <c r="A1372" s="7" t="n">
        <v>56273</v>
      </c>
      <c r="B1372" s="7" t="n">
        <v>78868</v>
      </c>
      <c r="C1372" s="7" t="n">
        <v>144823</v>
      </c>
      <c r="D1372" s="7" t="n">
        <v>90312</v>
      </c>
      <c r="E1372" s="8" t="n">
        <v>38148</v>
      </c>
      <c r="F1372" s="7" t="n">
        <v>4</v>
      </c>
      <c r="G1372" s="7" t="inlineStr">
        <is>
          <t>This was very quick and easy to make.  My family loved it.  The only problem I had was that the chicken wasn't as tender as I'd like.  I used boneless, skinless breasts, so maybe that was the problem. I'll try to cook it a little longer at a lower temp next time.</t>
        </is>
      </c>
    </row>
    <row r="1373">
      <c r="A1373" s="7" t="n">
        <v>64277</v>
      </c>
      <c r="B1373" s="7" t="n">
        <v>1090303</v>
      </c>
      <c r="C1373" s="7" t="n">
        <v>383346</v>
      </c>
      <c r="D1373" s="7" t="n">
        <v>90677</v>
      </c>
      <c r="E1373" s="8" t="n">
        <v>39727</v>
      </c>
      <c r="F1373" s="7" t="n">
        <v>5</v>
      </c>
      <c r="G1373" s="7" t="inlineStr">
        <is>
          <t>I thought I had cherry preserves, but in fact it was cherry, raspberry and strawberry preserve.  I tried it and it was perfect LOL  Thanks Kim.  Made for Please Review My Recipe</t>
        </is>
      </c>
    </row>
    <row r="1374">
      <c r="A1374" s="7" t="n">
        <v>27691</v>
      </c>
      <c r="B1374" s="7" t="n">
        <v>941868</v>
      </c>
      <c r="C1374" s="7" t="n">
        <v>142789</v>
      </c>
      <c r="D1374" s="7" t="n">
        <v>430055</v>
      </c>
      <c r="E1374" s="8" t="n">
        <v>41279</v>
      </c>
      <c r="F1374" s="7" t="n">
        <v>4</v>
      </c>
      <c r="G1374" s="7" t="inlineStr">
        <is>
          <t>Made this tonight and my husband loved them. I marinated them all day in the sauce. I turned them every 10 minutes while they cooked, They were not dry on the outside at all. Thanks for this recipe!</t>
        </is>
      </c>
    </row>
    <row r="1375">
      <c r="A1375" s="7" t="n">
        <v>63235</v>
      </c>
      <c r="B1375" s="7" t="n">
        <v>387435</v>
      </c>
      <c r="C1375" s="7" t="n">
        <v>129958</v>
      </c>
      <c r="D1375" s="7" t="n">
        <v>74782</v>
      </c>
      <c r="E1375" s="8" t="n">
        <v>38240</v>
      </c>
      <c r="F1375" s="7" t="n">
        <v>5</v>
      </c>
      <c r="G1375" s="7" t="inlineStr">
        <is>
          <t>This is very good!  DH and I really enjoyed this with a cold glass of milk!  I made it exactly like the recipe, except I added some milk to the icing just to make it a little more spreadable.  The pan I used was a little too large, but the only problem with that was that the edges got too brown.  I will also make more icing next time.  I think a thicker layer would be heavenly!  Made this is response the the recipe promo, Think Color!  Thanks Kiwi and thanks to your Pa too!</t>
        </is>
      </c>
    </row>
    <row r="1376">
      <c r="A1376" s="7" t="n">
        <v>13671</v>
      </c>
      <c r="B1376" s="7" t="n">
        <v>346370</v>
      </c>
      <c r="C1376" s="7" t="n">
        <v>157248</v>
      </c>
      <c r="D1376" s="7" t="n">
        <v>132028</v>
      </c>
      <c r="E1376" s="8" t="n">
        <v>38543</v>
      </c>
      <c r="F1376" s="7" t="n">
        <v>5</v>
      </c>
      <c r="G1376" s="7" t="inlineStr">
        <is>
          <t>This dip is really good! The amount could easily be halved and still be enough for this amount of fruit.  I think when I make this again, I will not bother to do the lime juice and sugar on the fruit, I like the fruit to stay firm and fresh. I thought that the dates in the dip was sorta weird when I read it, but I would actually increase the amount the next time I make this, they are a nice sweet addition</t>
        </is>
      </c>
    </row>
    <row r="1377">
      <c r="A1377" s="7" t="n">
        <v>58497</v>
      </c>
      <c r="B1377" s="7" t="n">
        <v>234395</v>
      </c>
      <c r="C1377" s="7" t="n">
        <v>1260442</v>
      </c>
      <c r="D1377" s="7" t="n">
        <v>215634</v>
      </c>
      <c r="E1377" s="8" t="n">
        <v>39952</v>
      </c>
      <c r="F1377" s="7" t="n">
        <v>5</v>
      </c>
      <c r="G1377" s="7" t="inlineStr">
        <is>
          <t>simple, versatile and delicious. have made between 1 and 6 servings at a time and always works well! yum.</t>
        </is>
      </c>
    </row>
    <row r="1378" ht="405" customHeight="1">
      <c r="A1378" s="7" t="n">
        <v>59430</v>
      </c>
      <c r="B1378" s="7" t="n">
        <v>446685</v>
      </c>
      <c r="C1378" s="7" t="n">
        <v>83189</v>
      </c>
      <c r="D1378" s="7" t="n">
        <v>60725</v>
      </c>
      <c r="E1378" s="8" t="n">
        <v>37736</v>
      </c>
      <c r="F1378" s="7" t="n">
        <v>0</v>
      </c>
      <c r="G1378" s="9" t="inlineStr">
        <is>
          <t xml:space="preserve">Hello Marien_x000D_
      It is great reciepe One thing Iwant to tell u that we can dissolve saffron in 1TbS of little hot milk instead of vodka_x000D_
      2nd thing i want to know can we replace eggs from it&amp;how. </t>
        </is>
      </c>
    </row>
    <row r="1379">
      <c r="A1379" s="7" t="n">
        <v>53504</v>
      </c>
      <c r="B1379" s="7" t="n">
        <v>785472</v>
      </c>
      <c r="C1379" s="7" t="n">
        <v>12423</v>
      </c>
      <c r="D1379" s="7" t="n">
        <v>37625</v>
      </c>
      <c r="E1379" s="8" t="n">
        <v>37964</v>
      </c>
      <c r="F1379" s="7" t="n">
        <v>5</v>
      </c>
      <c r="G1379" s="7" t="inlineStr">
        <is>
          <t>Perfect!  Truly, the classic crumb cake.  Yum :)</t>
        </is>
      </c>
    </row>
    <row r="1380" ht="409.5" customHeight="1">
      <c r="A1380" s="7" t="n">
        <v>23648</v>
      </c>
      <c r="B1380" s="7" t="n">
        <v>154062</v>
      </c>
      <c r="C1380" s="7" t="n">
        <v>195229</v>
      </c>
      <c r="D1380" s="7" t="n">
        <v>33799</v>
      </c>
      <c r="E1380" s="8" t="n">
        <v>38398</v>
      </c>
      <c r="F1380" s="7" t="n">
        <v>4</v>
      </c>
      <c r="G1380" s="9" t="inlineStr">
        <is>
          <t>This was a great dish for a cold night, very comforting and tasty. I used brown rice which worked fine. Also cooked it in conv.oven for 30 mins as don't have a microwave._x000D_
Only problem I had was I didn't grease dish and it stuck to the bottom a bit.</t>
        </is>
      </c>
    </row>
    <row r="1381">
      <c r="A1381" s="7" t="n">
        <v>46607</v>
      </c>
      <c r="B1381" s="7" t="n">
        <v>317130</v>
      </c>
      <c r="C1381" s="7" t="n">
        <v>128473</v>
      </c>
      <c r="D1381" s="7" t="n">
        <v>320760</v>
      </c>
      <c r="E1381" s="8" t="n">
        <v>42234</v>
      </c>
      <c r="F1381" s="7" t="n">
        <v>5</v>
      </c>
      <c r="G1381" s="7" t="inlineStr">
        <is>
          <t>We really enjoyed this version of braised cabbage JackieOhNo.  It was simply delicious.  It had the right ratio of sweet and tangy.  We liked the slight crunch to the cabbage. Over all we loved it, a perfect side served with fresh cod cakes.   Made for Culinary Quest - Ireland - 2015.</t>
        </is>
      </c>
    </row>
    <row r="1382">
      <c r="A1382" s="7" t="n">
        <v>1332</v>
      </c>
      <c r="B1382" s="7" t="n">
        <v>828650</v>
      </c>
      <c r="C1382" s="7" t="n">
        <v>1105991</v>
      </c>
      <c r="D1382" s="7" t="n">
        <v>381855</v>
      </c>
      <c r="E1382" s="8" t="n">
        <v>40060</v>
      </c>
      <c r="F1382" s="7" t="n">
        <v>5</v>
      </c>
      <c r="G1382" s="7" t="inlineStr">
        <is>
          <t>Yummy!  We loved this rich, creamy pudding dessert!  The graham cracker crunch part made it really special.  My little girl just loved it!  I used sugar-free pudding and nobody seemed to notice.  Thanks, GailAnn!  Made for alphabet chefs tag.</t>
        </is>
      </c>
    </row>
    <row r="1383">
      <c r="A1383" s="7" t="n">
        <v>30565</v>
      </c>
      <c r="B1383" s="7" t="n">
        <v>699745</v>
      </c>
      <c r="C1383" s="7" t="n">
        <v>869184</v>
      </c>
      <c r="D1383" s="7" t="n">
        <v>89751</v>
      </c>
      <c r="E1383" s="8" t="n">
        <v>39936</v>
      </c>
      <c r="F1383" s="7" t="n">
        <v>5</v>
      </c>
      <c r="G1383" s="7" t="inlineStr">
        <is>
          <t>This is seriously the easiest cup cakes I have ever made - and are they ever good! I made them with butter and went for 1 1/4 cup of sugar. They baked in the oven for 21 min and yielded 17 cup cakes.</t>
        </is>
      </c>
    </row>
    <row r="1384" ht="270" customHeight="1">
      <c r="A1384" s="7" t="n">
        <v>24674</v>
      </c>
      <c r="B1384" s="7" t="n">
        <v>725743</v>
      </c>
      <c r="C1384" s="7" t="n">
        <v>932620</v>
      </c>
      <c r="D1384" s="7" t="n">
        <v>154833</v>
      </c>
      <c r="E1384" s="8" t="n">
        <v>40243</v>
      </c>
      <c r="F1384" s="7" t="n">
        <v>4</v>
      </c>
      <c r="G1384" s="9" t="inlineStr">
        <is>
          <t>3 stars for flavour; i would've liked more spice with less lemon aftertaste, 1 star for ease._x000D_
I did mine in an 8inch circle pan for 15 min.</t>
        </is>
      </c>
    </row>
    <row r="1385">
      <c r="A1385" s="7" t="n">
        <v>38789</v>
      </c>
      <c r="B1385" s="7" t="n">
        <v>541180</v>
      </c>
      <c r="C1385" s="7" t="n">
        <v>1058038</v>
      </c>
      <c r="D1385" s="7" t="n">
        <v>99570</v>
      </c>
      <c r="E1385" s="8" t="n">
        <v>39786</v>
      </c>
      <c r="F1385" s="7" t="n">
        <v>5</v>
      </c>
      <c r="G1385" s="7" t="inlineStr">
        <is>
          <t>This was so delicious, fast,easy and Cheap!  We had some free apples I needed to use up.  It took about 4 large apples.  I threw it together in like 10 minutes.  I love it!</t>
        </is>
      </c>
    </row>
    <row r="1386">
      <c r="A1386" s="7" t="n">
        <v>100164</v>
      </c>
      <c r="B1386" s="7" t="n">
        <v>562705</v>
      </c>
      <c r="C1386" s="7" t="n">
        <v>594139</v>
      </c>
      <c r="D1386" s="7" t="n">
        <v>263019</v>
      </c>
      <c r="E1386" s="8" t="n">
        <v>39705</v>
      </c>
      <c r="F1386" s="7" t="n">
        <v>5</v>
      </c>
      <c r="G1386" s="7" t="inlineStr">
        <is>
          <t>These are wonderful a different take on the more traditional Quesadillas I make, but yummo. My son immediately said 5 stars mum these are great. I made with larger tortillas than listed just preference as always end up stuffing my Quesadillas with to much filling and thought it would just fall out of a small one. I love the chicken, BBQ sauce combo it is just perfect. This super quick and easy to make and we will enjoy this one often. Big thumbs up by all the family Seasoned Cook</t>
        </is>
      </c>
    </row>
    <row r="1387">
      <c r="A1387" s="7" t="n">
        <v>12669</v>
      </c>
      <c r="B1387" s="7" t="n">
        <v>966200</v>
      </c>
      <c r="C1387" s="7" t="n">
        <v>2000058551</v>
      </c>
      <c r="D1387" s="7" t="n">
        <v>82770</v>
      </c>
      <c r="E1387" s="8" t="n">
        <v>42114</v>
      </c>
      <c r="F1387" s="7" t="n">
        <v>5</v>
      </c>
      <c r="G1387" s="7" t="inlineStr">
        <is>
          <t>I have to admit that when I first saw this recipe and the contents that I thought there was too much green in it, but I made this recipe exactly as it said and fried some turkey dogs in it to put into a premade tomato basil sauce that I have. After I put the sauce on the turkey dogs that had the seasoning and tasted it, it tasted absolutely heavenly. Thank you so much for putting this up! A lot of recipes call for &amp;quot;Italian seasoning,&amp;quot; but the store bought Italian seasoning only has the greens and not the stuff I really love. I&amp;#039;m going to try this when I make the meat for my baked ziti. So far I&amp;#039;ve been having troubles getting the meat to taste right.</t>
        </is>
      </c>
    </row>
    <row r="1388">
      <c r="A1388" t="n">
        <v>62560</v>
      </c>
      <c r="B1388" t="n">
        <v>931569</v>
      </c>
      <c r="C1388" t="n">
        <v>637343</v>
      </c>
      <c r="D1388" t="n">
        <v>119756</v>
      </c>
      <c r="E1388" s="1" t="n">
        <v>40096</v>
      </c>
      <c r="F1388" t="n">
        <v>4</v>
      </c>
      <c r="G1388" t="inlineStr">
        <is>
          <t>The texture was better than what I was expecting...definitely a nice dessert or breakfast for lc-ers.</t>
        </is>
      </c>
    </row>
    <row r="1389">
      <c r="A1389" s="7" t="n">
        <v>31600</v>
      </c>
      <c r="B1389" s="7" t="n">
        <v>214272</v>
      </c>
      <c r="C1389" s="7" t="n">
        <v>29196</v>
      </c>
      <c r="D1389" s="7" t="n">
        <v>220408</v>
      </c>
      <c r="E1389" s="8" t="n">
        <v>40290</v>
      </c>
      <c r="F1389" s="7" t="n">
        <v>5</v>
      </c>
      <c r="G1389" s="7" t="inlineStr">
        <is>
          <t>We really enjoyed this thanks Mandy. I made the whole recipe for the two of us but reduced the oil to three teaspoons of lemon infused olive oil. I didn't have a yellow capsicum, so used a big red and medium green one and a large zucc. I used 2 ripe regular tomatoes cut into a largish dice and they worked fine. Russ and I love eggplant, but the tiny supermarket here in town didn't have any. We didn't miss it at all. I seasoned with freshly ground black pepper and tossed through some shredded basil before serving. I made this again in the same week but as we had a vegetarian eating with us, I also crumbled over some feta cheese at the end. Yummo.</t>
        </is>
      </c>
    </row>
    <row r="1390">
      <c r="A1390" s="7" t="n">
        <v>45039</v>
      </c>
      <c r="B1390" s="7" t="n">
        <v>894417</v>
      </c>
      <c r="C1390" s="7" t="n">
        <v>53959</v>
      </c>
      <c r="D1390" s="7" t="n">
        <v>171348</v>
      </c>
      <c r="E1390" s="8" t="n">
        <v>38873</v>
      </c>
      <c r="F1390" s="7" t="n">
        <v>5</v>
      </c>
      <c r="G1390" s="7" t="inlineStr">
        <is>
          <t>My whole family just LOVED this. I have a batch made up to use as our new pancake syrup. Thank you!!!</t>
        </is>
      </c>
    </row>
    <row r="1391">
      <c r="A1391" s="7" t="n">
        <v>58917</v>
      </c>
      <c r="B1391" s="7" t="n">
        <v>6636</v>
      </c>
      <c r="C1391" s="7" t="n">
        <v>1397437</v>
      </c>
      <c r="D1391" s="7" t="n">
        <v>29121</v>
      </c>
      <c r="E1391" s="8" t="n">
        <v>40099</v>
      </c>
      <c r="F1391" s="7" t="n">
        <v>5</v>
      </c>
      <c r="G1391" s="7" t="inlineStr">
        <is>
          <t>Great taste. I would cut down on the ranch dressing mix b/c it tasted a bit too salty after all the canned beans. Then the sour cream at the end can be mixed in to give it that milky look / flavor.</t>
        </is>
      </c>
    </row>
    <row r="1392">
      <c r="A1392" s="7" t="n">
        <v>38851</v>
      </c>
      <c r="B1392" s="7" t="n">
        <v>875195</v>
      </c>
      <c r="C1392" s="7" t="n">
        <v>353379</v>
      </c>
      <c r="D1392" s="7" t="n">
        <v>162262</v>
      </c>
      <c r="E1392" s="8" t="n">
        <v>39887</v>
      </c>
      <c r="F1392" s="7" t="n">
        <v>5</v>
      </c>
      <c r="G1392" s="7" t="inlineStr">
        <is>
          <t>Awesome recipe! We added some spinach cause we love it!  SOOOOO GOOD!!! We'll be making this again. :)</t>
        </is>
      </c>
    </row>
    <row r="1393">
      <c r="A1393" s="7" t="n">
        <v>61459</v>
      </c>
      <c r="B1393" s="7" t="n">
        <v>669325</v>
      </c>
      <c r="C1393" s="7" t="n">
        <v>47555</v>
      </c>
      <c r="D1393" s="7" t="n">
        <v>39895</v>
      </c>
      <c r="E1393" s="8" t="n">
        <v>40719</v>
      </c>
      <c r="F1393" s="7" t="n">
        <v>4</v>
      </c>
      <c r="G1393" s="7" t="inlineStr">
        <is>
          <t>This is quick and easy and got my daughter to eat some vegetables.  Not going to be mistaken for gourmet, but it was a fun dish.</t>
        </is>
      </c>
    </row>
    <row r="1394">
      <c r="A1394" s="7" t="n">
        <v>29133</v>
      </c>
      <c r="B1394" s="7" t="n">
        <v>39851</v>
      </c>
      <c r="C1394" s="7" t="n">
        <v>865936</v>
      </c>
      <c r="D1394" s="7" t="n">
        <v>338517</v>
      </c>
      <c r="E1394" s="8" t="n">
        <v>40537</v>
      </c>
      <c r="F1394" s="7" t="n">
        <v>4</v>
      </c>
      <c r="G1394" s="7" t="inlineStr">
        <is>
          <t>The sauce is sweet and a nice contrast to the peppery steak.</t>
        </is>
      </c>
    </row>
    <row r="1395">
      <c r="A1395" s="7" t="n">
        <v>114622</v>
      </c>
      <c r="B1395" s="7" t="n">
        <v>137728</v>
      </c>
      <c r="C1395" s="7" t="n">
        <v>547299</v>
      </c>
      <c r="D1395" s="7" t="n">
        <v>4797</v>
      </c>
      <c r="E1395" s="8" t="n">
        <v>39445</v>
      </c>
      <c r="F1395" s="7" t="n">
        <v>5</v>
      </c>
      <c r="G1395" s="7" t="inlineStr">
        <is>
          <t>I took this to work and  recived requests for more I thought it was a little too mushy but everone loved it so I am making it agian</t>
        </is>
      </c>
    </row>
    <row r="1396" ht="409.5" customHeight="1">
      <c r="A1396" s="7" t="n">
        <v>14236</v>
      </c>
      <c r="B1396" s="7" t="n">
        <v>305622</v>
      </c>
      <c r="C1396" s="7" t="n">
        <v>64154</v>
      </c>
      <c r="D1396" s="7" t="n">
        <v>31062</v>
      </c>
      <c r="E1396" s="8" t="n">
        <v>39896</v>
      </c>
      <c r="F1396" s="7" t="n">
        <v>5</v>
      </c>
      <c r="G1396" s="9" t="inlineStr">
        <is>
          <t>This was my first attempt at prime rib and salt incrusting. It turned out wonderful./ A lot better than many I have had in restaurants. I did shove several cloves of garlic into the roast before applying the salt._x000D_
I did have a little trouble getting the salt to stick. Next time maybe use a pan that is close to the size of the roast and let the sides of the pan help hold the salt on.</t>
        </is>
      </c>
    </row>
    <row r="1397">
      <c r="A1397" s="7" t="n">
        <v>107918</v>
      </c>
      <c r="B1397" s="7" t="n">
        <v>291175</v>
      </c>
      <c r="C1397" s="7" t="n">
        <v>258213</v>
      </c>
      <c r="D1397" s="7" t="n">
        <v>133295</v>
      </c>
      <c r="E1397" s="8" t="n">
        <v>38666</v>
      </c>
      <c r="F1397" s="7" t="n">
        <v>5</v>
      </c>
      <c r="G1397" s="7" t="inlineStr">
        <is>
          <t>I have to admit, when I first saw this recipe I thought 'wow. Heart-attack in a sandwich'. And I still think it probably is a heart-attack in a sandwich. But I tried it out, and it is YUM. One to reserve for a special treat, I think, but thanks for posting :)</t>
        </is>
      </c>
    </row>
    <row r="1398">
      <c r="A1398" t="n">
        <v>108030</v>
      </c>
      <c r="B1398" t="n">
        <v>434848</v>
      </c>
      <c r="C1398" t="n">
        <v>229130</v>
      </c>
      <c r="D1398" t="n">
        <v>34335</v>
      </c>
      <c r="E1398" s="1" t="n">
        <v>39475</v>
      </c>
      <c r="F1398" t="n">
        <v>5</v>
      </c>
      <c r="G1398" t="inlineStr">
        <is>
          <t>This is the best pork tenderloin recipe!  I've made it a several times now and keep forgetting to review it.  It smells unbelievable when its cooking and always comes out moist.  It's one of my family's favorite meals!  Thank you for posting.</t>
        </is>
      </c>
    </row>
    <row r="1399">
      <c r="A1399" s="7" t="n">
        <v>64345</v>
      </c>
      <c r="B1399" s="7" t="n">
        <v>483199</v>
      </c>
      <c r="C1399" s="7" t="n">
        <v>992464</v>
      </c>
      <c r="D1399" s="7" t="n">
        <v>269446</v>
      </c>
      <c r="E1399" s="8" t="n">
        <v>39760</v>
      </c>
      <c r="F1399" s="7" t="n">
        <v>5</v>
      </c>
      <c r="G1399" s="7" t="inlineStr">
        <is>
          <t>This was every sooo yummy and I will certainly be making it again and again. Coudn't get fresh tumeric, so used 1 teaspoon dried tumeric and it seemed to work out just fine. Next time will try for the fresh to see what difference it makes. Thanks Pegster!!</t>
        </is>
      </c>
    </row>
    <row r="1400">
      <c r="A1400" s="7" t="n">
        <v>62709</v>
      </c>
      <c r="B1400" s="7" t="n">
        <v>116990</v>
      </c>
      <c r="C1400" s="7" t="n">
        <v>675265</v>
      </c>
      <c r="D1400" s="7" t="n">
        <v>20960</v>
      </c>
      <c r="E1400" s="8" t="n">
        <v>40018</v>
      </c>
      <c r="F1400" s="7" t="n">
        <v>5</v>
      </c>
      <c r="G1400" s="7" t="inlineStr">
        <is>
          <t>I used Sweet Baby Rays new Sweet and Spicy barbecue sauce and they were excellent!  Nice and crispy and gooey at 1 hr.</t>
        </is>
      </c>
    </row>
    <row r="1401">
      <c r="A1401" s="7" t="n">
        <v>116969</v>
      </c>
      <c r="B1401" s="7" t="n">
        <v>929473</v>
      </c>
      <c r="C1401" s="7" t="n">
        <v>2001288905</v>
      </c>
      <c r="D1401" s="7" t="n">
        <v>324854</v>
      </c>
      <c r="E1401" s="8" t="n">
        <v>42713</v>
      </c>
      <c r="F1401" s="7" t="n">
        <v>5</v>
      </c>
      <c r="G1401" s="7" t="inlineStr">
        <is>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is>
      </c>
    </row>
    <row r="1402">
      <c r="A1402" s="7" t="n">
        <v>88610</v>
      </c>
      <c r="B1402" s="7" t="n">
        <v>944258</v>
      </c>
      <c r="C1402" s="7" t="n">
        <v>1801516326</v>
      </c>
      <c r="D1402" s="7" t="n">
        <v>19808</v>
      </c>
      <c r="E1402" s="8" t="n">
        <v>42692</v>
      </c>
      <c r="F1402" s="7" t="n">
        <v>0</v>
      </c>
      <c r="G1402" s="7" t="inlineStr">
        <is>
          <t>I also make this with Strawberry flavored cream cheese and it is excellent. I only ever add the cream cheese with the entire marshmallow in a jar. It is delicious without anything else.....everyone always wants the recipe.</t>
        </is>
      </c>
    </row>
    <row r="1403">
      <c r="A1403" s="7" t="n">
        <v>118079</v>
      </c>
      <c r="B1403" s="7" t="n">
        <v>817070</v>
      </c>
      <c r="C1403" s="7" t="n">
        <v>394085</v>
      </c>
      <c r="D1403" s="7" t="n">
        <v>203362</v>
      </c>
      <c r="E1403" s="8" t="n">
        <v>39412</v>
      </c>
      <c r="F1403" s="7" t="n">
        <v>4</v>
      </c>
      <c r="G1403" s="7" t="inlineStr">
        <is>
          <t>Interesting and GOOD, albeit somewhat greasy.  I have no idea if the escarole (which is what I used) looks right.  But I liked this.  Just don't see how it could possibly stay crisp when being served in a restaurant!</t>
        </is>
      </c>
    </row>
    <row r="1404">
      <c r="A1404" s="7" t="n">
        <v>69802</v>
      </c>
      <c r="B1404" s="7" t="n">
        <v>547254</v>
      </c>
      <c r="C1404" s="7" t="n">
        <v>928804</v>
      </c>
      <c r="D1404" s="7" t="n">
        <v>37639</v>
      </c>
      <c r="E1404" s="8" t="n">
        <v>40327</v>
      </c>
      <c r="F1404" s="7" t="n">
        <v>5</v>
      </c>
      <c r="G1404" s="7" t="inlineStr">
        <is>
          <t>LOVED the Verde sauce.  Although for some reason I didn't have enough.  Maybe I made too many enchiladas!! LOL  I didn't add that many serrano peppers though!! There is no way my family could have handled that much heat!!  I added only one and it was perfect!!  At least for my family.  Am DEFINITELY gonna use this recipe for a LONG TIME!! thank you!!</t>
        </is>
      </c>
    </row>
    <row r="1405">
      <c r="A1405" s="7" t="n">
        <v>35676</v>
      </c>
      <c r="B1405" s="7" t="n">
        <v>584437</v>
      </c>
      <c r="C1405" s="7" t="n">
        <v>139977</v>
      </c>
      <c r="D1405" s="7" t="n">
        <v>8624</v>
      </c>
      <c r="E1405" s="8" t="n">
        <v>39972</v>
      </c>
      <c r="F1405" s="7" t="n">
        <v>4</v>
      </c>
      <c r="G1405" s="7" t="inlineStr">
        <is>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is>
      </c>
    </row>
    <row r="1406">
      <c r="A1406" s="7" t="n">
        <v>76276</v>
      </c>
      <c r="B1406" s="7" t="n">
        <v>238552</v>
      </c>
      <c r="C1406" s="7" t="n">
        <v>788632</v>
      </c>
      <c r="D1406" s="7" t="n">
        <v>255887</v>
      </c>
      <c r="E1406" s="8" t="n">
        <v>39756</v>
      </c>
      <c r="F1406" s="7" t="n">
        <v>5</v>
      </c>
      <c r="G1406" s="7" t="inlineStr">
        <is>
          <t>This came out wonderfully.  Everyone loved it, and we ate the leftovers for the next few days.  Huge hit.  Thanks for the recipe.</t>
        </is>
      </c>
    </row>
    <row r="1407">
      <c r="A1407" s="7" t="n">
        <v>121208</v>
      </c>
      <c r="B1407" s="7" t="n">
        <v>834730</v>
      </c>
      <c r="C1407" s="7" t="n">
        <v>789762</v>
      </c>
      <c r="D1407" s="7" t="n">
        <v>62236</v>
      </c>
      <c r="E1407" s="8" t="n">
        <v>39549</v>
      </c>
      <c r="F1407" s="7" t="n">
        <v>1</v>
      </c>
      <c r="G1407" s="7" t="inlineStr">
        <is>
          <t>This made me cringe. Then I spit it out in the sink.</t>
        </is>
      </c>
    </row>
    <row r="1408">
      <c r="A1408" s="7" t="n">
        <v>71990</v>
      </c>
      <c r="B1408" s="7" t="n">
        <v>794220</v>
      </c>
      <c r="C1408" s="7" t="n">
        <v>49544</v>
      </c>
      <c r="D1408" s="7" t="n">
        <v>24244</v>
      </c>
      <c r="E1408" s="8" t="n">
        <v>37460</v>
      </c>
      <c r="F1408" s="7" t="n">
        <v>5</v>
      </c>
      <c r="G1408" s="7" t="inlineStr">
        <is>
          <t>My family loved this dish.  It was easy to prepare and the sauce was so good.  I will certainly be preparing this recipe often.</t>
        </is>
      </c>
    </row>
    <row r="1409">
      <c r="A1409" s="7" t="n">
        <v>104652</v>
      </c>
      <c r="B1409" s="7" t="n">
        <v>676538</v>
      </c>
      <c r="C1409" s="7" t="n">
        <v>83400</v>
      </c>
      <c r="D1409" s="7" t="n">
        <v>59276</v>
      </c>
      <c r="E1409" s="8" t="n">
        <v>37855</v>
      </c>
      <c r="F1409" s="7" t="n">
        <v>5</v>
      </c>
      <c r="G1409" s="7" t="inlineStr">
        <is>
          <t>I sort of 'messed up' when I cooked this, but I'm putting in a review, neverheless, because the flavor is sooooo delicious, and because I have come to the conclusion it is virtually impossible to ruin it! I used pork spare ribs like Jan. I followed the recipe exactly until step 6, apart from doubling the sherry, soy sauce and vinegar. Then, without reading the instructions properly, I tossed in 2 cups of chicken stock, instead of 1/2 cup (bearing in mind I was doubling the sauce)! Uhh ooh. So, I simmered the ribs in all this fluid for about 30 minutes, then transferred them to an ovenproof dish in a single layer, spooned some of the sauce over, covered them with foil, and baked them at 350 F for 45 minutes, basting every now and then.  Meanwhile, I simmered the remaining sauce on the stove. By the time the ribs were cooked, the sauce had cooked right down and was packed with flavor. I served the ribs with some of the sauce spooned over.  They were a big hit with my family! Thanks Chia. This will be a favorite.</t>
        </is>
      </c>
    </row>
    <row r="1410">
      <c r="A1410" s="7" t="n">
        <v>19708</v>
      </c>
      <c r="B1410" s="7" t="n">
        <v>474120</v>
      </c>
      <c r="C1410" s="7" t="n">
        <v>626447</v>
      </c>
      <c r="D1410" s="7" t="n">
        <v>289</v>
      </c>
      <c r="E1410" s="8" t="n">
        <v>40365</v>
      </c>
      <c r="F1410" s="7" t="n">
        <v>5</v>
      </c>
      <c r="G1410" s="7" t="inlineStr">
        <is>
          <t>Since my family is adventerous and loves trying lots of ethnic dishes I made this for us to try.  Everyone agreed it was really good.  I probably added more ham than called for, along with the pork loin and sausage.  What a great blend of flavors in the pot!</t>
        </is>
      </c>
    </row>
    <row r="1411">
      <c r="A1411" s="7" t="n">
        <v>47913</v>
      </c>
      <c r="B1411" s="7" t="n">
        <v>337825</v>
      </c>
      <c r="C1411" s="7" t="n">
        <v>2001362355</v>
      </c>
      <c r="D1411" s="7" t="n">
        <v>466900</v>
      </c>
      <c r="E1411" s="8" t="n">
        <v>43285</v>
      </c>
      <c r="F1411" s="7" t="n">
        <v>5</v>
      </c>
      <c r="G1411" s="7" t="inlineStr">
        <is>
          <t>I cut this in half, didn't use the chives and used the substitute for half and half. Wonderful flavor!</t>
        </is>
      </c>
    </row>
    <row r="1412">
      <c r="A1412" s="7" t="n">
        <v>94950</v>
      </c>
      <c r="B1412" s="7" t="n">
        <v>58976</v>
      </c>
      <c r="C1412" s="7" t="n">
        <v>58104</v>
      </c>
      <c r="D1412" s="7" t="n">
        <v>231444</v>
      </c>
      <c r="E1412" s="8" t="n">
        <v>39608</v>
      </c>
      <c r="F1412" s="7" t="n">
        <v>5</v>
      </c>
      <c r="G1412" s="7" t="inlineStr">
        <is>
          <t>This is so quick and easy to make with lots of flavor. I poured it over a salad made of fresh greens, tomato, peppers, onions, and sliced avocado. Garnished with fresh cilantro. I did use 1 chipotle seeded and some sauce. Yummo!</t>
        </is>
      </c>
    </row>
    <row r="1413" ht="409.5" customHeight="1">
      <c r="A1413" s="7" t="n">
        <v>71522</v>
      </c>
      <c r="B1413" s="7" t="n">
        <v>283959</v>
      </c>
      <c r="C1413" s="7" t="n">
        <v>116429</v>
      </c>
      <c r="D1413" s="7" t="n">
        <v>26017</v>
      </c>
      <c r="E1413" s="8" t="n">
        <v>39969</v>
      </c>
      <c r="F1413" s="7" t="n">
        <v>5</v>
      </c>
      <c r="G1413" s="9" t="inlineStr">
        <is>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is>
      </c>
    </row>
    <row r="1414">
      <c r="A1414" s="7" t="n">
        <v>113306</v>
      </c>
      <c r="B1414" s="7" t="n">
        <v>716854</v>
      </c>
      <c r="C1414" s="7" t="n">
        <v>369715</v>
      </c>
      <c r="D1414" s="7" t="n">
        <v>137204</v>
      </c>
      <c r="E1414" s="8" t="n">
        <v>39506</v>
      </c>
      <c r="F1414" s="7" t="n">
        <v>4</v>
      </c>
      <c r="G1414" s="7" t="inlineStr">
        <is>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is>
      </c>
    </row>
    <row r="1415">
      <c r="A1415" s="7" t="n">
        <v>105286</v>
      </c>
      <c r="B1415" s="7" t="n">
        <v>216759</v>
      </c>
      <c r="C1415" s="7" t="n">
        <v>178504</v>
      </c>
      <c r="D1415" s="7" t="n">
        <v>118236</v>
      </c>
      <c r="E1415" s="8" t="n">
        <v>39803</v>
      </c>
      <c r="F1415" s="7" t="n">
        <v>5</v>
      </c>
      <c r="G1415" s="7" t="inlineStr">
        <is>
          <t>I just made a double batch of this to go in my gift baskets for the holidays, and I am thrilled with what a lovely jam this makes.  The lemon adds just the right tartness to the berries - and the consistency is perfect as well.  This is really delicious - thank you for sharing.</t>
        </is>
      </c>
    </row>
    <row r="1416">
      <c r="A1416" s="7" t="n">
        <v>99995</v>
      </c>
      <c r="B1416" s="7" t="n">
        <v>675804</v>
      </c>
      <c r="C1416" s="7" t="n">
        <v>160674</v>
      </c>
      <c r="D1416" s="7" t="n">
        <v>93775</v>
      </c>
      <c r="E1416" s="8" t="n">
        <v>38321</v>
      </c>
      <c r="F1416" s="7" t="n">
        <v>0</v>
      </c>
      <c r="G1416" s="7" t="inlineStr">
        <is>
          <t>I have been searching for a recipe like this for a while.  They were wonderful, and very easy to make.  My husband is actually asking me to make them - a vegetable!!!  I followed the recipe just as you have it.  I like the spice!</t>
        </is>
      </c>
    </row>
    <row r="1417">
      <c r="A1417" s="7" t="n">
        <v>113862</v>
      </c>
      <c r="B1417" s="7" t="n">
        <v>1104401</v>
      </c>
      <c r="C1417" s="7" t="n">
        <v>17803</v>
      </c>
      <c r="D1417" s="7" t="n">
        <v>254774</v>
      </c>
      <c r="E1417" s="8" t="n">
        <v>39623</v>
      </c>
      <c r="F1417" s="7" t="n">
        <v>5</v>
      </c>
      <c r="G1417" s="7" t="inlineStr">
        <is>
          <t>Yummy in the tummy!  These are very dangerous since they go down so easy!!  I'll have to try freezing this ahead for girls night at my house.  I made this for *Zaar World Tour 4* 2008  the Wild Card round  *South and Central America*   I'm playing on the team *Tastebud Tickling Travelers*  Go team go!</t>
        </is>
      </c>
    </row>
    <row r="1418">
      <c r="A1418" s="7" t="n">
        <v>11514</v>
      </c>
      <c r="B1418" s="7" t="n">
        <v>693500</v>
      </c>
      <c r="C1418" s="7" t="n">
        <v>24246</v>
      </c>
      <c r="D1418" s="7" t="n">
        <v>3051</v>
      </c>
      <c r="E1418" s="8" t="n">
        <v>37215</v>
      </c>
      <c r="F1418" s="7" t="n">
        <v>5</v>
      </c>
      <c r="G1418" s="7" t="inlineStr">
        <is>
          <t>brill i'm 13c and i could make it with ease</t>
        </is>
      </c>
    </row>
    <row r="1419">
      <c r="A1419" s="7" t="n">
        <v>82765</v>
      </c>
      <c r="B1419" s="7" t="n">
        <v>1076925</v>
      </c>
      <c r="C1419" s="7" t="n">
        <v>428885</v>
      </c>
      <c r="D1419" s="7" t="n">
        <v>231686</v>
      </c>
      <c r="E1419" s="8" t="n">
        <v>39237</v>
      </c>
      <c r="F1419" s="7" t="n">
        <v>5</v>
      </c>
      <c r="G1419" s="7" t="inlineStr">
        <is>
          <t>Sassy is right! Whewweee made this and I was running around from the delightfully Sassy - ie - ness of this burger. Had everything on hand~(I lOVE hot foods) Since my vegan sons were here too, I added some of the toppings and fixing's to their vegan burgers, Made the aioli using grapeseed mayo, (this mayo is very similar to regular mayo) and added all the bacon, cheese etc to the rest of the carnivore side of the family. This is terrific, and will most certainly be making this again. Thanks ! Made this as a part of ZWT3 07'</t>
        </is>
      </c>
    </row>
    <row r="1420">
      <c r="A1420" t="n">
        <v>22184</v>
      </c>
      <c r="B1420" t="n">
        <v>938524</v>
      </c>
      <c r="C1420" t="n">
        <v>1979911</v>
      </c>
      <c r="D1420" t="n">
        <v>82102</v>
      </c>
      <c r="E1420" s="1" t="n">
        <v>40797</v>
      </c>
      <c r="F1420" t="n">
        <v>5</v>
      </c>
      <c r="G1420" t="inlineStr">
        <is>
          <t>MMMMMMMM..... This is the best chicken EVER! It beats store bought or restaraunt fried chicken any day! Will be making this again and again!</t>
        </is>
      </c>
    </row>
    <row r="1421">
      <c r="A1421" s="7" t="n">
        <v>124731</v>
      </c>
      <c r="B1421" s="7" t="n">
        <v>501436</v>
      </c>
      <c r="C1421" s="7" t="n">
        <v>29655</v>
      </c>
      <c r="D1421" s="7" t="n">
        <v>164114</v>
      </c>
      <c r="E1421" s="8" t="n">
        <v>39252</v>
      </c>
      <c r="F1421" s="7" t="n">
        <v>4</v>
      </c>
      <c r="G1421" s="7" t="inlineStr">
        <is>
          <t>These were just what I was looking for and just like I remember them from Mom's (PA Dutch Country).  I doubled the ingredients and it turned out vonderful goot!  Thanks for posting!</t>
        </is>
      </c>
    </row>
    <row r="1422">
      <c r="A1422" t="n">
        <v>112151</v>
      </c>
      <c r="B1422" t="n">
        <v>149055</v>
      </c>
      <c r="C1422" t="n">
        <v>2002095824</v>
      </c>
      <c r="D1422" t="n">
        <v>152828</v>
      </c>
      <c r="E1422" s="1" t="n">
        <v>43194</v>
      </c>
      <c r="F1422" t="n">
        <v>4</v>
      </c>
      <c r="G1422" t="inlineStr">
        <is>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is>
      </c>
    </row>
    <row r="1423">
      <c r="A1423" s="7" t="n">
        <v>42568</v>
      </c>
      <c r="B1423" s="7" t="n">
        <v>984389</v>
      </c>
      <c r="C1423" s="7" t="n">
        <v>935666</v>
      </c>
      <c r="D1423" s="7" t="n">
        <v>9272</v>
      </c>
      <c r="E1423" s="8" t="n">
        <v>39686</v>
      </c>
      <c r="F1423" s="7" t="n">
        <v>5</v>
      </c>
      <c r="G1423" s="7" t="inlineStr">
        <is>
          <t>"The Best Salsa I've ever tasted" is exactly what everyone has said about this recipe! We took it to a picnic and it was gone in an hour!  We can hardly wait to make more as soon as some more tomatoes are ready!</t>
        </is>
      </c>
    </row>
    <row r="1424" ht="375" customHeight="1">
      <c r="A1424" t="n">
        <v>123271</v>
      </c>
      <c r="B1424" t="n">
        <v>151417</v>
      </c>
      <c r="C1424" t="n">
        <v>83101</v>
      </c>
      <c r="D1424" t="n">
        <v>65951</v>
      </c>
      <c r="E1424" s="1" t="n">
        <v>37840</v>
      </c>
      <c r="F1424" t="n">
        <v>4</v>
      </c>
      <c r="G1424" s="2" t="inlineStr">
        <is>
          <t>I made this last night.  Give it 5 stars for easy to make, but I'd deduct a star for flavor.  It was ok, but not what I had hoped--it turned out kind of cakey, and not so nutty._x000D_
Overall, though a good recipe.</t>
        </is>
      </c>
    </row>
    <row r="1425">
      <c r="A1425" s="7" t="n">
        <v>112416</v>
      </c>
      <c r="B1425" s="7" t="n">
        <v>993843</v>
      </c>
      <c r="C1425" s="7" t="n">
        <v>100837</v>
      </c>
      <c r="D1425" s="7" t="n">
        <v>39165</v>
      </c>
      <c r="E1425" s="8" t="n">
        <v>38261</v>
      </c>
      <c r="F1425" s="7" t="n">
        <v>5</v>
      </c>
      <c r="G1425" s="7" t="inlineStr">
        <is>
          <t>This was amazing!  I've never been enough of a cornbread fan to make it much, but I sure will now!  My husband and I loved it, and my 4-year old daughter loved it until the jalepeno sting kicked in.  I will definitely make this again!</t>
        </is>
      </c>
    </row>
    <row r="1426">
      <c r="A1426" s="7" t="n">
        <v>41551</v>
      </c>
      <c r="B1426" s="7" t="n">
        <v>1033773</v>
      </c>
      <c r="C1426" s="7" t="n">
        <v>268272</v>
      </c>
      <c r="D1426" s="7" t="n">
        <v>94292</v>
      </c>
      <c r="E1426" s="8" t="n">
        <v>40576</v>
      </c>
      <c r="F1426" s="7" t="n">
        <v>4</v>
      </c>
      <c r="G1426" s="7" t="inlineStr">
        <is>
          <t>These were yummy, and I'll probably make them many more times in the future, but nothing beats a good old-fashioned pan-fried chile relleno!  Thanks for a quick 'n easy submission however.</t>
        </is>
      </c>
    </row>
    <row r="1427">
      <c r="A1427" s="7" t="n">
        <v>19365</v>
      </c>
      <c r="B1427" s="7" t="n">
        <v>880577</v>
      </c>
      <c r="C1427" s="7" t="n">
        <v>296809</v>
      </c>
      <c r="D1427" s="7" t="n">
        <v>243313</v>
      </c>
      <c r="E1427" s="8" t="n">
        <v>39318</v>
      </c>
      <c r="F1427" s="7" t="n">
        <v>5</v>
      </c>
      <c r="G1427" s="7" t="inlineStr">
        <is>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is>
      </c>
    </row>
    <row r="1428">
      <c r="A1428" s="7" t="n">
        <v>47461</v>
      </c>
      <c r="B1428" s="7" t="n">
        <v>885969</v>
      </c>
      <c r="C1428" s="7" t="n">
        <v>1802982782</v>
      </c>
      <c r="D1428" s="7" t="n">
        <v>505860</v>
      </c>
      <c r="E1428" s="8" t="n">
        <v>41851</v>
      </c>
      <c r="F1428" s="7" t="n">
        <v>0</v>
      </c>
      <c r="G1428" s="7" t="inlineStr">
        <is>
          <t>You&amp;#039;ll also need 2/3 cup plus 2 Tbs granulated sugar which is not included in the recipe&amp;#039;s ingredient list!</t>
        </is>
      </c>
    </row>
    <row r="1429" ht="409.5" customHeight="1">
      <c r="A1429" s="7" t="n">
        <v>36003</v>
      </c>
      <c r="B1429" s="7" t="n">
        <v>379132</v>
      </c>
      <c r="C1429" s="7" t="n">
        <v>136029</v>
      </c>
      <c r="D1429" s="7" t="n">
        <v>26059</v>
      </c>
      <c r="E1429" s="8" t="n">
        <v>40287</v>
      </c>
      <c r="F1429" s="7" t="n">
        <v>5</v>
      </c>
      <c r="G1429" s="9" t="inlineStr">
        <is>
          <t>Delish-here is what I did: add: 1/2 cayenne pepper, subtract lemon pepper, add 1tsp lemon to the finished fish
How I cooked it: pam on the pan, hot skillet, reduced heat, seared one side of the catfish.  Flip, sear, 1/4 cup eater, lid on top, steam poach for 1-2 minutes until cooked.  Fish was super tender and delicious~ Fabulous-and good spice!</t>
        </is>
      </c>
    </row>
    <row r="1430">
      <c r="A1430" s="7" t="n">
        <v>107347</v>
      </c>
      <c r="B1430" s="7" t="n">
        <v>983723</v>
      </c>
      <c r="C1430" s="7" t="n">
        <v>195083</v>
      </c>
      <c r="D1430" s="7" t="n">
        <v>50575</v>
      </c>
      <c r="E1430" s="8" t="n">
        <v>39165</v>
      </c>
      <c r="F1430" s="7" t="n">
        <v>5</v>
      </c>
      <c r="G1430" s="7" t="inlineStr">
        <is>
          <t>I made this dish tonight for myself and my husband, and served it over couscous.  The only change I made to the recipe was the addition of approx. 1/2 cup of garbanzo beans which I added last right after pouring the sauce ingredients in. The only sound heard around the dinner table for about 15 minutes was the scraping of forks against plates, followed by the occasional "Mmmm!"  My neighbor's 14-year-old son happened to be over, and liked it as much as we did.</t>
        </is>
      </c>
    </row>
    <row r="1431">
      <c r="A1431" s="7" t="n">
        <v>60836</v>
      </c>
      <c r="B1431" s="7" t="n">
        <v>915906</v>
      </c>
      <c r="C1431" s="7" t="n">
        <v>72017</v>
      </c>
      <c r="D1431" s="7" t="n">
        <v>43876</v>
      </c>
      <c r="E1431" s="8" t="n">
        <v>38258</v>
      </c>
      <c r="F1431" s="7" t="n">
        <v>4</v>
      </c>
      <c r="G1431" s="7" t="inlineStr">
        <is>
          <t>Very good! I did not think I would like this cold but I did! Thanks!!</t>
        </is>
      </c>
    </row>
    <row r="1432">
      <c r="A1432" s="7" t="n">
        <v>147</v>
      </c>
      <c r="B1432" s="7" t="n">
        <v>135916</v>
      </c>
      <c r="C1432" s="7" t="n">
        <v>538491</v>
      </c>
      <c r="D1432" s="7" t="n">
        <v>16718</v>
      </c>
      <c r="E1432" s="8" t="n">
        <v>39422</v>
      </c>
      <c r="F1432" s="7" t="n">
        <v>5</v>
      </c>
      <c r="G1432" s="7" t="inlineStr">
        <is>
          <t>My first attempt at tamales.  The masa turned out perfect!  Thanks for making it so easy!</t>
        </is>
      </c>
    </row>
    <row r="1433">
      <c r="A1433" s="7" t="n">
        <v>95675</v>
      </c>
      <c r="B1433" s="7" t="n">
        <v>257498</v>
      </c>
      <c r="C1433" s="7" t="n">
        <v>601528</v>
      </c>
      <c r="D1433" s="7" t="n">
        <v>53730</v>
      </c>
      <c r="E1433" s="8" t="n">
        <v>39501</v>
      </c>
      <c r="F1433" s="7" t="n">
        <v>5</v>
      </c>
      <c r="G1433" s="7" t="inlineStr">
        <is>
          <t>Another first time chicken roaster here and this was a beautifully simple recipe that my whole family loved.  What an economical way to have a nice meal.  I picked the extra meat off the bone and now have enough meat for another meal.  Thank you!</t>
        </is>
      </c>
    </row>
    <row r="1434">
      <c r="A1434" s="7" t="n">
        <v>112590</v>
      </c>
      <c r="B1434" s="7" t="n">
        <v>1022536</v>
      </c>
      <c r="C1434" s="7" t="n">
        <v>37721</v>
      </c>
      <c r="D1434" s="7" t="n">
        <v>98680</v>
      </c>
      <c r="E1434" s="8" t="n">
        <v>42068</v>
      </c>
      <c r="F1434" s="7" t="n">
        <v>5</v>
      </c>
      <c r="G1434" s="7" t="inlineStr">
        <is>
          <t>I have to say this is most interesting. While it does NOT taste like cornbread, it is good. The best way to describe it is if scrambled eggs were made into bread. It&amp;#039;s very frittata-like, chewy but with bready consistency. I doubled the recipe and baked it at 350&amp;deg; F for 35 minutes in an 8x8 pan.</t>
        </is>
      </c>
    </row>
    <row r="1435">
      <c r="A1435" s="7" t="n">
        <v>11044</v>
      </c>
      <c r="B1435" s="7" t="n">
        <v>1011127</v>
      </c>
      <c r="C1435" s="7" t="n">
        <v>895132</v>
      </c>
      <c r="D1435" s="7" t="n">
        <v>258520</v>
      </c>
      <c r="E1435" s="8" t="n">
        <v>39901</v>
      </c>
      <c r="F1435" s="7" t="n">
        <v>5</v>
      </c>
      <c r="G1435" s="7" t="inlineStr">
        <is>
          <t>This is my favourite way to prepare veggies for a bbq! We make that for years, and it's a big hit. You can even add some balsamic vinegar to the cold leftovers. A highly recommendable recipe :-) Thanks for posting it!</t>
        </is>
      </c>
    </row>
    <row r="1436">
      <c r="A1436" s="7" t="n">
        <v>29150</v>
      </c>
      <c r="B1436" s="7" t="n">
        <v>1028162</v>
      </c>
      <c r="C1436" s="7" t="n">
        <v>1601457</v>
      </c>
      <c r="D1436" s="7" t="n">
        <v>248988</v>
      </c>
      <c r="E1436" s="8" t="n">
        <v>41562</v>
      </c>
      <c r="F1436" s="7" t="n">
        <v>5</v>
      </c>
      <c r="G1436" s="7" t="inlineStr">
        <is>
          <t>Out of this World Delicious!!</t>
        </is>
      </c>
    </row>
    <row r="1437">
      <c r="A1437" s="7" t="n">
        <v>111729</v>
      </c>
      <c r="B1437" s="7" t="n">
        <v>212909</v>
      </c>
      <c r="C1437" s="7" t="n">
        <v>60989</v>
      </c>
      <c r="D1437" s="7" t="n">
        <v>32684</v>
      </c>
      <c r="E1437" s="8" t="n">
        <v>37784</v>
      </c>
      <c r="F1437" s="7" t="n">
        <v>5</v>
      </c>
      <c r="G1437" s="7" t="inlineStr">
        <is>
          <t>Oh yeah, it feels like christmas at grandmas house! Big time flash back! Very moist and flavorful loaf cakes. YUMMY!!! Thanks!</t>
        </is>
      </c>
    </row>
    <row r="1438" ht="409.5" customHeight="1">
      <c r="A1438" s="7" t="n">
        <v>34479</v>
      </c>
      <c r="B1438" s="7" t="n">
        <v>205314</v>
      </c>
      <c r="C1438" s="7" t="n">
        <v>587597</v>
      </c>
      <c r="D1438" s="7" t="n">
        <v>175305</v>
      </c>
      <c r="E1438" s="8" t="n">
        <v>39384</v>
      </c>
      <c r="F1438" s="7" t="n">
        <v>5</v>
      </c>
      <c r="G1438" s="9" t="inlineStr">
        <is>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is>
      </c>
    </row>
    <row r="1439">
      <c r="A1439" s="7" t="n">
        <v>1304</v>
      </c>
      <c r="B1439" s="7" t="n">
        <v>460636</v>
      </c>
      <c r="C1439" s="7" t="n">
        <v>157785</v>
      </c>
      <c r="D1439" s="7" t="n">
        <v>58713</v>
      </c>
      <c r="E1439" s="8" t="n">
        <v>39552</v>
      </c>
      <c r="F1439" s="7" t="n">
        <v>5</v>
      </c>
      <c r="G1439" s="7" t="inlineStr">
        <is>
          <t>INCREDIBLE!!! I have never, ever had homemade chocolate pudding. This was awesome!!! It is a keeper at our house. I ate mine warm, lol! I had planned to take a picture but it set before I was able to. I will take one later this week as I am sure I'll be making again soon! Thanks again so much!</t>
        </is>
      </c>
    </row>
    <row r="1440" ht="135" customHeight="1">
      <c r="A1440" s="7" t="n">
        <v>73943</v>
      </c>
      <c r="B1440" s="7" t="n">
        <v>656885</v>
      </c>
      <c r="C1440" s="7" t="n">
        <v>1056623</v>
      </c>
      <c r="D1440" s="7" t="n">
        <v>27208</v>
      </c>
      <c r="E1440" s="8" t="n">
        <v>39838</v>
      </c>
      <c r="F1440" s="7" t="n">
        <v>4</v>
      </c>
      <c r="G1440" s="9" t="inlineStr">
        <is>
          <t>Very good , not sure its to Die for but we liked it
 Thanks!</t>
        </is>
      </c>
    </row>
    <row r="1441">
      <c r="A1441" s="7" t="n">
        <v>58734</v>
      </c>
      <c r="B1441" s="7" t="n">
        <v>931515</v>
      </c>
      <c r="C1441" s="7" t="n">
        <v>2002174577</v>
      </c>
      <c r="D1441" s="7" t="n">
        <v>272221</v>
      </c>
      <c r="E1441" s="8" t="n">
        <v>43254</v>
      </c>
      <c r="F1441" s="7" t="n">
        <v>3</v>
      </c>
      <c r="G1441" s="7" t="inlineStr">
        <is>
          <t>They were hard to make. But was good.</t>
        </is>
      </c>
    </row>
    <row r="1442">
      <c r="A1442" s="7" t="n">
        <v>23160</v>
      </c>
      <c r="B1442" s="7" t="n">
        <v>554751</v>
      </c>
      <c r="C1442" s="7" t="n">
        <v>1001007</v>
      </c>
      <c r="D1442" s="7" t="n">
        <v>48907</v>
      </c>
      <c r="E1442" s="8" t="n">
        <v>39875</v>
      </c>
      <c r="F1442" s="7" t="n">
        <v>5</v>
      </c>
      <c r="G1442" s="7" t="inlineStr">
        <is>
          <t>I never would have guessed this could be so easy!  Made it last weekend for my Wine and Cheese tasting.  Easily the most favored one of the cheese offerings.  Really, really good!</t>
        </is>
      </c>
    </row>
    <row r="1443">
      <c r="A1443" s="7" t="n">
        <v>16199</v>
      </c>
      <c r="B1443" s="7" t="n">
        <v>353016</v>
      </c>
      <c r="C1443" s="7" t="n">
        <v>1142566</v>
      </c>
      <c r="D1443" s="7" t="n">
        <v>19753</v>
      </c>
      <c r="E1443" s="8" t="n">
        <v>40262</v>
      </c>
      <c r="F1443" s="7" t="n">
        <v>5</v>
      </c>
      <c r="G1443" s="7" t="inlineStr">
        <is>
          <t>Very TASTY recipe!! The only change I made was to use one can of cream of potato soup for one of the cans of cream of chicken (because that's all I had). My whole family loved it!! It is definatley a keeper!! Thanks for posting!!</t>
        </is>
      </c>
    </row>
    <row r="1444" ht="409.5" customHeight="1">
      <c r="A1444" s="7" t="n">
        <v>90061</v>
      </c>
      <c r="B1444" s="7" t="n">
        <v>1125145</v>
      </c>
      <c r="C1444" s="7" t="n">
        <v>121795</v>
      </c>
      <c r="D1444" s="7" t="n">
        <v>49896</v>
      </c>
      <c r="E1444" s="8" t="n">
        <v>38898</v>
      </c>
      <c r="F1444" s="7" t="n">
        <v>5</v>
      </c>
      <c r="G1444" s="9" t="inlineStr">
        <is>
          <t>Wanted to let you know that we had this again tonight. This time it was set before DH got any._x000D_
He says it YUMMY!!!_x000D_
And he gives it 7 stars._x000D_
That really surprised me, he never gives anything more than 4 stars._x000D_
_x000D_
Thanks again.</t>
        </is>
      </c>
    </row>
    <row r="1445">
      <c r="A1445" s="7" t="n">
        <v>126288</v>
      </c>
      <c r="B1445" s="7" t="n">
        <v>629169</v>
      </c>
      <c r="C1445" s="7" t="n">
        <v>1801516946</v>
      </c>
      <c r="D1445" s="7" t="n">
        <v>499075</v>
      </c>
      <c r="E1445" s="8" t="n">
        <v>41637</v>
      </c>
      <c r="F1445" s="7" t="n">
        <v>0</v>
      </c>
      <c r="G1445" s="7" t="inlineStr">
        <is>
          <t>Worst tasting thing I&amp;#039;ve ever made.  It was just awful.  Complete waste of about $15!</t>
        </is>
      </c>
    </row>
    <row r="1446">
      <c r="A1446" s="7" t="n">
        <v>50113</v>
      </c>
      <c r="B1446" s="7" t="n">
        <v>1087708</v>
      </c>
      <c r="C1446" s="7" t="n">
        <v>678366</v>
      </c>
      <c r="D1446" s="7" t="n">
        <v>110936</v>
      </c>
      <c r="E1446" s="8" t="n">
        <v>40219</v>
      </c>
      <c r="F1446" s="7" t="n">
        <v>0</v>
      </c>
      <c r="G1446" s="7" t="inlineStr">
        <is>
          <t>I don't know why, but this didn't work out for me. I followed the instructions and I loved how the liver stayed tender,but I didn't enjoy the garlic-lemon with it,even though I love them both. I'll keep dry frying them this way from now on..</t>
        </is>
      </c>
    </row>
    <row r="1447">
      <c r="A1447" s="7" t="n">
        <v>26245</v>
      </c>
      <c r="B1447" s="7" t="n">
        <v>908830</v>
      </c>
      <c r="C1447" s="7" t="n">
        <v>705251</v>
      </c>
      <c r="D1447" s="7" t="n">
        <v>350361</v>
      </c>
      <c r="E1447" s="8" t="n">
        <v>40233</v>
      </c>
      <c r="F1447" s="7" t="n">
        <v>5</v>
      </c>
      <c r="G1447" s="7" t="inlineStr">
        <is>
          <t>Well Nif we'd give these two thumbs up but our other hand is full holding cookies because we are fighting over them!  Good thing this makes a huge batch!  I made a 1/6th batch (yep only had 3 cups of oats ha ha) and still received 41 cookies!  These are terrific...moist (unlike a lot of monster cookies that are dry), great flavors (brown sugar gives them a bit more depth).  Easy to mix up using my stand mixer and bake up perfectly in 13 minutes in my oven.  My whole family thanks you for sharing this gem!  Made during the Went to the Market tag game!</t>
        </is>
      </c>
    </row>
    <row r="1448">
      <c r="A1448" s="7" t="n">
        <v>34548</v>
      </c>
      <c r="B1448" s="7" t="n">
        <v>910233</v>
      </c>
      <c r="C1448" s="7" t="n">
        <v>440324</v>
      </c>
      <c r="D1448" s="7" t="n">
        <v>256185</v>
      </c>
      <c r="E1448" s="8" t="n">
        <v>40457</v>
      </c>
      <c r="F1448" s="7" t="n">
        <v>5</v>
      </c>
      <c r="G1448" s="7" t="inlineStr">
        <is>
          <t>I halved the lemon juice and zest, and it was restaurant quality, if not better. Thank you.</t>
        </is>
      </c>
    </row>
    <row r="1449">
      <c r="A1449" s="7" t="n">
        <v>72174</v>
      </c>
      <c r="B1449" s="7" t="n">
        <v>837713</v>
      </c>
      <c r="C1449" s="7" t="n">
        <v>1263332</v>
      </c>
      <c r="D1449" s="7" t="n">
        <v>110683</v>
      </c>
      <c r="E1449" s="8" t="n">
        <v>40188</v>
      </c>
      <c r="F1449" s="7" t="n">
        <v>5</v>
      </c>
      <c r="G1449" s="7" t="inlineStr">
        <is>
          <t>Thank you! I was about to give up on making waffles (after many bad experiences with them getting stuck) until I found this one.  Every waffle came out perfect.  I just mixed the wet ingredients and put dry ones on top and mixed.  Thank you!!!</t>
        </is>
      </c>
    </row>
    <row r="1450">
      <c r="A1450" s="7" t="n">
        <v>2152</v>
      </c>
      <c r="B1450" s="7" t="n">
        <v>797888</v>
      </c>
      <c r="C1450" s="7" t="n">
        <v>732809</v>
      </c>
      <c r="D1450" s="7" t="n">
        <v>197866</v>
      </c>
      <c r="E1450" s="8" t="n">
        <v>39481</v>
      </c>
      <c r="F1450" s="7" t="n">
        <v>2</v>
      </c>
      <c r="G1450" s="7" t="inlineStr">
        <is>
          <t>i found this recipe a bit grainy,and tatting more like shortening despite the 2 cups of sugar.i added a little flour to try to smooth out the grainyness and also added a little bit of powdered sugar..then the sweetness was better,but still not creamy smooth.</t>
        </is>
      </c>
    </row>
    <row r="1451">
      <c r="A1451" s="7" t="n">
        <v>79931</v>
      </c>
      <c r="B1451" s="7" t="n">
        <v>372827</v>
      </c>
      <c r="C1451" s="7" t="n">
        <v>663997</v>
      </c>
      <c r="D1451" s="7" t="n">
        <v>146703</v>
      </c>
      <c r="E1451" s="8" t="n">
        <v>39866</v>
      </c>
      <c r="F1451" s="7" t="n">
        <v>5</v>
      </c>
      <c r="G1451" s="7" t="inlineStr">
        <is>
          <t>Great made a turkey.  It was moist and deliciioyus  can't wait for a chicken.  Did add some lemon pepper as well.</t>
        </is>
      </c>
    </row>
    <row r="1452">
      <c r="A1452" s="7" t="n">
        <v>54669</v>
      </c>
      <c r="B1452" s="7" t="n">
        <v>883748</v>
      </c>
      <c r="C1452" s="7" t="n">
        <v>141631</v>
      </c>
      <c r="D1452" s="7" t="n">
        <v>52282</v>
      </c>
      <c r="E1452" s="8" t="n">
        <v>38362</v>
      </c>
      <c r="F1452" s="7" t="n">
        <v>5</v>
      </c>
      <c r="G1452" s="7" t="inlineStr">
        <is>
          <t>I loved this and so did everyone that ate it. While I tossed the pasta and sauce I added smoke chicken breasts that I had heated up and cut into bite size pieces. It went very well together. Wonderful pasta dish .. thank you !!!</t>
        </is>
      </c>
    </row>
    <row r="1453">
      <c r="A1453" s="7" t="n">
        <v>112324</v>
      </c>
      <c r="B1453" s="7" t="n">
        <v>1093104</v>
      </c>
      <c r="C1453" s="7" t="n">
        <v>1221603</v>
      </c>
      <c r="D1453" s="7" t="n">
        <v>120416</v>
      </c>
      <c r="E1453" s="8" t="n">
        <v>40519</v>
      </c>
      <c r="F1453" s="7" t="n">
        <v>2</v>
      </c>
      <c r="G1453" s="7" t="inlineStr">
        <is>
          <t>Meh. There was nothing particularly special or good about this recipe. Pretty basic. Make your meat, and eggs, throw 'em on a biscuit or english muffin with some cheese and freeze for later. &lt;br/&gt;&lt;br/&gt;They were pretty bland, from the seasoning to the cheese. Get real greasy when you heat them up. Pretty messy to eat like in the car on the way to work or anything.</t>
        </is>
      </c>
    </row>
    <row r="1454">
      <c r="A1454" t="n">
        <v>116716</v>
      </c>
      <c r="B1454" t="n">
        <v>675166</v>
      </c>
      <c r="C1454" t="n">
        <v>122087</v>
      </c>
      <c r="D1454" t="n">
        <v>23805</v>
      </c>
      <c r="E1454" s="1" t="n">
        <v>41423</v>
      </c>
      <c r="F1454" t="n">
        <v>5</v>
      </c>
      <c r="G1454" t="inlineStr">
        <is>
          <t>I used baby lima beans and a ham bone, with some good meat on it. (Always prefer that over ham hock.). Warm and comforting - just like mom used to make! I only added 1tsp salt, to make up for salt in ham, and threw in a little season all.</t>
        </is>
      </c>
    </row>
    <row r="1455">
      <c r="A1455" t="n">
        <v>63662</v>
      </c>
      <c r="B1455" t="n">
        <v>716027</v>
      </c>
      <c r="C1455" t="n">
        <v>125388</v>
      </c>
      <c r="D1455" t="n">
        <v>59148</v>
      </c>
      <c r="E1455" s="1" t="n">
        <v>40349</v>
      </c>
      <c r="F1455" t="n">
        <v>5</v>
      </c>
      <c r="G1455" t="inlineStr">
        <is>
          <t>Great drink with tropical flavors.  I reduced the amount of peach schnapps and coconut rum to one ounce each (personal preference) and doubled the amount of vodka (again, personal preference!).  Made 3 tall drinks for us.</t>
        </is>
      </c>
    </row>
    <row r="1456">
      <c r="A1456" s="7" t="n">
        <v>39502</v>
      </c>
      <c r="B1456" s="7" t="n">
        <v>936553</v>
      </c>
      <c r="C1456" s="7" t="n">
        <v>496803</v>
      </c>
      <c r="D1456" s="7" t="n">
        <v>456699</v>
      </c>
      <c r="E1456" s="8" t="n">
        <v>40779</v>
      </c>
      <c r="F1456" s="7" t="n">
        <v>4</v>
      </c>
      <c r="G1456" s="7" t="inlineStr">
        <is>
          <t>I enjoyed this dish.  The olives were omitted, as my friend really doesn't care for them.  Cooking the chicken with all of the seasonings made a wonderful stock which added lots of flavor both to the meat and the rice.  After removing the meat and straining out the solids, I skimmed the fat off of the remaining broth before serving- for a half recipe, 1/4 cup of fat was removed!  I cut this in half, hoping to have dinner for myself and a friend, plus leftovers for lunch.  What I got was enough food to feed at least 4 people- with hearty appetites.  I really liked the flavors, and the only thing I would change is to leave out the beans and increase the peas- I didn't really enjoy the texture of the beans, but that's personal preference.  Thanks for posting!</t>
        </is>
      </c>
    </row>
    <row r="1457">
      <c r="A1457" s="7" t="n">
        <v>40417</v>
      </c>
      <c r="B1457" s="7" t="n">
        <v>1043596</v>
      </c>
      <c r="C1457" s="7" t="n">
        <v>285370</v>
      </c>
      <c r="D1457" s="7" t="n">
        <v>43396</v>
      </c>
      <c r="E1457" s="8" t="n">
        <v>39053</v>
      </c>
      <c r="F1457" s="7" t="n">
        <v>5</v>
      </c>
      <c r="G1457" s="7" t="inlineStr">
        <is>
          <t>I work part time at a hotel and they always make these for some of their banquets and guests are always commenting on how wonderful they were. These taste exactly like the one's from work. OUTSTANDING. Made this recipe for family and everyone loved them. Thank you Lissa</t>
        </is>
      </c>
    </row>
    <row r="1458">
      <c r="A1458" s="7" t="n">
        <v>125807</v>
      </c>
      <c r="B1458" s="7" t="n">
        <v>767666</v>
      </c>
      <c r="C1458" s="7" t="n">
        <v>1609858</v>
      </c>
      <c r="D1458" s="7" t="n">
        <v>474545</v>
      </c>
      <c r="E1458" s="8" t="n">
        <v>41309</v>
      </c>
      <c r="F1458" s="7" t="n">
        <v>4</v>
      </c>
      <c r="G1458" s="7" t="inlineStr">
        <is>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is>
      </c>
    </row>
    <row r="1459">
      <c r="A1459" s="7" t="n">
        <v>68865</v>
      </c>
      <c r="B1459" s="7" t="n">
        <v>63457</v>
      </c>
      <c r="C1459" s="7" t="n">
        <v>993604</v>
      </c>
      <c r="D1459" s="7" t="n">
        <v>273675</v>
      </c>
      <c r="E1459" s="8" t="n">
        <v>39823</v>
      </c>
      <c r="F1459" s="7" t="n">
        <v>5</v>
      </c>
      <c r="G1459" s="7" t="inlineStr">
        <is>
          <t>Very good and extremely easy. I made as a side dish for Thanksgiving dinner. Next time I might try with 1 T sugar and see how it turns out.</t>
        </is>
      </c>
    </row>
    <row r="1460" ht="409.5" customHeight="1">
      <c r="A1460" s="7" t="n">
        <v>116449</v>
      </c>
      <c r="B1460" s="7" t="n">
        <v>520028</v>
      </c>
      <c r="C1460" s="7" t="n">
        <v>2000497144</v>
      </c>
      <c r="D1460" s="7" t="n">
        <v>62159</v>
      </c>
      <c r="E1460" s="8" t="n">
        <v>42272</v>
      </c>
      <c r="F1460" s="7" t="n">
        <v>5</v>
      </c>
      <c r="G1460" s="9" t="inlineStr">
        <is>
          <t>Great recipe. 
This is not an Indian recipe this is a Sri Lankan recipe. &amp;quot;Pol&amp;quot; means coconut in sinhalese.  Would be nice if the author or the owners of the website make the correction.</t>
        </is>
      </c>
    </row>
    <row r="1461">
      <c r="A1461" s="7" t="n">
        <v>38544</v>
      </c>
      <c r="B1461" s="7" t="n">
        <v>594361</v>
      </c>
      <c r="C1461" s="7" t="n">
        <v>186852</v>
      </c>
      <c r="D1461" s="7" t="n">
        <v>105879</v>
      </c>
      <c r="E1461" s="8" t="n">
        <v>38363</v>
      </c>
      <c r="F1461" s="7" t="n">
        <v>4</v>
      </c>
      <c r="G1461" s="7" t="inlineStr">
        <is>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is>
      </c>
    </row>
    <row r="1462">
      <c r="A1462" s="7" t="n">
        <v>49247</v>
      </c>
      <c r="B1462" s="7" t="n">
        <v>81006</v>
      </c>
      <c r="C1462" s="7" t="n">
        <v>369734</v>
      </c>
      <c r="D1462" s="7" t="n">
        <v>23439</v>
      </c>
      <c r="E1462" s="8" t="n">
        <v>39182</v>
      </c>
      <c r="F1462" s="7" t="n">
        <v>5</v>
      </c>
      <c r="G1462" s="7" t="inlineStr">
        <is>
          <t>This recipe was very simple and wonderful. I took it to a dinner party and everyone loved it! I used fresh dill and added more than recommended. I also added more garlic and it turned out delicious. I will definitely be making this again!</t>
        </is>
      </c>
    </row>
    <row r="1463">
      <c r="A1463" s="7" t="n">
        <v>104758</v>
      </c>
      <c r="B1463" s="7" t="n">
        <v>348897</v>
      </c>
      <c r="C1463" s="7" t="n">
        <v>1823559</v>
      </c>
      <c r="D1463" s="7" t="n">
        <v>50719</v>
      </c>
      <c r="E1463" s="8" t="n">
        <v>40605</v>
      </c>
      <c r="F1463" s="7" t="n">
        <v>0</v>
      </c>
      <c r="G1463" s="7" t="inlineStr">
        <is>
          <t>These are amazing! I made some and had my husband take a dozen with him to work - they were all gone within 10 minutes!</t>
        </is>
      </c>
    </row>
    <row r="1464">
      <c r="A1464" s="7" t="n">
        <v>11273</v>
      </c>
      <c r="B1464" s="7" t="n">
        <v>467895</v>
      </c>
      <c r="C1464" s="7" t="n">
        <v>657334</v>
      </c>
      <c r="D1464" s="7" t="n">
        <v>119152</v>
      </c>
      <c r="E1464" s="8" t="n">
        <v>39772</v>
      </c>
      <c r="F1464" s="7" t="n">
        <v>5</v>
      </c>
      <c r="G1464" s="7" t="inlineStr">
        <is>
          <t>fabulous flavor! Another venison recipe to keep! Do you have any for jerky?? Thanks! JustJan</t>
        </is>
      </c>
    </row>
    <row r="1465">
      <c r="A1465" s="7" t="n">
        <v>554</v>
      </c>
      <c r="B1465" s="7" t="n">
        <v>178796</v>
      </c>
      <c r="C1465" s="7" t="n">
        <v>324123</v>
      </c>
      <c r="D1465" s="7" t="n">
        <v>89385</v>
      </c>
      <c r="E1465" s="8" t="n">
        <v>38887</v>
      </c>
      <c r="F1465" s="7" t="n">
        <v>5</v>
      </c>
      <c r="G1465" s="7" t="inlineStr">
        <is>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is>
      </c>
    </row>
    <row r="1466">
      <c r="A1466" s="7" t="n">
        <v>50303</v>
      </c>
      <c r="B1466" s="7" t="n">
        <v>81656</v>
      </c>
      <c r="C1466" s="7" t="n">
        <v>119859</v>
      </c>
      <c r="D1466" s="7" t="n">
        <v>180833</v>
      </c>
      <c r="E1466" s="8" t="n">
        <v>41450</v>
      </c>
      <c r="F1466" s="7" t="n">
        <v>0</v>
      </c>
      <c r="G1466" s="7" t="inlineStr">
        <is>
          <t>I had some steamed baby red potatoes left over, and I passed them through a ricer instead of using raw potatoes, and shredded my zucchini using a mandoline, but otherwise followed the recipe to a tee. These were amazing. They didn&amp;#039;t even need sour cream.</t>
        </is>
      </c>
    </row>
    <row r="1467">
      <c r="A1467" t="n">
        <v>112680</v>
      </c>
      <c r="B1467" t="n">
        <v>48582</v>
      </c>
      <c r="C1467" t="n">
        <v>1356721</v>
      </c>
      <c r="D1467" t="n">
        <v>252423</v>
      </c>
      <c r="E1467" s="1" t="n">
        <v>40595</v>
      </c>
      <c r="F1467" t="n">
        <v>5</v>
      </c>
      <c r="G1467" t="inlineStr">
        <is>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is>
      </c>
    </row>
    <row r="1468">
      <c r="A1468" s="7" t="n">
        <v>1343</v>
      </c>
      <c r="B1468" s="7" t="n">
        <v>1061214</v>
      </c>
      <c r="C1468" s="7" t="n">
        <v>41984</v>
      </c>
      <c r="D1468" s="7" t="n">
        <v>68728</v>
      </c>
      <c r="E1468" s="8" t="n">
        <v>37875</v>
      </c>
      <c r="F1468" s="7" t="n">
        <v>5</v>
      </c>
      <c r="G1468" s="7" t="inlineStr">
        <is>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is>
      </c>
    </row>
    <row r="1469">
      <c r="A1469" s="7" t="n">
        <v>69303</v>
      </c>
      <c r="B1469" s="7" t="n">
        <v>857983</v>
      </c>
      <c r="C1469" s="7" t="n">
        <v>1340977</v>
      </c>
      <c r="D1469" s="7" t="n">
        <v>362674</v>
      </c>
      <c r="E1469" s="8" t="n">
        <v>40077</v>
      </c>
      <c r="F1469" s="7" t="n">
        <v>5</v>
      </c>
      <c r="G1469" s="7" t="inlineStr">
        <is>
          <t>Hubby and I really loved this! I loved the fact that it was really simple and still had a lot of flavor! Will be fixing this again and again!!!</t>
        </is>
      </c>
    </row>
    <row r="1470">
      <c r="A1470" s="7" t="n">
        <v>52504</v>
      </c>
      <c r="B1470" s="7" t="n">
        <v>1044771</v>
      </c>
      <c r="C1470" s="7" t="n">
        <v>83093</v>
      </c>
      <c r="D1470" s="7" t="n">
        <v>221014</v>
      </c>
      <c r="E1470" s="8" t="n">
        <v>39211</v>
      </c>
      <c r="F1470" s="7" t="n">
        <v>5</v>
      </c>
      <c r="G1470" s="7" t="inlineStr">
        <is>
          <t>We had this for dinner as it was sandwich night at the hacienda and I needed to spruce up the plates - didn't want to crew to think I was shorting them. I left out the black olives, not a fave here, and added thinly sliced yellow squash and red onion.  I minced up some parsley and oregano plus threw a handful of crumbled feta into the dressing before shaking it up.  They then felt loved. ;-) The technique is what I like most about this recipe - make salads in the afternoon, have them for dinner and the greens are still crisp. You're pretty clever, Miss Debber. Thanks for sharing!</t>
        </is>
      </c>
    </row>
    <row r="1471">
      <c r="A1471" s="7" t="n">
        <v>92152</v>
      </c>
      <c r="B1471" s="7" t="n">
        <v>747169</v>
      </c>
      <c r="C1471" s="7" t="n">
        <v>1804694</v>
      </c>
      <c r="D1471" s="7" t="n">
        <v>263265</v>
      </c>
      <c r="E1471" s="8" t="n">
        <v>40566</v>
      </c>
      <c r="F1471" s="7" t="n">
        <v>5</v>
      </c>
      <c r="G1471" s="7" t="inlineStr">
        <is>
          <t>My mom made these for breakfast one morning and they were sooo good! We were practically licking the glaze from the spoon. Thanks kittencal for another great recipe which gives me a reason to eat sugar... Abundantly.</t>
        </is>
      </c>
    </row>
    <row r="1472">
      <c r="A1472" s="7" t="n">
        <v>12487</v>
      </c>
      <c r="B1472" s="7" t="n">
        <v>462361</v>
      </c>
      <c r="C1472" s="7" t="n">
        <v>37449</v>
      </c>
      <c r="D1472" s="7" t="n">
        <v>99395</v>
      </c>
      <c r="E1472" s="8" t="n">
        <v>38358</v>
      </c>
      <c r="F1472" s="7" t="n">
        <v>5</v>
      </c>
      <c r="G1472" s="7" t="inlineStr">
        <is>
          <t>This is one of those recipes I wish I could give 10 stars! The taste was fabulous. I scaled the recipe down to about 1/3, but I'm going back to the kitchen to to make more. Wonderful, thanks  so much for posting! This will definately be made many times!</t>
        </is>
      </c>
    </row>
    <row r="1473">
      <c r="A1473" s="7" t="n">
        <v>85199</v>
      </c>
      <c r="B1473" s="7" t="n">
        <v>381987</v>
      </c>
      <c r="C1473" s="7" t="n">
        <v>56392</v>
      </c>
      <c r="D1473" s="7" t="n">
        <v>43974</v>
      </c>
      <c r="E1473" s="8" t="n">
        <v>37997</v>
      </c>
      <c r="F1473" s="7" t="n">
        <v>2</v>
      </c>
      <c r="G1473" s="7" t="inlineStr">
        <is>
          <t>Sorry this was just not a hit with us. I really thought that we would like this one. The flavors were ok, but it was far too dry. I think that it needed more sauce of some kind. My family ate it but asked me to not make this again. Maybe with some tweaking, more milk and garlic, they may enjoy it.</t>
        </is>
      </c>
    </row>
    <row r="1474">
      <c r="A1474" s="7" t="n">
        <v>86152</v>
      </c>
      <c r="B1474" s="7" t="n">
        <v>1068734</v>
      </c>
      <c r="C1474" s="7" t="n">
        <v>1535</v>
      </c>
      <c r="D1474" s="7" t="n">
        <v>102185</v>
      </c>
      <c r="E1474" s="8" t="n">
        <v>38663</v>
      </c>
      <c r="F1474" s="7" t="n">
        <v>4</v>
      </c>
      <c r="G1474" s="7" t="inlineStr">
        <is>
          <t xml:space="preserve">The kids asked me to give this 5,000 stars for taste. LOL! It does have a wonderful flavor (a bit sweet, which is probably why they liked it so much) but I feel the recipe needs some flour or  cornstarch in it to thicken the sauce. I couldn't find the white corn for some reason but the yellow worked fine. </t>
        </is>
      </c>
    </row>
    <row r="1475">
      <c r="A1475" s="7" t="n">
        <v>28023</v>
      </c>
      <c r="B1475" s="7" t="n">
        <v>344214</v>
      </c>
      <c r="C1475" s="7" t="n">
        <v>359166</v>
      </c>
      <c r="D1475" s="7" t="n">
        <v>222188</v>
      </c>
      <c r="E1475" s="8" t="n">
        <v>39327</v>
      </c>
      <c r="F1475" s="7" t="n">
        <v>5</v>
      </c>
      <c r="G1475" s="7" t="inlineStr">
        <is>
          <t>Great simple recipe. I added more powdered sugar for a stiffer frosting. The second time I made it I used almond extract in place of vanilla for an almond buttercream and it came out perfect as well!</t>
        </is>
      </c>
    </row>
    <row r="1476" ht="409.5" customHeight="1">
      <c r="A1476" s="7" t="n">
        <v>15154</v>
      </c>
      <c r="B1476" s="7" t="n">
        <v>1130523</v>
      </c>
      <c r="C1476" s="7" t="n">
        <v>303700</v>
      </c>
      <c r="D1476" s="7" t="n">
        <v>202106</v>
      </c>
      <c r="E1476" s="8" t="n">
        <v>39822</v>
      </c>
      <c r="F1476" s="7" t="n">
        <v>5</v>
      </c>
      <c r="G1476" s="9" t="inlineStr">
        <is>
          <t>Made for Photo Tag._x000D_
This was delicious...I loved the soft sweet onions married up to the dried fruits and spices!_x000D_
Due to the hounds that were after their dinner I totally forgot the almonds...:(_x000D_
Although I really didn't miss them._x000D_
I chopped the fruit up too much...I think the presentation would have been nicer with them just halved...that was my oversight.</t>
        </is>
      </c>
    </row>
    <row r="1477">
      <c r="A1477" s="7" t="n">
        <v>27917</v>
      </c>
      <c r="B1477" s="7" t="n">
        <v>660584</v>
      </c>
      <c r="C1477" s="7" t="n">
        <v>63232</v>
      </c>
      <c r="D1477" s="7" t="n">
        <v>214051</v>
      </c>
      <c r="E1477" s="8" t="n">
        <v>40163</v>
      </c>
      <c r="F1477" s="7" t="n">
        <v>5</v>
      </c>
      <c r="G1477" s="7" t="inlineStr">
        <is>
          <t>Yummy.  I only made the plain glaze and found that was more than enough for the scones.  These are sweeter than traditional scones, but they go great with tea too!</t>
        </is>
      </c>
    </row>
    <row r="1478">
      <c r="A1478" s="7" t="n">
        <v>112156</v>
      </c>
      <c r="B1478" s="7" t="n">
        <v>300117</v>
      </c>
      <c r="C1478" s="7" t="n">
        <v>257653</v>
      </c>
      <c r="D1478" s="7" t="n">
        <v>97085</v>
      </c>
      <c r="E1478" s="8" t="n">
        <v>38883</v>
      </c>
      <c r="F1478" s="7" t="n">
        <v>5</v>
      </c>
      <c r="G1478" s="7" t="inlineStr">
        <is>
          <t>Excellent!  Big hit at prayer group!</t>
        </is>
      </c>
    </row>
    <row r="1479">
      <c r="A1479" s="7" t="n">
        <v>63333</v>
      </c>
      <c r="B1479" s="7" t="n">
        <v>997885</v>
      </c>
      <c r="C1479" s="7" t="n">
        <v>486725</v>
      </c>
      <c r="D1479" s="7" t="n">
        <v>136899</v>
      </c>
      <c r="E1479" s="8" t="n">
        <v>39908</v>
      </c>
      <c r="F1479" s="7" t="n">
        <v>5</v>
      </c>
      <c r="G1479" s="7" t="inlineStr">
        <is>
          <t>This made a great pasta sauce! We squeezed a little more lemon over it and topped it with some arugula at the table.</t>
        </is>
      </c>
    </row>
    <row r="1480">
      <c r="A1480" s="7" t="n">
        <v>56144</v>
      </c>
      <c r="B1480" s="7" t="n">
        <v>482408</v>
      </c>
      <c r="C1480" s="7" t="n">
        <v>13483</v>
      </c>
      <c r="D1480" s="7" t="n">
        <v>125578</v>
      </c>
      <c r="E1480" s="8" t="n">
        <v>38551</v>
      </c>
      <c r="F1480" s="7" t="n">
        <v>5</v>
      </c>
      <c r="G1480" s="7" t="inlineStr">
        <is>
          <t>I love tarragon and have some growing outside my back door.  I use it in anything I can think of.  So this worked like a charm for me.  I added extra garlic and a lot more tarragon.  Great over my "greens".  Thanks abloom69</t>
        </is>
      </c>
    </row>
    <row r="1481">
      <c r="A1481" s="7" t="n">
        <v>21308</v>
      </c>
      <c r="B1481" s="7" t="n">
        <v>265804</v>
      </c>
      <c r="C1481" s="7" t="n">
        <v>1078054</v>
      </c>
      <c r="D1481" s="7" t="n">
        <v>107786</v>
      </c>
      <c r="E1481" s="8" t="n">
        <v>39798</v>
      </c>
      <c r="F1481" s="7" t="n">
        <v>5</v>
      </c>
      <c r="G1481" s="7" t="inlineStr">
        <is>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is>
      </c>
    </row>
    <row r="1482">
      <c r="A1482" s="7" t="n">
        <v>108220</v>
      </c>
      <c r="B1482" s="7" t="n">
        <v>265371</v>
      </c>
      <c r="C1482" s="7" t="n">
        <v>186070</v>
      </c>
      <c r="D1482" s="7" t="n">
        <v>107786</v>
      </c>
      <c r="E1482" s="8" t="n">
        <v>38821</v>
      </c>
      <c r="F1482" s="7" t="n">
        <v>5</v>
      </c>
      <c r="G1482" s="7" t="inlineStr">
        <is>
          <t>Excellent ribs, made them almost exactly as written but I didn't have hickory salt so subbed some Old Bay.  I also cooked them at 225 for 4 hours as I was leaving for a doctor's appointment and wanted dinner to be done when I got home.  My husband and children loved them.  Be sure and line the pan with foil too as some of the sugar spice rub leaks out and can stick to your pan.  Great recipe, thanks so much for sharing.</t>
        </is>
      </c>
    </row>
    <row r="1483">
      <c r="A1483" s="7" t="n">
        <v>30911</v>
      </c>
      <c r="B1483" s="7" t="n">
        <v>38754</v>
      </c>
      <c r="C1483" s="7" t="n">
        <v>358095</v>
      </c>
      <c r="D1483" s="7" t="n">
        <v>84807</v>
      </c>
      <c r="E1483" s="8" t="n">
        <v>39872</v>
      </c>
      <c r="F1483" s="7" t="n">
        <v>4</v>
      </c>
      <c r="G1483" s="7" t="inlineStr">
        <is>
          <t>What a tasty yet easy recipe!  It was a little too lime-y for us, but after adding some red pepper flakes, it was great.  This will be made frequently, especially since it goes together so quickly.  I served it with brown rice and edamame.  Thanks Judy!</t>
        </is>
      </c>
    </row>
    <row r="1484">
      <c r="A1484" s="7" t="n">
        <v>107138</v>
      </c>
      <c r="B1484" s="7" t="n">
        <v>462549</v>
      </c>
      <c r="C1484" s="7" t="n">
        <v>183964</v>
      </c>
      <c r="D1484" s="7" t="n">
        <v>142524</v>
      </c>
      <c r="E1484" s="8" t="n">
        <v>38761</v>
      </c>
      <c r="F1484" s="7" t="n">
        <v>5</v>
      </c>
      <c r="G1484" s="7" t="inlineStr">
        <is>
          <t>I haven't thought of or had this in thirty years. WHen I saw it it reminded me of my childhood. After three days of craving and thinking about nothing else... I made it in a moment of weakness. Just like I remember Granny's from when I was a kid. It won't be another thirty years before I make again. Thanks for the memory.</t>
        </is>
      </c>
    </row>
    <row r="1485">
      <c r="A1485" s="7" t="n">
        <v>119731</v>
      </c>
      <c r="B1485" s="7" t="n">
        <v>698033</v>
      </c>
      <c r="C1485" s="7" t="n">
        <v>250031</v>
      </c>
      <c r="D1485" s="7" t="n">
        <v>75109</v>
      </c>
      <c r="E1485" s="8" t="n">
        <v>40166</v>
      </c>
      <c r="F1485" s="7" t="n">
        <v>5</v>
      </c>
      <c r="G1485" s="7" t="inlineStr">
        <is>
          <t>This is the recipe I always use but with a couple of additions: I add 1 cup of quick oats and 1/2 cup crushed pineapple (drained). These are a family favorite! I originally got the recipe from the Libby's can. Addendum: Today I used OJ in the icing instead of milk and sprinkled with chopped pecans (see photo). Very tasty!</t>
        </is>
      </c>
    </row>
    <row r="1486">
      <c r="A1486" s="7" t="n">
        <v>15439</v>
      </c>
      <c r="B1486" s="7" t="n">
        <v>757561</v>
      </c>
      <c r="C1486" s="7" t="n">
        <v>198154</v>
      </c>
      <c r="D1486" s="7" t="n">
        <v>140047</v>
      </c>
      <c r="E1486" s="8" t="n">
        <v>41464</v>
      </c>
      <c r="F1486" s="7" t="n">
        <v>5</v>
      </c>
      <c r="G1486" s="7" t="inlineStr">
        <is>
          <t>I used light mayo because that is what I had on hand.  I made the marinade in the morning and put the chicken in to soak.  For the vegetarians in our family we just brushed it on naked Quorn cutlets while they were grilling.  Everyone enjoyed this.  There isn&amp;#039;t a single left over to put away!!</t>
        </is>
      </c>
    </row>
    <row r="1487">
      <c r="A1487" s="7" t="n">
        <v>98420</v>
      </c>
      <c r="B1487" s="7" t="n">
        <v>1028465</v>
      </c>
      <c r="C1487" s="7" t="n">
        <v>679953</v>
      </c>
      <c r="D1487" s="7" t="n">
        <v>482653</v>
      </c>
      <c r="E1487" s="8" t="n">
        <v>41571</v>
      </c>
      <c r="F1487" s="7" t="n">
        <v>5</v>
      </c>
      <c r="G1487" s="7" t="inlineStr">
        <is>
          <t>What a great dessert.  I omitted the rose water, used 2 percent milk, and used some pistachios I already had on hand.  Very flavorful, and the texture was very nice.  Kids loved it too.  Made for PRMR</t>
        </is>
      </c>
    </row>
    <row r="1488">
      <c r="A1488" s="7" t="n">
        <v>68888</v>
      </c>
      <c r="B1488" s="7" t="n">
        <v>672050</v>
      </c>
      <c r="C1488" s="7" t="n">
        <v>192581</v>
      </c>
      <c r="D1488" s="7" t="n">
        <v>225644</v>
      </c>
      <c r="E1488" s="8" t="n">
        <v>39978</v>
      </c>
      <c r="F1488" s="7" t="n">
        <v>5</v>
      </c>
      <c r="G1488" s="7" t="inlineStr">
        <is>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is>
      </c>
    </row>
    <row r="1489">
      <c r="A1489" s="7" t="n">
        <v>65455</v>
      </c>
      <c r="B1489" s="7" t="n">
        <v>800007</v>
      </c>
      <c r="C1489" s="7" t="n">
        <v>351811</v>
      </c>
      <c r="D1489" s="7" t="n">
        <v>90246</v>
      </c>
      <c r="E1489" s="8" t="n">
        <v>39056</v>
      </c>
      <c r="F1489" s="7" t="n">
        <v>4</v>
      </c>
      <c r="G1489" s="7" t="inlineStr">
        <is>
          <t>This is very impressive. It's one of my favorite breakfast treats. I make it ahead and serve it up with Maple syrup on Christmas morning. My recipe was a duplicate and removed, but glad to see it on Zaar, Love Paula Deen. Thanks ~V</t>
        </is>
      </c>
    </row>
    <row r="1490">
      <c r="A1490" s="7" t="n">
        <v>90551</v>
      </c>
      <c r="B1490" s="7" t="n">
        <v>889952</v>
      </c>
      <c r="C1490" s="7" t="n">
        <v>258285</v>
      </c>
      <c r="D1490" s="7" t="n">
        <v>232766</v>
      </c>
      <c r="E1490" s="8" t="n">
        <v>39398</v>
      </c>
      <c r="F1490" s="7" t="n">
        <v>4</v>
      </c>
      <c r="G1490" s="7" t="inlineStr">
        <is>
          <t>Photo Tag 2007 ~ As noted in the description, I was the first one to make these and therefore, made some notations and changes in the directions, with permission from Mandy.  These are good and I would make them again, now that I know more about what needs to be done with them!  Thanks again Mandy.</t>
        </is>
      </c>
    </row>
    <row r="1491">
      <c r="A1491" s="7" t="n">
        <v>48388</v>
      </c>
      <c r="B1491" s="7" t="n">
        <v>1089375</v>
      </c>
      <c r="C1491" s="7" t="n">
        <v>6357</v>
      </c>
      <c r="D1491" s="7" t="n">
        <v>15553</v>
      </c>
      <c r="E1491" s="8" t="n">
        <v>37466</v>
      </c>
      <c r="F1491" s="7" t="n">
        <v>4</v>
      </c>
      <c r="G1491" s="7" t="inlineStr">
        <is>
          <t>Warm, aromatic and invigorating best desribes this lovely tea. Had this as my after dinner drink tonight. I added 1 more tsp. of sugar. Thanks, Mini!</t>
        </is>
      </c>
    </row>
    <row r="1492">
      <c r="A1492" s="7" t="n">
        <v>37466</v>
      </c>
      <c r="B1492" s="7" t="n">
        <v>433301</v>
      </c>
      <c r="C1492" s="7" t="n">
        <v>438645</v>
      </c>
      <c r="D1492" s="7" t="n">
        <v>73679</v>
      </c>
      <c r="E1492" s="8" t="n">
        <v>41068</v>
      </c>
      <c r="F1492" s="7" t="n">
        <v>4</v>
      </c>
      <c r="G1492" s="7" t="inlineStr">
        <is>
          <t>I wanted to adore this recipe, but as written I found it just so so.  I admit to loving spicy curries, so I had to adjust a good bit.  I wound up using about 1-1/2 Tablespoons of curry powder, plus about 1/4 tsp cayenne, PLUS a good Tablespoon of a spicy Vindaloo curry paste.  Even then it was only mildly spicy for me.  &lt;br/&gt;I love the fact it's vegetarian and low fat.   I try to do several meatless meals a week.  I'll make it again probably, as it's also an economical meal.</t>
        </is>
      </c>
    </row>
    <row r="1493">
      <c r="A1493" t="n">
        <v>39744</v>
      </c>
      <c r="B1493" t="n">
        <v>528026</v>
      </c>
      <c r="C1493" t="n">
        <v>47510</v>
      </c>
      <c r="D1493" t="n">
        <v>199337</v>
      </c>
      <c r="E1493" s="1" t="n">
        <v>39542</v>
      </c>
      <c r="F1493" t="n">
        <v>5</v>
      </c>
      <c r="G1493" t="inlineStr">
        <is>
          <t>Simply delicious!  Easy to make and the flavors were outstanding.  I didn't pinwheel the steaks this time, but would like to try it using mushrooms when I make it again.  Thanks for sharing the recipe!</t>
        </is>
      </c>
    </row>
    <row r="1494">
      <c r="A1494" s="7" t="n">
        <v>59919</v>
      </c>
      <c r="B1494" s="7" t="n">
        <v>260983</v>
      </c>
      <c r="C1494" s="7" t="n">
        <v>52448</v>
      </c>
      <c r="D1494" s="7" t="n">
        <v>245490</v>
      </c>
      <c r="E1494" s="8" t="n">
        <v>39467</v>
      </c>
      <c r="F1494" s="7" t="n">
        <v>5</v>
      </c>
      <c r="G1494" s="7" t="inlineStr">
        <is>
          <t>What a great bread!!! Did not have monteray jack cheese and used a mature cheddar. Only little change I made was adding some fresh parsley to the butter mix. Served it with a seafood pasta dish tonight.</t>
        </is>
      </c>
    </row>
    <row r="1495">
      <c r="A1495" s="7" t="n">
        <v>51073</v>
      </c>
      <c r="B1495" s="7" t="n">
        <v>702049</v>
      </c>
      <c r="C1495" s="7" t="n">
        <v>322381</v>
      </c>
      <c r="D1495" s="7" t="n">
        <v>170941</v>
      </c>
      <c r="E1495" s="8" t="n">
        <v>39520</v>
      </c>
      <c r="F1495" s="7" t="n">
        <v>4</v>
      </c>
      <c r="G1495" s="7" t="inlineStr">
        <is>
          <t>Updating original review to say- we really do love this dish. We had it yesterday, but this time, on a whim, I decided to add a can of Rotel with green chili to the topping mixture. Made for a really pretty presentation! Also, this is a great make-ahead type meal. I fill tortillas and place in dish, and keep the topping sauce in the fridge. I stick it into the oven when we get home- no fuss. *What a different way to eat tuna! We enjoyed this and will probably make it again. I used cumin AND chili powder and modified all of the ingredients to low-fat and low carb. I used one tbsp butter, nonfat yogurt instead of sour cream, and healthy request soup. All in all, an easy and hearty meal. Thanks!</t>
        </is>
      </c>
    </row>
    <row r="1496">
      <c r="A1496" s="7" t="n">
        <v>29993</v>
      </c>
      <c r="B1496" s="7" t="n">
        <v>645604</v>
      </c>
      <c r="C1496" s="7" t="n">
        <v>323186</v>
      </c>
      <c r="D1496" s="7" t="n">
        <v>415398</v>
      </c>
      <c r="E1496" s="8" t="n">
        <v>41337</v>
      </c>
      <c r="F1496" s="7" t="n">
        <v>5</v>
      </c>
      <c r="G1496" s="7" t="inlineStr">
        <is>
          <t>We liked this,  my only change was to cook the broccoli separately and add it just before serving, so that it kept its crispness and lovely green colour.      This would probably be very good with pumpkin cubes added as well, allowing them to cook in the sauce.    Good curry, made for I Recommend, thank you Kathy!</t>
        </is>
      </c>
    </row>
    <row r="1497" ht="285" customHeight="1">
      <c r="A1497" s="7" t="n">
        <v>30823</v>
      </c>
      <c r="B1497" s="7" t="n">
        <v>347570</v>
      </c>
      <c r="C1497" s="7" t="n">
        <v>466212</v>
      </c>
      <c r="D1497" s="7" t="n">
        <v>188921</v>
      </c>
      <c r="E1497" s="8" t="n">
        <v>39500</v>
      </c>
      <c r="F1497" s="7" t="n">
        <v>2</v>
      </c>
      <c r="G1497" s="9" t="inlineStr">
        <is>
          <t>These were ok, a bit too soft for my taste and I was expecting them to be a little sweeter._x000D_
But they weren't bad considering the simplicity of the recipe.</t>
        </is>
      </c>
    </row>
    <row r="1498" ht="330" customHeight="1">
      <c r="A1498" s="7" t="n">
        <v>32519</v>
      </c>
      <c r="B1498" s="7" t="n">
        <v>79349</v>
      </c>
      <c r="C1498" s="7" t="n">
        <v>58104</v>
      </c>
      <c r="D1498" s="7" t="n">
        <v>40245</v>
      </c>
      <c r="E1498" s="8" t="n">
        <v>37593</v>
      </c>
      <c r="F1498" s="7" t="n">
        <v>5</v>
      </c>
      <c r="G1498" s="9" t="inlineStr">
        <is>
          <t>They were chocolately without the sweetened condensed chocolate milk!_x000D_
Just regular was great._x000D_
I did have them in the oven for 10 min.</t>
        </is>
      </c>
    </row>
    <row r="1499">
      <c r="A1499" s="7" t="n">
        <v>83682</v>
      </c>
      <c r="B1499" s="7" t="n">
        <v>287485</v>
      </c>
      <c r="C1499" s="7" t="n">
        <v>263513</v>
      </c>
      <c r="D1499" s="7" t="n">
        <v>79836</v>
      </c>
      <c r="E1499" s="8" t="n">
        <v>39072</v>
      </c>
      <c r="F1499" s="7" t="n">
        <v>2</v>
      </c>
      <c r="G1499" s="7" t="inlineStr">
        <is>
          <t>oh. I normally love Dancer^ recipes, however, this one was not what I was looking for. This recipe tasted like a Chinese stir-fry recipe.</t>
        </is>
      </c>
    </row>
    <row r="1500">
      <c r="A1500" s="7" t="n">
        <v>15268</v>
      </c>
      <c r="B1500" s="7" t="n">
        <v>1020111</v>
      </c>
      <c r="C1500" s="7" t="n">
        <v>1603497</v>
      </c>
      <c r="D1500" s="7" t="n">
        <v>49591</v>
      </c>
      <c r="E1500" s="8" t="n">
        <v>40292</v>
      </c>
      <c r="F1500" s="7" t="n">
        <v>5</v>
      </c>
      <c r="G1500" s="7" t="inlineStr">
        <is>
          <t>I LOVE these cookies. It cant last a day. Everyone in my family loves them. Thanks so much Manda. Will always make these.</t>
        </is>
      </c>
    </row>
    <row r="1501">
      <c r="A1501" s="7" t="n">
        <v>68512</v>
      </c>
      <c r="B1501" s="7" t="n">
        <v>631464</v>
      </c>
      <c r="C1501" s="7" t="n">
        <v>953275</v>
      </c>
      <c r="D1501" s="7" t="n">
        <v>405645</v>
      </c>
      <c r="E1501" s="8" t="n">
        <v>40647</v>
      </c>
      <c r="F1501" s="7" t="n">
        <v>4</v>
      </c>
      <c r="G1501" s="7" t="inlineStr">
        <is>
          <t>Very easy version of Pad Thai.  I left out the egg &amp; fish sauce to keep it vegan, but otherwise made as written (except spinach for mustard greens).  Lots of flavour, I found the lime really came through and the method for cooking the rice noodles was perfect.</t>
        </is>
      </c>
    </row>
    <row r="1502">
      <c r="A1502" s="7" t="n">
        <v>39953</v>
      </c>
      <c r="B1502" s="7" t="n">
        <v>344581</v>
      </c>
      <c r="C1502" s="7" t="n">
        <v>151991</v>
      </c>
      <c r="D1502" s="7" t="n">
        <v>222188</v>
      </c>
      <c r="E1502" s="8" t="n">
        <v>42287</v>
      </c>
      <c r="F1502" s="7" t="n">
        <v>5</v>
      </c>
      <c r="G1502" s="7" t="inlineStr">
        <is>
          <t>Now this is what frosting is supposed to taste like! This reminded me of the frosting I ate on cakes from a professional bakery.</t>
        </is>
      </c>
    </row>
    <row r="1503">
      <c r="A1503" s="7" t="n">
        <v>65321</v>
      </c>
      <c r="B1503" s="7" t="n">
        <v>212190</v>
      </c>
      <c r="C1503" s="7" t="n">
        <v>655199</v>
      </c>
      <c r="D1503" s="7" t="n">
        <v>43881</v>
      </c>
      <c r="E1503" s="8" t="n">
        <v>40216</v>
      </c>
      <c r="F1503" s="7" t="n">
        <v>5</v>
      </c>
      <c r="G1503" s="7" t="inlineStr">
        <is>
          <t>UPDATE: I've made this Delicious Rum Cake several times since my first rating &amp; I still can not believe how wonderful it is!!! Today, I used a Lemon Cake mix &amp; pudding...got the idea from Lighthouse Rita...THANK YOU Rita!!! Again, I added blueberries &amp; OMG that was even better than the original recipe!!! I only wish there was 5 more stars!!! THANKS again, for sharing!!!</t>
        </is>
      </c>
    </row>
    <row r="1504">
      <c r="A1504" s="7" t="n">
        <v>51290</v>
      </c>
      <c r="B1504" s="7" t="n">
        <v>1102691</v>
      </c>
      <c r="C1504" s="7" t="n">
        <v>54678</v>
      </c>
      <c r="D1504" s="7" t="n">
        <v>234344</v>
      </c>
      <c r="E1504" s="8" t="n">
        <v>39363</v>
      </c>
      <c r="F1504" s="7" t="n">
        <v>5</v>
      </c>
      <c r="G1504" s="7" t="inlineStr">
        <is>
          <t>I thought my thanksgiving long weekend would be ruined by the sinus cold I was getting but after a couple of these and 2 days of rest, we are cooking up a storm today - all Zaar recipes of course!</t>
        </is>
      </c>
    </row>
    <row r="1505">
      <c r="A1505" t="n">
        <v>116652</v>
      </c>
      <c r="B1505" t="n">
        <v>938603</v>
      </c>
      <c r="C1505" t="n">
        <v>2654140</v>
      </c>
      <c r="D1505" t="n">
        <v>82102</v>
      </c>
      <c r="E1505" s="1" t="n">
        <v>41576</v>
      </c>
      <c r="F1505" t="n">
        <v>2</v>
      </c>
      <c r="G1505" t="inlineStr">
        <is>
          <t>This recipe was disappointing after all the rave reviews and pins.  It wasn&amp;#039;t bad at all... just left something to be desired. We ate it, but I won&amp;#039;t be making it again. It was boring.</t>
        </is>
      </c>
    </row>
    <row r="1506">
      <c r="A1506" s="7" t="n">
        <v>45613</v>
      </c>
      <c r="B1506" s="7" t="n">
        <v>322664</v>
      </c>
      <c r="C1506" s="7" t="n">
        <v>2001027556</v>
      </c>
      <c r="D1506" s="7" t="n">
        <v>288760</v>
      </c>
      <c r="E1506" s="8" t="n">
        <v>42531</v>
      </c>
      <c r="F1506" s="7" t="n">
        <v>5</v>
      </c>
      <c r="G1506" s="7" t="inlineStr">
        <is>
          <t>Being a NJ boy and growing up eating Italian style hot dogs and sausages from the originators Jimmy Buff's, some say Dickie Dee's, both of Newark and it's one of my favorite types of dogs. This recipe is almost spot on, the only thing missing is the pizza bread.</t>
        </is>
      </c>
    </row>
    <row r="1507">
      <c r="A1507" s="7" t="n">
        <v>57332</v>
      </c>
      <c r="B1507" s="7" t="n">
        <v>127838</v>
      </c>
      <c r="C1507" s="7" t="n">
        <v>454116</v>
      </c>
      <c r="D1507" s="7" t="n">
        <v>93743</v>
      </c>
      <c r="E1507" s="8" t="n">
        <v>40485</v>
      </c>
      <c r="F1507" s="7" t="n">
        <v>5</v>
      </c>
      <c r="G1507" s="7" t="inlineStr">
        <is>
          <t>I use this on almost all my cakes. I Have tried it with fresh strawberries and frozen. I always use fresh now. A couple of times I have used frozen I have had trouble getting it to set. Very good.</t>
        </is>
      </c>
    </row>
    <row r="1508">
      <c r="A1508" s="7" t="n">
        <v>78980</v>
      </c>
      <c r="B1508" s="7" t="n">
        <v>119231</v>
      </c>
      <c r="C1508" s="7" t="n">
        <v>337399</v>
      </c>
      <c r="D1508" s="7" t="n">
        <v>159787</v>
      </c>
      <c r="E1508" s="8" t="n">
        <v>39025</v>
      </c>
      <c r="F1508" s="7" t="n">
        <v>5</v>
      </c>
      <c r="G1508" s="7" t="inlineStr">
        <is>
          <t>mmm mmm good!</t>
        </is>
      </c>
    </row>
    <row r="1509">
      <c r="A1509" s="7" t="n">
        <v>30711</v>
      </c>
      <c r="B1509" s="7" t="n">
        <v>378452</v>
      </c>
      <c r="C1509" s="7" t="n">
        <v>23933</v>
      </c>
      <c r="D1509" s="7" t="n">
        <v>214687</v>
      </c>
      <c r="E1509" s="8" t="n">
        <v>40125</v>
      </c>
      <c r="F1509" s="7" t="n">
        <v>5</v>
      </c>
      <c r="G1509" s="7" t="inlineStr">
        <is>
          <t>Not particular about gluten free or not but tried this with beef ribs and it was excellent.  Gonna try it with pork soon and really looking forward to it.  Thanx for posting Dove!</t>
        </is>
      </c>
    </row>
    <row r="1510">
      <c r="A1510" s="7" t="n">
        <v>72314</v>
      </c>
      <c r="B1510" s="7" t="n">
        <v>655365</v>
      </c>
      <c r="C1510" s="7" t="n">
        <v>272731</v>
      </c>
      <c r="D1510" s="7" t="n">
        <v>190434</v>
      </c>
      <c r="E1510" s="8" t="n">
        <v>39113</v>
      </c>
      <c r="F1510" s="7" t="n">
        <v>5</v>
      </c>
      <c r="G1510" s="7" t="inlineStr">
        <is>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is>
      </c>
    </row>
    <row r="1511">
      <c r="A1511" t="n">
        <v>47898</v>
      </c>
      <c r="B1511" t="n">
        <v>1104047</v>
      </c>
      <c r="C1511" t="n">
        <v>773710</v>
      </c>
      <c r="D1511" t="n">
        <v>64446</v>
      </c>
      <c r="E1511" s="1" t="n">
        <v>39800</v>
      </c>
      <c r="F1511" t="n">
        <v>5</v>
      </c>
      <c r="G1511" t="inlineStr">
        <is>
          <t>Excellent recipe for a tender airy bread. I doubled it after reading the reviews and it nearly exploded from my bread machine. Kneading the dough for a couple of minutes helped to release the bubbles so that on the second rise the bread doubled beautifully. Perfectly delicious and simple.</t>
        </is>
      </c>
    </row>
    <row r="1512">
      <c r="A1512" s="7" t="n">
        <v>21907</v>
      </c>
      <c r="B1512" s="7" t="n">
        <v>753672</v>
      </c>
      <c r="C1512" s="7" t="n">
        <v>133339</v>
      </c>
      <c r="D1512" s="7" t="n">
        <v>83222</v>
      </c>
      <c r="E1512" s="8" t="n">
        <v>38441</v>
      </c>
      <c r="F1512" s="7" t="n">
        <v>3</v>
      </c>
      <c r="G1512" s="7" t="inlineStr">
        <is>
          <t>I used this on cupcakes for Easter. I used chocolate pudding but the frosting looked more purple; very odd. It wasn't too sweet which most people liked but the texture was really stiff, not fluffy which I thought it would be since it used cool whip. I don't know that I'd use on a regular basis but in a pinch it wasn't bad.</t>
        </is>
      </c>
    </row>
    <row r="1513">
      <c r="A1513" s="7" t="n">
        <v>8188</v>
      </c>
      <c r="B1513" s="7" t="n">
        <v>1074806</v>
      </c>
      <c r="C1513" s="7" t="n">
        <v>863930</v>
      </c>
      <c r="D1513" s="7" t="n">
        <v>135350</v>
      </c>
      <c r="E1513" s="8" t="n">
        <v>41462</v>
      </c>
      <c r="F1513" s="7" t="n">
        <v>0</v>
      </c>
      <c r="G1513" s="7" t="inlineStr">
        <is>
          <t>This is perfect.  Superb.  Definitive.  Iconic.  Don&amp;#039;t change a thing.</t>
        </is>
      </c>
    </row>
    <row r="1514">
      <c r="A1514" s="7" t="n">
        <v>98028</v>
      </c>
      <c r="B1514" s="7" t="n">
        <v>924360</v>
      </c>
      <c r="C1514" s="7" t="n">
        <v>140008</v>
      </c>
      <c r="D1514" s="7" t="n">
        <v>137263</v>
      </c>
      <c r="E1514" s="8" t="n">
        <v>40268</v>
      </c>
      <c r="F1514" s="7" t="n">
        <v>2</v>
      </c>
      <c r="G1514" s="7" t="inlineStr">
        <is>
          <t>I think this recipe has potential, but as is, it was not for us.  I followed the recipe.  It was pretty bland and the rice was still crunchy.  Sorry.</t>
        </is>
      </c>
    </row>
    <row r="1515">
      <c r="A1515" s="7" t="n">
        <v>54102</v>
      </c>
      <c r="B1515" s="7" t="n">
        <v>66330</v>
      </c>
      <c r="C1515" s="7" t="n">
        <v>225487</v>
      </c>
      <c r="D1515" s="7" t="n">
        <v>39892</v>
      </c>
      <c r="E1515" s="8" t="n">
        <v>39849</v>
      </c>
      <c r="F1515" s="7" t="n">
        <v>5</v>
      </c>
      <c r="G1515" s="7" t="inlineStr">
        <is>
          <t>Modified as I always do, This was was woderful.</t>
        </is>
      </c>
    </row>
    <row r="1516">
      <c r="A1516" s="7" t="n">
        <v>8181</v>
      </c>
      <c r="B1516" s="7" t="n">
        <v>1005929</v>
      </c>
      <c r="C1516" s="7" t="n">
        <v>96357</v>
      </c>
      <c r="D1516" s="7" t="n">
        <v>10633</v>
      </c>
      <c r="E1516" s="8" t="n">
        <v>39335</v>
      </c>
      <c r="F1516" s="7" t="n">
        <v>5</v>
      </c>
      <c r="G1516" s="7" t="inlineStr">
        <is>
          <t>I served this over baked trout and everyone loved it! I made a few modifications... I omitted the onions though because I'm not a big fan and I also had to use jalapeno instead of serrano, and even then I only used about a third of a jalapeno because I'm not good with hot things. Oh, and also I doubled the mango because I looove mango.</t>
        </is>
      </c>
    </row>
    <row r="1517">
      <c r="A1517" s="7" t="n">
        <v>6644</v>
      </c>
      <c r="B1517" s="7" t="n">
        <v>571757</v>
      </c>
      <c r="C1517" s="7" t="n">
        <v>1579668</v>
      </c>
      <c r="D1517" s="7" t="n">
        <v>228463</v>
      </c>
      <c r="E1517" s="8" t="n">
        <v>40328</v>
      </c>
      <c r="F1517" s="7" t="n">
        <v>5</v>
      </c>
      <c r="G1517" s="7" t="inlineStr">
        <is>
          <t>Excellent! Super easy and a good dish for picky eaters. I make a little extra sauce if I am cooking 8 breasts. I usually serve veggies or rice on the side.</t>
        </is>
      </c>
    </row>
    <row r="1518" ht="409.5" customHeight="1">
      <c r="A1518" s="7" t="n">
        <v>68581</v>
      </c>
      <c r="B1518" s="7" t="n">
        <v>493472</v>
      </c>
      <c r="C1518" s="7" t="n">
        <v>721674</v>
      </c>
      <c r="D1518" s="7" t="n">
        <v>71373</v>
      </c>
      <c r="E1518" s="8" t="n">
        <v>39526</v>
      </c>
      <c r="F1518" s="7" t="n">
        <v>5</v>
      </c>
      <c r="G1518" s="9" t="inlineStr">
        <is>
          <t>Mmm!! Worked perfect in the bread machine. I reduced the sugar in 1/2 and left all other ingredients the same. This is a great recipe to have and use since it doesnt require milk/butter...for the bread...which is a great change!_x000D_
Added to my "best of the best" Thanks so much for posting</t>
        </is>
      </c>
    </row>
    <row r="1519">
      <c r="A1519" s="7" t="n">
        <v>73962</v>
      </c>
      <c r="B1519" s="7" t="n">
        <v>172081</v>
      </c>
      <c r="C1519" s="7" t="n">
        <v>583193</v>
      </c>
      <c r="D1519" s="7" t="n">
        <v>54517</v>
      </c>
      <c r="E1519" s="8" t="n">
        <v>41846</v>
      </c>
      <c r="F1519" s="7" t="n">
        <v>5</v>
      </c>
      <c r="G1519" s="7" t="inlineStr">
        <is>
          <t>Wow, this is fantastic!  It is very creamy and I dipped bagels in it and it was awesome.  I added some additional dill as I really like dill and it was perfect.</t>
        </is>
      </c>
    </row>
    <row r="1520">
      <c r="A1520" s="7" t="n">
        <v>118875</v>
      </c>
      <c r="B1520" s="7" t="n">
        <v>52945</v>
      </c>
      <c r="C1520" s="7" t="n">
        <v>359746</v>
      </c>
      <c r="D1520" s="7" t="n">
        <v>184013</v>
      </c>
      <c r="E1520" s="8" t="n">
        <v>39051</v>
      </c>
      <c r="F1520" s="7" t="n">
        <v>4</v>
      </c>
      <c r="G1520" s="7" t="inlineStr">
        <is>
          <t>This was my first time making hummus at home.  I chose this recipe because of the peanut butter--I didn't have to go out &amp; track down tahini. It was easy to make and I had everything in the pantry.  I did add olive oil-maybe 2-3 TBS &amp; about 3 TBS of the chickpea juice to smooth it out. I also "peeled" the chickpeas-a tip which I had noticed from some of the other hummus recipes on this site.  I spread it on 9 grain bread &amp; it was excellent!</t>
        </is>
      </c>
    </row>
    <row r="1521">
      <c r="A1521" s="7" t="n">
        <v>19946</v>
      </c>
      <c r="B1521" s="7" t="n">
        <v>782045</v>
      </c>
      <c r="C1521" s="7" t="n">
        <v>49304</v>
      </c>
      <c r="D1521" s="7" t="n">
        <v>49394</v>
      </c>
      <c r="E1521" s="8" t="n">
        <v>37703</v>
      </c>
      <c r="F1521" s="7" t="n">
        <v>5</v>
      </c>
      <c r="G1521" s="7" t="inlineStr">
        <is>
          <t>Geema, these potatoes are SOooo delicious. We turly enjoyed them,  what a good way to get people to eat there spianch. Will be making them for dinner guest soon. Thank you for another great recipe.</t>
        </is>
      </c>
    </row>
    <row r="1522">
      <c r="A1522" s="7" t="n">
        <v>61442</v>
      </c>
      <c r="B1522" s="7" t="n">
        <v>664326</v>
      </c>
      <c r="C1522" s="7" t="n">
        <v>1119351</v>
      </c>
      <c r="D1522" s="7" t="n">
        <v>19383</v>
      </c>
      <c r="E1522" s="8" t="n">
        <v>39905</v>
      </c>
      <c r="F1522" s="7" t="n">
        <v>5</v>
      </c>
      <c r="G1522" s="7" t="inlineStr">
        <is>
          <t>This recipe is sooo good. I made a couple changes. I used chicken broth instead of water. I also added peas and mushrooms to the stuffing. I didn't add any salt since there is so much in canned soups. This is a very good meal with just a salad!!</t>
        </is>
      </c>
    </row>
    <row r="1523">
      <c r="A1523" s="7" t="n">
        <v>26259</v>
      </c>
      <c r="B1523" s="7" t="n">
        <v>236550</v>
      </c>
      <c r="C1523" s="7" t="n">
        <v>75497</v>
      </c>
      <c r="D1523" s="7" t="n">
        <v>19009</v>
      </c>
      <c r="E1523" s="8" t="n">
        <v>38264</v>
      </c>
      <c r="F1523" s="7" t="n">
        <v>5</v>
      </c>
      <c r="G1523" s="7" t="inlineStr">
        <is>
          <t>Wow!  These were great!  I served them as a side to pepper steak, but, I could have made a meal out of these alone.  We topped them with a bit of sour cream when eating.  Next time I might try adding some cheese, too.  Thanks for a great recipe!</t>
        </is>
      </c>
    </row>
    <row r="1524">
      <c r="A1524" s="7" t="n">
        <v>48514</v>
      </c>
      <c r="B1524" s="7" t="n">
        <v>778458</v>
      </c>
      <c r="C1524" s="7" t="n">
        <v>760568</v>
      </c>
      <c r="D1524" s="7" t="n">
        <v>108524</v>
      </c>
      <c r="E1524" s="8" t="n">
        <v>40257</v>
      </c>
      <c r="F1524" s="7" t="n">
        <v>5</v>
      </c>
      <c r="G1524" s="7" t="inlineStr">
        <is>
          <t>Way better than tortuga rum cake!</t>
        </is>
      </c>
    </row>
    <row r="1525">
      <c r="A1525" s="7" t="n">
        <v>69664</v>
      </c>
      <c r="B1525" s="7" t="n">
        <v>1074383</v>
      </c>
      <c r="C1525" s="7" t="n">
        <v>1028382</v>
      </c>
      <c r="D1525" s="7" t="n">
        <v>135350</v>
      </c>
      <c r="E1525" s="8" t="n">
        <v>40072</v>
      </c>
      <c r="F1525" s="7" t="n">
        <v>4</v>
      </c>
      <c r="G1525" s="7" t="inlineStr">
        <is>
          <t>Very tasty... made a triple batch and froze two, so we'll see later how those turn out.  It did taste a little bit floury for me, so I may cut down on that a touch next time, but still very good!</t>
        </is>
      </c>
    </row>
    <row r="1526">
      <c r="A1526" s="7" t="n">
        <v>67081</v>
      </c>
      <c r="B1526" s="7" t="n">
        <v>126763</v>
      </c>
      <c r="C1526" s="7" t="n">
        <v>146047</v>
      </c>
      <c r="D1526" s="7" t="n">
        <v>285449</v>
      </c>
      <c r="E1526" s="8" t="n">
        <v>41094</v>
      </c>
      <c r="F1526" s="7" t="n">
        <v>5</v>
      </c>
      <c r="G1526" s="7" t="inlineStr">
        <is>
          <t>Ooo, so good. Made some changes to suit my proclivity for experimentation. Used mostly bread flour but replaced some of that with hi-maize and coconut flours. Also added an ounce of baker's dry milk, replaced some of the sugar with diastatic malt powder, and used half olive oil, half butter. Despite my mucking about, they still turned out great. Thanks for posting!</t>
        </is>
      </c>
    </row>
    <row r="1527">
      <c r="A1527" s="7" t="n">
        <v>69358</v>
      </c>
      <c r="B1527" s="7" t="n">
        <v>542192</v>
      </c>
      <c r="C1527" s="7" t="n">
        <v>1365025</v>
      </c>
      <c r="D1527" s="7" t="n">
        <v>304246</v>
      </c>
      <c r="E1527" s="8" t="n">
        <v>40797</v>
      </c>
      <c r="F1527" s="7" t="n">
        <v>4</v>
      </c>
      <c r="G1527" s="7" t="inlineStr">
        <is>
          <t>A fast easy way to jazz up your steaks. I used a tenderloin seasoned with Blazin' Blends "Memphis Style Barbecue Seasoning". For the steak sauce I used Mikee Hot Steak Sauce, the brown sugar took some of the heat out which was just right for me. I used the sherry which was perfect for this recipe. I made the steaks rare on my George Foreman and they were juicy and tender. Hope more people try this recipe.</t>
        </is>
      </c>
    </row>
    <row r="1528">
      <c r="A1528" s="7" t="n">
        <v>23193</v>
      </c>
      <c r="B1528" s="7" t="n">
        <v>657088</v>
      </c>
      <c r="C1528" s="7" t="n">
        <v>829250</v>
      </c>
      <c r="D1528" s="7" t="n">
        <v>27208</v>
      </c>
      <c r="E1528" s="8" t="n">
        <v>40287</v>
      </c>
      <c r="F1528" s="7" t="n">
        <v>5</v>
      </c>
      <c r="G1528" s="7" t="inlineStr">
        <is>
          <t>I tried this reciepe last week and forgot to rate it. It was very good. I have to agree with everyone. The thing that made me give it 5 stars was that I walked back into the room and my husband was licking his plate. I asked him, "WHAT are you doing?" His reply was, "The sauce is sooo good." I probably had a 3lb roast. I did half all of the packaged seasonings as well. Thanks for such a great reciepe.</t>
        </is>
      </c>
    </row>
    <row r="1529">
      <c r="A1529" s="7" t="n">
        <v>4808</v>
      </c>
      <c r="B1529" s="7" t="n">
        <v>119418</v>
      </c>
      <c r="C1529" s="7" t="n">
        <v>2001231208</v>
      </c>
      <c r="D1529" s="7" t="n">
        <v>348136</v>
      </c>
      <c r="E1529" s="8" t="n">
        <v>42677</v>
      </c>
      <c r="F1529" s="7" t="n">
        <v>0</v>
      </c>
      <c r="G1529" s="7" t="inlineStr">
        <is>
          <t>this is a very good recipe. however the only thing spoiling this is the pig tails. i use about four large cracked crab pincers in this and it tastes 400% better.</t>
        </is>
      </c>
    </row>
    <row r="1530">
      <c r="A1530" s="7" t="n">
        <v>85773</v>
      </c>
      <c r="B1530" s="7" t="n">
        <v>33903</v>
      </c>
      <c r="C1530" s="7" t="n">
        <v>1630728</v>
      </c>
      <c r="D1530" s="7" t="n">
        <v>66241</v>
      </c>
      <c r="E1530" s="8" t="n">
        <v>40930</v>
      </c>
      <c r="F1530" s="7" t="n">
        <v>5</v>
      </c>
      <c r="G1530" s="7" t="inlineStr">
        <is>
          <t>The best pancake recipe everrrrr I'm sure. Made for Company during the holidays everyone loved them. That's for posting. :-)</t>
        </is>
      </c>
    </row>
    <row r="1531">
      <c r="A1531" s="7" t="n">
        <v>92520</v>
      </c>
      <c r="B1531" s="7" t="n">
        <v>1059904</v>
      </c>
      <c r="C1531" s="7" t="n">
        <v>232480</v>
      </c>
      <c r="D1531" s="7" t="n">
        <v>414348</v>
      </c>
      <c r="E1531" s="8" t="n">
        <v>40623</v>
      </c>
      <c r="F1531" s="7" t="n">
        <v>5</v>
      </c>
      <c r="G1531" s="7" t="inlineStr">
        <is>
          <t>Yummy!  I keep already fried hamburger in the freezer, so this took all of 5 minutes to put together.  Because the beef was frozen, it took a little more than an hour to be hot, but I expected that.  Really good and everyone liked it!  Made for PAC Spring '11.</t>
        </is>
      </c>
    </row>
    <row r="1532">
      <c r="A1532" s="7" t="n">
        <v>112166</v>
      </c>
      <c r="B1532" s="7" t="n">
        <v>1004517</v>
      </c>
      <c r="C1532" s="7" t="n">
        <v>372791</v>
      </c>
      <c r="D1532" s="7" t="n">
        <v>61610</v>
      </c>
      <c r="E1532" s="8" t="n">
        <v>39048</v>
      </c>
      <c r="F1532" s="7" t="n">
        <v>0</v>
      </c>
      <c r="G1532" s="7" t="inlineStr">
        <is>
          <t>This is also a wonderful way to clear out your throat when you have a bad cold or before you sing/give a speech.  Kicks that annoying buildup in nothing flat and is great if you don't like tea.</t>
        </is>
      </c>
    </row>
    <row r="1533">
      <c r="A1533" s="7" t="n">
        <v>56645</v>
      </c>
      <c r="B1533" s="7" t="n">
        <v>171593</v>
      </c>
      <c r="C1533" s="7" t="n">
        <v>43083</v>
      </c>
      <c r="D1533" s="7" t="n">
        <v>281241</v>
      </c>
      <c r="E1533" s="8" t="n">
        <v>40190</v>
      </c>
      <c r="F1533" s="7" t="n">
        <v>4</v>
      </c>
      <c r="G1533" s="7" t="inlineStr">
        <is>
          <t>This is yummy. I like the aftertaste of vanilla. Thanks for a super easy drink! :)</t>
        </is>
      </c>
    </row>
    <row r="1534">
      <c r="A1534" s="7" t="n">
        <v>55517</v>
      </c>
      <c r="B1534" s="7" t="n">
        <v>1098800</v>
      </c>
      <c r="C1534" s="7" t="n">
        <v>38182</v>
      </c>
      <c r="D1534" s="7" t="n">
        <v>74275</v>
      </c>
      <c r="E1534" s="8" t="n">
        <v>39292</v>
      </c>
      <c r="F1534" s="7" t="n">
        <v>5</v>
      </c>
      <c r="G1534" s="7" t="inlineStr">
        <is>
          <t>I loved this topped with crushed potato chips. My husband wanted a cheesy potato soup but creamy, so I added sharp cheddar to this recipe for him and kept some plain for me.  I also used the half and half.  It's excellent. I think I might try adding some cooked chicken and maybe some mushrooms next time for something different. Thanks so much for sharing this. It's a keeper.</t>
        </is>
      </c>
    </row>
    <row r="1535">
      <c r="A1535" s="7" t="n">
        <v>54595</v>
      </c>
      <c r="B1535" s="7" t="n">
        <v>876237</v>
      </c>
      <c r="C1535" s="7" t="n">
        <v>840768</v>
      </c>
      <c r="D1535" s="7" t="n">
        <v>299740</v>
      </c>
      <c r="E1535" s="8" t="n">
        <v>40902</v>
      </c>
      <c r="F1535" s="7" t="n">
        <v>4</v>
      </c>
      <c r="G1535" s="7" t="inlineStr">
        <is>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is>
      </c>
    </row>
    <row r="1536">
      <c r="A1536" s="7" t="n">
        <v>7645</v>
      </c>
      <c r="B1536" s="7" t="n">
        <v>813155</v>
      </c>
      <c r="C1536" s="7" t="n">
        <v>386163</v>
      </c>
      <c r="D1536" s="7" t="n">
        <v>29721</v>
      </c>
      <c r="E1536" s="8" t="n">
        <v>39037</v>
      </c>
      <c r="F1536" s="7" t="n">
        <v>4</v>
      </c>
      <c r="G1536" s="7" t="inlineStr">
        <is>
          <t>I very simple, tastey recipe. I just wanted a little more "Oomph!". I might experiment with other add in next time like marinated artichoke hearts or olives.</t>
        </is>
      </c>
    </row>
    <row r="1537">
      <c r="A1537" s="7" t="n">
        <v>24369</v>
      </c>
      <c r="B1537" s="7" t="n">
        <v>838687</v>
      </c>
      <c r="C1537" s="7" t="n">
        <v>2002016067</v>
      </c>
      <c r="D1537" s="7" t="n">
        <v>5090</v>
      </c>
      <c r="E1537" s="8" t="n">
        <v>43165</v>
      </c>
      <c r="F1537" s="7" t="n">
        <v>4</v>
      </c>
      <c r="G1537" s="7" t="inlineStr">
        <is>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is>
      </c>
    </row>
    <row r="1538">
      <c r="A1538" s="7" t="n">
        <v>38740</v>
      </c>
      <c r="B1538" s="7" t="n">
        <v>356655</v>
      </c>
      <c r="C1538" s="7" t="n">
        <v>327938</v>
      </c>
      <c r="D1538" s="7" t="n">
        <v>42603</v>
      </c>
      <c r="E1538" s="8" t="n">
        <v>38966</v>
      </c>
      <c r="F1538" s="7" t="n">
        <v>5</v>
      </c>
      <c r="G1538" s="7" t="inlineStr">
        <is>
          <t>Mmmm... I love this recipe! The chicken was very moist and had a rich flavour. Definitely one of my new favourites. Thanks KeyWee!</t>
        </is>
      </c>
    </row>
    <row r="1539">
      <c r="A1539" s="7" t="n">
        <v>23993</v>
      </c>
      <c r="B1539" s="7" t="n">
        <v>501709</v>
      </c>
      <c r="C1539" s="7" t="n">
        <v>1375501</v>
      </c>
      <c r="D1539" s="7" t="n">
        <v>262050</v>
      </c>
      <c r="E1539" s="8" t="n">
        <v>40062</v>
      </c>
      <c r="F1539" s="7" t="n">
        <v>5</v>
      </c>
      <c r="G1539" s="7" t="inlineStr">
        <is>
          <t>These were tastier and more tender than store bought.  Even my picky 13 yr. old loved them.</t>
        </is>
      </c>
    </row>
    <row r="1540">
      <c r="A1540" s="7" t="n">
        <v>106537</v>
      </c>
      <c r="B1540" s="7" t="n">
        <v>645287</v>
      </c>
      <c r="C1540" s="7" t="n">
        <v>413880</v>
      </c>
      <c r="D1540" s="7" t="n">
        <v>153</v>
      </c>
      <c r="E1540" s="8" t="n">
        <v>39102</v>
      </c>
      <c r="F1540" s="7" t="n">
        <v>5</v>
      </c>
      <c r="G1540" s="7" t="inlineStr">
        <is>
          <t>I have used basically this same recipe for years except mine is made with self rising flour.  I am glad to get the starter recipe as I didn't have it.  I have made lots of variations and usually make them as muffins.  I take muffins to let people know that I am thinking of them.  I usually make several batches and keep some in the freezer so they are handy if I need them.  My family loves them for breakfast or a quick snack.  Some of the variations have been lemon (omit cinnamon and use lemon pudding), peanut butter (add 1 cup of peanut butter cut in the dry ingredients and omit cinnamon),etc.  It also makes a great bundt cake that is like a coffee cake.  It says that you can't put it in the fridge, but I keep bags of the starter in the bottom of my refrigerator so that I can bake when I want - just bring them out for a day ( or at least to room temperature) Everyone loves this recipe and looks forward to a plate.</t>
        </is>
      </c>
    </row>
    <row r="1541">
      <c r="A1541" s="7" t="n">
        <v>53929</v>
      </c>
      <c r="B1541" s="7" t="n">
        <v>1084251</v>
      </c>
      <c r="C1541" s="7" t="n">
        <v>201581</v>
      </c>
      <c r="D1541" s="7" t="n">
        <v>249148</v>
      </c>
      <c r="E1541" s="8" t="n">
        <v>40340</v>
      </c>
      <c r="F1541" s="7" t="n">
        <v>5</v>
      </c>
      <c r="G1541" s="7" t="inlineStr">
        <is>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is>
      </c>
    </row>
    <row r="1542">
      <c r="A1542" s="7" t="n">
        <v>88859</v>
      </c>
      <c r="B1542" s="7" t="n">
        <v>931197</v>
      </c>
      <c r="C1542" s="7" t="n">
        <v>159070</v>
      </c>
      <c r="D1542" s="7" t="n">
        <v>26121</v>
      </c>
      <c r="E1542" s="8" t="n">
        <v>38234</v>
      </c>
      <c r="F1542" s="7" t="n">
        <v>5</v>
      </c>
      <c r="G1542" s="7" t="inlineStr">
        <is>
          <t>I really love potatoes, so I'm surprised this dish wasn't for me.  I was able to eat plenty, but it just wasn't my thing, if you know what I mean.  If it were just me, I don't think I'd make it again.  That being said, my husband LOVED it!  He's in the other room, and I can still hear him raving about these darn things!  He's the more experienced cook, so it just kills him that he's tried to make these before (different recipe), and failed, yet I achieved success!  I'm pretty much a novice, but what I learned is that the oil needs to be very, very hot before putting the potato mixture in, or else the pancakes will fall apart.  I have a food processor that I've never used; I need to see if it shreds stuff, because I did all the shredding with my Microplane, and it really took forever!  Got quite a workout, at least!  Oh, and my 15 month old son absolutely couldn't get enough of these!  He made these audible grunting noises as he chewed... the grunts mean he really likes something.  That alone made the effort worthwhile!  Thanks for posting this recipe!</t>
        </is>
      </c>
    </row>
    <row r="1543">
      <c r="A1543" s="7" t="n">
        <v>9799</v>
      </c>
      <c r="B1543" s="7" t="n">
        <v>161584</v>
      </c>
      <c r="C1543" s="7" t="n">
        <v>88099</v>
      </c>
      <c r="D1543" s="7" t="n">
        <v>27661</v>
      </c>
      <c r="E1543" s="8" t="n">
        <v>39614</v>
      </c>
      <c r="F1543" s="7" t="n">
        <v>5</v>
      </c>
      <c r="G1543" s="7" t="inlineStr">
        <is>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is>
      </c>
    </row>
    <row r="1544" ht="409.5" customHeight="1">
      <c r="A1544" s="7" t="n">
        <v>73644</v>
      </c>
      <c r="B1544" s="7" t="n">
        <v>292065</v>
      </c>
      <c r="C1544" s="7" t="n">
        <v>264012</v>
      </c>
      <c r="D1544" s="7" t="n">
        <v>16746</v>
      </c>
      <c r="E1544" s="8" t="n">
        <v>39466</v>
      </c>
      <c r="F1544" s="7" t="n">
        <v>5</v>
      </c>
      <c r="G1544" s="9" t="inlineStr">
        <is>
          <t>These were good cookies. I made most of them soft, cooking around 8 minutes, and a few of them I cooked 12 minutes. I prefer the soft ones. The spices and molasses flavor was good but not overwhelming. I think if I make them again I will add more spices and molasses to give them more kick. _x000D_
Thanks for the recipe!  _x000D_
OH I got 40 cookies. I made aprox. 1 inch balls that made aprox 2 inch cookies. (Plus I ate a little dough before I could get it in the oven.  :)</t>
        </is>
      </c>
    </row>
    <row r="1545">
      <c r="A1545" s="7" t="n">
        <v>47173</v>
      </c>
      <c r="B1545" s="7" t="n">
        <v>997126</v>
      </c>
      <c r="C1545" s="7" t="n">
        <v>726381</v>
      </c>
      <c r="D1545" s="7" t="n">
        <v>10443</v>
      </c>
      <c r="E1545" s="8" t="n">
        <v>39592</v>
      </c>
      <c r="F1545" s="7" t="n">
        <v>5</v>
      </c>
      <c r="G1545" s="7" t="inlineStr">
        <is>
          <t xml:space="preserve">1. Bread crumbs or soaked bread add texture; this works particularly well when extra lean ground beef is used; 2. The Egg hold the mixture together; 3. The hole in the middle allows the burgers to drain and keep their shape 4. Allowing the mixture to marinate prior to cooking is .. "a given" any cook worth their salt knows this ;) 5. If you have to baste your burgers during cooking, you have obviously either left something out or not mixed them properly.. </t>
        </is>
      </c>
    </row>
    <row r="1546">
      <c r="A1546" s="7" t="n">
        <v>59755</v>
      </c>
      <c r="B1546" s="7" t="n">
        <v>1130071</v>
      </c>
      <c r="C1546" s="7" t="n">
        <v>165933</v>
      </c>
      <c r="D1546" s="7" t="n">
        <v>137575</v>
      </c>
      <c r="E1546" s="8" t="n">
        <v>39898</v>
      </c>
      <c r="F1546" s="7" t="n">
        <v>5</v>
      </c>
      <c r="G1546" s="7" t="inlineStr">
        <is>
          <t>What more can I say that hasn't been said already?  The texture was perfect and I liked the crunch from the cornmeal.  Thanks.</t>
        </is>
      </c>
    </row>
    <row r="1547">
      <c r="A1547" s="7" t="n">
        <v>90919</v>
      </c>
      <c r="B1547" s="7" t="n">
        <v>1031392</v>
      </c>
      <c r="C1547" s="7" t="n">
        <v>71324</v>
      </c>
      <c r="D1547" s="7" t="n">
        <v>112725</v>
      </c>
      <c r="E1547" s="8" t="n">
        <v>38642</v>
      </c>
      <c r="F1547" s="7" t="n">
        <v>5</v>
      </c>
      <c r="G1547" s="7" t="inlineStr">
        <is>
          <t>I had this after my exercise this morning as a pic me up. Anaemic or not, this is a tasty healthy snack or breakfast. You're right these two ingredients make a great addition to any smoothie as well!</t>
        </is>
      </c>
    </row>
    <row r="1548" ht="409.5" customHeight="1">
      <c r="A1548" s="7" t="n">
        <v>120488</v>
      </c>
      <c r="B1548" s="7" t="n">
        <v>593731</v>
      </c>
      <c r="C1548" s="7" t="n">
        <v>1352398</v>
      </c>
      <c r="D1548" s="7" t="n">
        <v>6614</v>
      </c>
      <c r="E1548" s="8" t="n">
        <v>40043</v>
      </c>
      <c r="F1548" s="7" t="n">
        <v>3</v>
      </c>
      <c r="G1548" s="9" t="inlineStr">
        <is>
          <t>This was my first time ever trying home-made hummus. the tahini was a bit overwhelming as was the amount of lemons (and I used small ones). And because I loathe cleaning a garlic press, i grate my garlic--and unfortunately my cloves must've been too big, so it's a little strong altogether...on a good note, my husband will probably like it, but I don't think my one-year old will be dipping into this batch.
i searched a lot before my attempt, and couldn't figure out if the chickpeas should be shelled?? I found a recipe that said you should if you want it to be creamier, so I went ahead and the texture is pretty smooth, not that it makes it better or worse. Not sure how it would have come out had I not shelled them...
I used the pressure cooker for a good 15 minutes and then simmered them  for an additional 10 minutes or so (for fear I would boil them too much), and the chick peas themselves came out wonderful. 
Never worked with tahini before...what a mess! Ultimately, I had to dig into it with my hands and mix it up. 
So, between the shelling, grating, pressing lemons before squeezing (and I haven't picked up a lemon juice maker thing yet), mesing about with the tahini, and my itty bitty food processor that i brought from NY (none of this is the recipes fault), I had quite the project on my hands...
Think I'll have to add a little water for it to not be so pasty/thick, but, that's probably also my fault since I doubled the recipe and wasn't very exact with my measurements. 
Overall, a good standard recipe and very much a learning experience for me personally. I'll have to look in my Turkish cook book and see if the recipe is more or less the same as this one...</t>
        </is>
      </c>
    </row>
    <row r="1549">
      <c r="A1549" s="7" t="n">
        <v>24973</v>
      </c>
      <c r="B1549" s="7" t="n">
        <v>136794</v>
      </c>
      <c r="C1549" s="7" t="n">
        <v>1002864</v>
      </c>
      <c r="D1549" s="7" t="n">
        <v>44888</v>
      </c>
      <c r="E1549" s="8" t="n">
        <v>40945</v>
      </c>
      <c r="F1549" s="7" t="n">
        <v>5</v>
      </c>
      <c r="G1549" s="7" t="inlineStr">
        <is>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is>
      </c>
    </row>
    <row r="1550">
      <c r="A1550" t="n">
        <v>68898</v>
      </c>
      <c r="B1550" t="n">
        <v>938326</v>
      </c>
      <c r="C1550" t="n">
        <v>1308243</v>
      </c>
      <c r="D1550" t="n">
        <v>82102</v>
      </c>
      <c r="E1550" s="1" t="n">
        <v>40017</v>
      </c>
      <c r="F1550" t="n">
        <v>5</v>
      </c>
      <c r="G1550" t="inlineStr">
        <is>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is>
      </c>
    </row>
    <row r="1551">
      <c r="A1551" s="7" t="n">
        <v>121116</v>
      </c>
      <c r="B1551" s="7" t="n">
        <v>163268</v>
      </c>
      <c r="C1551" s="7" t="n">
        <v>86498</v>
      </c>
      <c r="D1551" s="7" t="n">
        <v>102060</v>
      </c>
      <c r="E1551" s="8" t="n">
        <v>38311</v>
      </c>
      <c r="F1551" s="7" t="n">
        <v>5</v>
      </c>
      <c r="G1551" s="7" t="inlineStr">
        <is>
          <t>These brownies tasted great!</t>
        </is>
      </c>
    </row>
    <row r="1552">
      <c r="A1552" s="7" t="n">
        <v>16618</v>
      </c>
      <c r="B1552" s="7" t="n">
        <v>944605</v>
      </c>
      <c r="C1552" s="7" t="n">
        <v>222564</v>
      </c>
      <c r="D1552" s="7" t="n">
        <v>269392</v>
      </c>
      <c r="E1552" s="8" t="n">
        <v>41329</v>
      </c>
      <c r="F1552" s="7" t="n">
        <v>5</v>
      </c>
      <c r="G1552" s="7" t="inlineStr">
        <is>
          <t>Very sweet, but oh, so fruity and yummy!</t>
        </is>
      </c>
    </row>
    <row r="1553">
      <c r="A1553" s="7" t="n">
        <v>47386</v>
      </c>
      <c r="B1553" s="7" t="n">
        <v>502472</v>
      </c>
      <c r="C1553" s="7" t="n">
        <v>400708</v>
      </c>
      <c r="D1553" s="7" t="n">
        <v>258850</v>
      </c>
      <c r="E1553" s="8" t="n">
        <v>43358</v>
      </c>
      <c r="F1553" s="7" t="n">
        <v>5</v>
      </c>
      <c r="G1553" s="7" t="inlineStr">
        <is>
          <t>So, so very good. Wanted something quick and easy and had been saving this one for awhile. It hit all the stars with the guys in my house and me too. The only thing I did different was have some sauerkraut on the side at DH's request, but sure wasn't needed. Love the idea of putting them back in the fry pan for a chance to get that nice crisp fry skin on them but still with the flavor of the steam. The veggies where the perfect addition. I didn't much taste the beer, but the flavor was perfect. The guys had the hoagies, but I enjoyed mine without and ate straight off the plate with the side of mustard and kraut. DH has asked that this is now the only way we'll be doing brats in the future. Worth every star and then some. Anyone looking at this recipe out there, don't just look DO IT</t>
        </is>
      </c>
    </row>
    <row r="1554">
      <c r="A1554" s="7" t="n">
        <v>92097</v>
      </c>
      <c r="B1554" s="7" t="n">
        <v>910113</v>
      </c>
      <c r="C1554" s="7" t="n">
        <v>80353</v>
      </c>
      <c r="D1554" s="7" t="n">
        <v>295232</v>
      </c>
      <c r="E1554" s="8" t="n">
        <v>39945</v>
      </c>
      <c r="F1554" s="7" t="n">
        <v>4</v>
      </c>
      <c r="G1554" s="7" t="inlineStr">
        <is>
          <t>Different for us side dish.  I used frozen corn as fresh corn is still unavailable and approximated it at 1 1/2 cups for the recipe (I scaled down to a half-recipe).  My husband and I enjoyed this alongside a pork roast I'd made, but the kids were a little fussier - then again, they always are.  This had a lot of eye-appeal.</t>
        </is>
      </c>
    </row>
    <row r="1555" ht="409.5" customHeight="1">
      <c r="A1555" s="7" t="n">
        <v>70263</v>
      </c>
      <c r="B1555" s="7" t="n">
        <v>830919</v>
      </c>
      <c r="C1555" s="7" t="n">
        <v>994822</v>
      </c>
      <c r="D1555" s="7" t="n">
        <v>22871</v>
      </c>
      <c r="E1555" s="8" t="n">
        <v>39887</v>
      </c>
      <c r="F1555" s="7" t="n">
        <v>5</v>
      </c>
      <c r="G1555" s="9" t="inlineStr">
        <is>
          <t>Made this and it was wonderful!!  Even my Dad loved it and he is picky!_x000D_
_x000D_
I didn't have seasoning salt so I sprinkled some garlic salt, paprika, and parsley on it.  I also sauteed a couple of cloves of garlic in EVOO before adding everything.   Lastly, I added two chicken cubes to it.   _x000D_
_x000D_
Great recipe!</t>
        </is>
      </c>
    </row>
    <row r="1556">
      <c r="A1556" t="n">
        <v>36545</v>
      </c>
      <c r="B1556" t="n">
        <v>917428</v>
      </c>
      <c r="C1556" t="n">
        <v>921940</v>
      </c>
      <c r="D1556" t="n">
        <v>113707</v>
      </c>
      <c r="E1556" s="1" t="n">
        <v>40243</v>
      </c>
      <c r="F1556" t="n">
        <v>4</v>
      </c>
      <c r="G1556" t="inlineStr">
        <is>
          <t>I really used this recipe as more of a guideline for a fairly good stroganoff.  I added a few ingredients - 1 tsp dried mustard, 1/4 tsp onion powder, 1/8 tsp garlic powder, and 2 cups of chopped spinach.  I also increased the mustard, salt and pepper, decreased the thyme, doubled the amount of mushrooms and used an entire onion.  For the stock, I used all chicken stock, fortified with the mushroom stems (I simmered it for a good 30 minutes) for more flavor.  Instead of sour cream, I used strained nonfat yogurt.  I sauteed the mushrooms, onion and garlic in a couple tablespoons of the broth before adding the seasonings (except the Dijon mustard), chicken and the rest of the stock (from which I had removed the mushroom stems).  After about 20 minutes, I strained the chicken and mushrooms out, then reduced the stock to about 1/2 cup.  I combined 3 Tbsp mustard with 1 cup of the yogurt to maintain some of the zesty flavor, then added that with the chopped spinach, once I removed the pan from the heat.  I thought this was a good recipe, I will try it again, upping the seasonings a little bit more because it was still a touch bland.  I am very impressed with how tasty it is without any additional fat.  Thank you for a nice, healthy recipe to add to my repertoire.</t>
        </is>
      </c>
    </row>
    <row r="1557">
      <c r="A1557" s="7" t="n">
        <v>124039</v>
      </c>
      <c r="B1557" s="7" t="n">
        <v>287846</v>
      </c>
      <c r="C1557" s="7" t="n">
        <v>704950</v>
      </c>
      <c r="D1557" s="7" t="n">
        <v>93309</v>
      </c>
      <c r="E1557" s="8" t="n">
        <v>39906</v>
      </c>
      <c r="F1557" s="7" t="n">
        <v>5</v>
      </c>
      <c r="G1557" s="7" t="inlineStr">
        <is>
          <t>This was a very interesting pairing of flavors.  The Pernod actually enhanced the flavor of the leek more than the spinach.  It did take the gritty after-effect away that you sometimes get with cooked fresh spinach.  Mixed with all of these other ingredients, the licorice flavor of the Pernod sort of becomes undecernible and takes on a sweet flavor in the spinach.  I will definitely use Pernod paired with leeks again that is for sure because they are enhanced by it greatly!!!  Thanks for a very unique recipe!!!!</t>
        </is>
      </c>
    </row>
    <row r="1558">
      <c r="A1558" t="n">
        <v>108245</v>
      </c>
      <c r="B1558" t="n">
        <v>387006</v>
      </c>
      <c r="C1558" t="n">
        <v>88099</v>
      </c>
      <c r="D1558" t="n">
        <v>62182</v>
      </c>
      <c r="E1558" s="1" t="n">
        <v>38893</v>
      </c>
      <c r="F1558" t="n">
        <v>4</v>
      </c>
      <c r="G1558" t="inlineStr">
        <is>
          <t>This was very nice.  Really liked the combination on this one.  I made as directed except left out the celery because I didn't have any. Really liked the Mrs. Dash seasoning in this. Thanks</t>
        </is>
      </c>
    </row>
    <row r="1559">
      <c r="A1559" s="7" t="n">
        <v>55268</v>
      </c>
      <c r="B1559" s="7" t="n">
        <v>844800</v>
      </c>
      <c r="C1559" s="7" t="n">
        <v>35193</v>
      </c>
      <c r="D1559" s="7" t="n">
        <v>41231</v>
      </c>
      <c r="E1559" s="8" t="n">
        <v>37543</v>
      </c>
      <c r="F1559" s="7" t="n">
        <v>5</v>
      </c>
      <c r="G1559" s="7" t="inlineStr">
        <is>
          <t>Very, very good!  I used corn tortillas (dietary reason), and since the tortilla started to split slightly when I rolled it up, I wrapped it in a paper towel and microwaved it for about 15 seconds.  It was really tasty, and perfect since I don't have a kitchen at the moment (I have a sharp knife, a spoon, a cup, a microwave, and a small refrigerator).  Thanks for lunch, Dorothy! :)</t>
        </is>
      </c>
    </row>
    <row r="1560">
      <c r="A1560" s="7" t="n">
        <v>9877</v>
      </c>
      <c r="B1560" s="7" t="n">
        <v>550518</v>
      </c>
      <c r="C1560" s="7" t="n">
        <v>1265539</v>
      </c>
      <c r="D1560" s="7" t="n">
        <v>268349</v>
      </c>
      <c r="E1560" s="8" t="n">
        <v>40072</v>
      </c>
      <c r="F1560" s="7" t="n">
        <v>2</v>
      </c>
      <c r="G1560" s="7" t="inlineStr">
        <is>
          <t>Tried it and not for me.</t>
        </is>
      </c>
    </row>
    <row r="1561">
      <c r="A1561" s="7" t="n">
        <v>26572</v>
      </c>
      <c r="B1561" s="7" t="n">
        <v>1069550</v>
      </c>
      <c r="C1561" s="7" t="n">
        <v>2001828697</v>
      </c>
      <c r="D1561" s="7" t="n">
        <v>341050</v>
      </c>
      <c r="E1561" s="8" t="n">
        <v>43067</v>
      </c>
      <c r="F1561" s="7" t="n">
        <v>5</v>
      </c>
      <c r="G1561" s="7" t="inlineStr">
        <is>
          <t>I made this turkey last week for Thanksgiving. It turned out delicious, the turkey was tasty, juicy and the left overs were great. I am thinking to cook it this way from now on. Thank you for the recipe.</t>
        </is>
      </c>
    </row>
    <row r="1562">
      <c r="A1562" s="7" t="n">
        <v>86382</v>
      </c>
      <c r="B1562" s="7" t="n">
        <v>473527</v>
      </c>
      <c r="C1562" s="7" t="n">
        <v>115758</v>
      </c>
      <c r="D1562" s="7" t="n">
        <v>93302</v>
      </c>
      <c r="E1562" s="8" t="n">
        <v>38480</v>
      </c>
      <c r="F1562" s="7" t="n">
        <v>5</v>
      </c>
      <c r="G1562" s="7" t="inlineStr">
        <is>
          <t>A tasty rice dish, went down a treat. Although I enjoyed the flavour next time I think I'll try using chicken stock instead of just water.</t>
        </is>
      </c>
    </row>
    <row r="1563">
      <c r="A1563" s="7" t="n">
        <v>3319</v>
      </c>
      <c r="B1563" s="7" t="n">
        <v>94783</v>
      </c>
      <c r="C1563" s="7" t="n">
        <v>798668</v>
      </c>
      <c r="D1563" s="7" t="n">
        <v>361518</v>
      </c>
      <c r="E1563" s="8" t="n">
        <v>39908</v>
      </c>
      <c r="F1563" s="7" t="n">
        <v>5</v>
      </c>
      <c r="G1563" s="7" t="inlineStr">
        <is>
          <t>This recipe was excellent! I just finished making it and my mom loved it!! I will defintely keep this recipe in rotation!!</t>
        </is>
      </c>
    </row>
    <row r="1564">
      <c r="A1564" s="7" t="n">
        <v>111884</v>
      </c>
      <c r="B1564" s="7" t="n">
        <v>125131</v>
      </c>
      <c r="C1564" s="7" t="n">
        <v>2001403564</v>
      </c>
      <c r="D1564" s="7" t="n">
        <v>127255</v>
      </c>
      <c r="E1564" s="8" t="n">
        <v>42789</v>
      </c>
      <c r="F1564" s="7" t="n">
        <v>2</v>
      </c>
      <c r="G1564" s="7" t="inlineStr">
        <is>
          <t>I dont know if I made it right or if it's because of altitude but my eggs has like a juice at the bottom that was really gross</t>
        </is>
      </c>
    </row>
    <row r="1565">
      <c r="A1565" s="7" t="n">
        <v>118053</v>
      </c>
      <c r="B1565" s="7" t="n">
        <v>990084</v>
      </c>
      <c r="C1565" s="7" t="n">
        <v>1193604</v>
      </c>
      <c r="D1565" s="7" t="n">
        <v>279773</v>
      </c>
      <c r="E1565" s="8" t="n">
        <v>39891</v>
      </c>
      <c r="F1565" s="7" t="n">
        <v>5</v>
      </c>
      <c r="G1565" s="7" t="inlineStr">
        <is>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is>
      </c>
    </row>
    <row r="1566">
      <c r="A1566" s="7" t="n">
        <v>17715</v>
      </c>
      <c r="B1566" s="7" t="n">
        <v>645290</v>
      </c>
      <c r="C1566" s="7" t="n">
        <v>607948</v>
      </c>
      <c r="D1566" s="7" t="n">
        <v>153</v>
      </c>
      <c r="E1566" s="8" t="n">
        <v>39362</v>
      </c>
      <c r="F1566" s="7" t="n">
        <v>5</v>
      </c>
      <c r="G1566" s="7" t="inlineStr">
        <is>
          <t>I've been searching for this starter with the recipe for days...thanks for sharing.  I had the exact bread recipe from 8 years ago, but never had the starter.</t>
        </is>
      </c>
    </row>
    <row r="1567" ht="409.5" customHeight="1">
      <c r="A1567" s="7" t="n">
        <v>25467</v>
      </c>
      <c r="B1567" s="7" t="n">
        <v>940030</v>
      </c>
      <c r="C1567" s="7" t="n">
        <v>698759</v>
      </c>
      <c r="D1567" s="7" t="n">
        <v>47195</v>
      </c>
      <c r="E1567" s="8" t="n">
        <v>39599</v>
      </c>
      <c r="F1567" s="7" t="n">
        <v>5</v>
      </c>
      <c r="G1567" s="9" t="inlineStr">
        <is>
          <t>I would have never tried this recipe if it didn't have such great reviews.  I made mine on parchment paper and they turned out great as advertised!  _x000D_
Thanks so much, I can tell these will be an evening snack when the craving hits!</t>
        </is>
      </c>
    </row>
    <row r="1568">
      <c r="A1568" t="n">
        <v>9710</v>
      </c>
      <c r="B1568" t="n">
        <v>847346</v>
      </c>
      <c r="C1568" t="n">
        <v>599450</v>
      </c>
      <c r="D1568" t="n">
        <v>219818</v>
      </c>
      <c r="E1568" s="1" t="n">
        <v>39488</v>
      </c>
      <c r="F1568" t="n">
        <v>5</v>
      </c>
      <c r="G1568" t="inlineStr">
        <is>
          <t>This is a great tasting and satisfying stew. We had it for lunch today, and it really warmed us up on this very snowy day. My DH added additional heat with a little Frank's RedHot cayenne epper sauce. Made for NA*ME Tag.</t>
        </is>
      </c>
    </row>
    <row r="1569">
      <c r="A1569" s="7" t="n">
        <v>119700</v>
      </c>
      <c r="B1569" s="7" t="n">
        <v>110391</v>
      </c>
      <c r="C1569" s="7" t="n">
        <v>2001082572</v>
      </c>
      <c r="D1569" s="7" t="n">
        <v>470903</v>
      </c>
      <c r="E1569" s="8" t="n">
        <v>42561</v>
      </c>
      <c r="F1569" s="7" t="n">
        <v>1</v>
      </c>
      <c r="G1569" s="7" t="inlineStr">
        <is>
          <t>What a disappointment! The chemistry looked good on paper, but the end result was not what I expected. I followed the instructions to the letter. The beautiful roast (from our local butcher) came out tough and was overcooked. The &amp;quot;glaze&amp;quot; was tart where I expected more sweet and sour. Hopefully I can find something to save the poor leftovers of what should have been a fantastic roast. Will never use this recipe again...if I could have left 0 stars I would have. Cooks, beware!</t>
        </is>
      </c>
    </row>
    <row r="1570">
      <c r="A1570" s="7" t="n">
        <v>39238</v>
      </c>
      <c r="B1570" s="7" t="n">
        <v>524106</v>
      </c>
      <c r="C1570" s="7" t="n">
        <v>542159</v>
      </c>
      <c r="D1570" s="7" t="n">
        <v>183935</v>
      </c>
      <c r="E1570" s="8" t="n">
        <v>40637</v>
      </c>
      <c r="F1570" s="7" t="n">
        <v>5</v>
      </c>
      <c r="G1570" s="7" t="inlineStr">
        <is>
          <t>Yum! This is a wonderful grilled cheese sandwich with loads of garlic flavor. Made two minor changes the first was did not measure the MrsDash instead just sprinkled it on and the second was to opt out of using the mayonnaise, did use a very sturdy multigrain French bread which also brought a nice flavor and texture. Thanks for the post.</t>
        </is>
      </c>
    </row>
    <row r="1571" ht="409.5" customHeight="1">
      <c r="A1571" s="7" t="n">
        <v>52253</v>
      </c>
      <c r="B1571" s="7" t="n">
        <v>694365</v>
      </c>
      <c r="C1571" s="7" t="n">
        <v>68884</v>
      </c>
      <c r="D1571" s="7" t="n">
        <v>267785</v>
      </c>
      <c r="E1571" s="8" t="n">
        <v>40260</v>
      </c>
      <c r="F1571" s="7" t="n">
        <v>4</v>
      </c>
      <c r="G1571" s="9" t="inlineStr">
        <is>
          <t>Very tasty. I really enjoyed the topping â€” it balanced the natural sweetness of the squash well. May add more garlic next time. The only time-consuming part is peeling the squash :)
I made it through step 4, then refrigerated overnight &amp; baked the next evening. Served with Recipe #56453 &amp; sauteed vegetables.</t>
        </is>
      </c>
    </row>
    <row r="1572">
      <c r="A1572" s="7" t="n">
        <v>6086</v>
      </c>
      <c r="B1572" s="7" t="n">
        <v>1048937</v>
      </c>
      <c r="C1572" s="7" t="n">
        <v>206101</v>
      </c>
      <c r="D1572" s="7" t="n">
        <v>102274</v>
      </c>
      <c r="E1572" s="8" t="n">
        <v>38444</v>
      </c>
      <c r="F1572" s="7" t="n">
        <v>5</v>
      </c>
      <c r="G1572" s="7" t="inlineStr">
        <is>
          <t xml:space="preserve">Yum! Thank you for posting this. I loved this at TGIF, but remember it being too spicy in the restaurant, and the waitress said they couldn't change it for me. So now I can change the cayenne to 1/4 t on my own! </t>
        </is>
      </c>
    </row>
    <row r="1573">
      <c r="A1573" s="7" t="n">
        <v>70019</v>
      </c>
      <c r="B1573" s="7" t="n">
        <v>1120846</v>
      </c>
      <c r="C1573" s="7" t="n">
        <v>465056</v>
      </c>
      <c r="D1573" s="7" t="n">
        <v>436682</v>
      </c>
      <c r="E1573" s="8" t="n">
        <v>40733</v>
      </c>
      <c r="F1573" s="7" t="n">
        <v>4</v>
      </c>
      <c r="G1573" s="7" t="inlineStr">
        <is>
          <t>Made as written.  Thanks.</t>
        </is>
      </c>
    </row>
    <row r="1574">
      <c r="A1574" s="7" t="n">
        <v>21389</v>
      </c>
      <c r="B1574" s="7" t="n">
        <v>702963</v>
      </c>
      <c r="C1574" s="7" t="n">
        <v>32058</v>
      </c>
      <c r="D1574" s="7" t="n">
        <v>179797</v>
      </c>
      <c r="E1574" s="8" t="n">
        <v>40789</v>
      </c>
      <c r="F1574" s="7" t="n">
        <v>4</v>
      </c>
      <c r="G1574" s="7" t="inlineStr">
        <is>
          <t>I enjoyed this.  Not sure if I would make for a crowd.  Mixed reviews from everyone else.  Little too potent for the kids.</t>
        </is>
      </c>
    </row>
    <row r="1575">
      <c r="A1575" s="7" t="n">
        <v>119261</v>
      </c>
      <c r="B1575" s="7" t="n">
        <v>139265</v>
      </c>
      <c r="C1575" s="7" t="n">
        <v>191050</v>
      </c>
      <c r="D1575" s="7" t="n">
        <v>144507</v>
      </c>
      <c r="E1575" s="8" t="n">
        <v>38703</v>
      </c>
      <c r="F1575" s="7" t="n">
        <v>5</v>
      </c>
      <c r="G1575" s="7" t="inlineStr">
        <is>
          <t>Just tried these tonight and they were really great and low in fat and so easy to make!  Give these a try!</t>
        </is>
      </c>
    </row>
    <row r="1576">
      <c r="A1576" s="7" t="n">
        <v>115722</v>
      </c>
      <c r="B1576" s="7" t="n">
        <v>124473</v>
      </c>
      <c r="C1576" s="7" t="n">
        <v>310749</v>
      </c>
      <c r="D1576" s="7" t="n">
        <v>21008</v>
      </c>
      <c r="E1576" s="8" t="n">
        <v>40107</v>
      </c>
      <c r="F1576" s="7" t="n">
        <v>5</v>
      </c>
      <c r="G1576" s="7" t="inlineStr">
        <is>
          <t>I made this exactly as described and it was PERFECT!  It was so good, I immediately doubled the recipe as this only makes about 1/2 cup.  It's a perfect and unique option for those who don't like the standard dressings like Ranch.  I used a smooth dijon, but next time, I'm going to try some whole-seed dijon or a mixture of both.  Thanks for posting a keeper!</t>
        </is>
      </c>
    </row>
    <row r="1577">
      <c r="A1577" s="7" t="n">
        <v>120494</v>
      </c>
      <c r="B1577" s="7" t="n">
        <v>268230</v>
      </c>
      <c r="C1577" s="7" t="n">
        <v>653438</v>
      </c>
      <c r="D1577" s="7" t="n">
        <v>452758</v>
      </c>
      <c r="E1577" s="8" t="n">
        <v>41203</v>
      </c>
      <c r="F1577" s="7" t="n">
        <v>5</v>
      </c>
      <c r="G1577" s="7" t="inlineStr">
        <is>
          <t>Made this for Fall PAC 2012 and DH couldn't stop eating this.  I cooked this in the crockpot and the meat came out sooo tender and everything was done perfectly.  Served over garlic mashed potatoes.  Our company wanted the recipe so I ran up and printed them a copy.  Thank you for posting.</t>
        </is>
      </c>
    </row>
    <row r="1578">
      <c r="A1578" s="7" t="n">
        <v>70956</v>
      </c>
      <c r="B1578" s="7" t="n">
        <v>309410</v>
      </c>
      <c r="C1578" s="7" t="n">
        <v>2002058975</v>
      </c>
      <c r="D1578" s="7" t="n">
        <v>22691</v>
      </c>
      <c r="E1578" s="8" t="n">
        <v>43273</v>
      </c>
      <c r="F1578" s="7" t="n">
        <v>5</v>
      </c>
      <c r="G1578" s="7" t="inlineStr">
        <is>
          <t>I made this cobbler using the notes for modifying the liquids and mostly the sugar. It turned out delicious, but I'm not sure if it was right. When I took it out of the oven it had about an inch of 'sugar water' jelled on the bottom. Looked wrong, but I thought it might solidify a bit if I left it in. We didn't end up taking it to our friends' dinner, so ate it this morning. The 'jelled' liquid at the bottom was delicious, even if it was wrong! It was almost like a topping for the cobbler. I'll do this again using any suggestions anyone has for me!! Great Cobbler!!</t>
        </is>
      </c>
    </row>
    <row r="1579">
      <c r="A1579" s="7" t="n">
        <v>57298</v>
      </c>
      <c r="B1579" s="7" t="n">
        <v>1126076</v>
      </c>
      <c r="C1579" s="7" t="n">
        <v>2002024946</v>
      </c>
      <c r="D1579" s="7" t="n">
        <v>392356</v>
      </c>
      <c r="E1579" s="8" t="n">
        <v>43161</v>
      </c>
      <c r="F1579" s="7" t="n">
        <v>4</v>
      </c>
      <c r="G1579" s="7" t="inlineStr">
        <is>
          <t>This recipe works best if the bacon is raised using a wire rack or something so that it's not sitting in its own grease. Cooks fast and is super crispy!</t>
        </is>
      </c>
    </row>
    <row r="1580">
      <c r="A1580" s="7" t="n">
        <v>61490</v>
      </c>
      <c r="B1580" s="7" t="n">
        <v>886694</v>
      </c>
      <c r="C1580" s="7" t="n">
        <v>6357</v>
      </c>
      <c r="D1580" s="7" t="n">
        <v>152733</v>
      </c>
      <c r="E1580" s="8" t="n">
        <v>38742</v>
      </c>
      <c r="F1580" s="7" t="n">
        <v>4</v>
      </c>
      <c r="G1580" s="7" t="inlineStr">
        <is>
          <t>This is what we call Orange Julius. A nice summer time treat!</t>
        </is>
      </c>
    </row>
    <row r="1581">
      <c r="A1581" s="7" t="n">
        <v>58124</v>
      </c>
      <c r="B1581" s="7" t="n">
        <v>297961</v>
      </c>
      <c r="C1581" s="7" t="n">
        <v>226863</v>
      </c>
      <c r="D1581" s="7" t="n">
        <v>200244</v>
      </c>
      <c r="E1581" s="8" t="n">
        <v>40635</v>
      </c>
      <c r="F1581" s="7" t="n">
        <v>5</v>
      </c>
      <c r="G1581" s="7" t="inlineStr">
        <is>
          <t>Fabulous!  I substituted pecans because I had those on hand, and this turned out wonderful!  A definite make again recipe for me.  Thanks for sharing!</t>
        </is>
      </c>
    </row>
    <row r="1582">
      <c r="A1582" s="7" t="n">
        <v>71081</v>
      </c>
      <c r="B1582" s="7" t="n">
        <v>879738</v>
      </c>
      <c r="C1582" s="7" t="n">
        <v>563252</v>
      </c>
      <c r="D1582" s="7" t="n">
        <v>7404</v>
      </c>
      <c r="E1582" s="8" t="n">
        <v>39594</v>
      </c>
      <c r="F1582" s="7" t="n">
        <v>5</v>
      </c>
      <c r="G1582" s="7" t="inlineStr">
        <is>
          <t>I needed a dessert for this evening and had some apples. I didn't have the raisins but this was so easy and really yummy. Thank you for the recipe.  I will make it again.</t>
        </is>
      </c>
    </row>
    <row r="1583">
      <c r="A1583" s="7" t="n">
        <v>59665</v>
      </c>
      <c r="B1583" s="7" t="n">
        <v>266230</v>
      </c>
      <c r="C1583" s="7" t="n">
        <v>2000633866</v>
      </c>
      <c r="D1583" s="7" t="n">
        <v>107786</v>
      </c>
      <c r="E1583" s="8" t="n">
        <v>42371</v>
      </c>
      <c r="F1583" s="7" t="n">
        <v>0</v>
      </c>
      <c r="G1583" s="7" t="inlineStr">
        <is>
          <t>Havent tried yet, sounds great... but 1 rib is 1229 calories???</t>
        </is>
      </c>
    </row>
    <row r="1584">
      <c r="A1584" s="7" t="n">
        <v>121610</v>
      </c>
      <c r="B1584" s="7" t="n">
        <v>402205</v>
      </c>
      <c r="C1584" s="7" t="n">
        <v>55578</v>
      </c>
      <c r="D1584" s="7" t="n">
        <v>27084</v>
      </c>
      <c r="E1584" s="8" t="n">
        <v>38543</v>
      </c>
      <c r="F1584" s="7" t="n">
        <v>5</v>
      </c>
      <c r="G1584" s="7" t="inlineStr">
        <is>
          <t>I have never tried couscous before and in this recipe it was great.  DS absolutely loved it.  Thanks!</t>
        </is>
      </c>
    </row>
    <row r="1585">
      <c r="A1585" s="7" t="n">
        <v>47436</v>
      </c>
      <c r="B1585" s="7" t="n">
        <v>238942</v>
      </c>
      <c r="C1585" s="7" t="n">
        <v>269899</v>
      </c>
      <c r="D1585" s="7" t="n">
        <v>117025</v>
      </c>
      <c r="E1585" s="8" t="n">
        <v>39089</v>
      </c>
      <c r="F1585" s="7" t="n">
        <v>5</v>
      </c>
      <c r="G1585" s="7" t="inlineStr">
        <is>
          <t>Thanks I loved this easy recipe. Mine cooked faster it was done in about 20 mins. I added a littlr vanilla and cinnamon to the batter.</t>
        </is>
      </c>
    </row>
    <row r="1586">
      <c r="A1586" s="7" t="n">
        <v>39061</v>
      </c>
      <c r="B1586" s="7" t="n">
        <v>939873</v>
      </c>
      <c r="C1586" s="7" t="n">
        <v>37305</v>
      </c>
      <c r="D1586" s="7" t="n">
        <v>47195</v>
      </c>
      <c r="E1586" s="8" t="n">
        <v>37920</v>
      </c>
      <c r="F1586" s="7" t="n">
        <v>5</v>
      </c>
      <c r="G1586" s="7" t="inlineStr">
        <is>
          <t>Well, Uncle Bill, this is a "trying to be healthy" person's dream snack!  The casserole method didn't work for me (they stuck terribly), so I looked deeper into my cabinets and found my rarely used microwave bacon rack.  This worked perfectly!  My microwave is very powerful so I only needed 6 minutes for perfect chips.  I tried plain salted and then onion powder, salt and parsley ... these were a favorite.  I plan on trying some dry ranch dip mix on them next time!  Thanks for sharing this ...I have already shared it with my "diet buddies"!  (My only regret is that you can only make a few at a time and my kids keep eating them!)</t>
        </is>
      </c>
    </row>
    <row r="1587">
      <c r="A1587" s="7" t="n">
        <v>104702</v>
      </c>
      <c r="B1587" s="7" t="n">
        <v>1034964</v>
      </c>
      <c r="C1587" s="7" t="n">
        <v>293410</v>
      </c>
      <c r="D1587" s="7" t="n">
        <v>310512</v>
      </c>
      <c r="E1587" s="8" t="n">
        <v>40038</v>
      </c>
      <c r="F1587" s="7" t="n">
        <v>5</v>
      </c>
      <c r="G1587" s="7" t="inlineStr">
        <is>
          <t>Forgot to review this after making it, LOL. It's a yummy, cold and nutritious snack!- and, may I mention, perhaps even better with the addition of a little peanut butter smeared on the tip of each bite. Thanks for posting!</t>
        </is>
      </c>
    </row>
    <row r="1588">
      <c r="A1588" s="7" t="n">
        <v>73793</v>
      </c>
      <c r="B1588" s="7" t="n">
        <v>510245</v>
      </c>
      <c r="C1588" s="7" t="n">
        <v>858501</v>
      </c>
      <c r="D1588" s="7" t="n">
        <v>89207</v>
      </c>
      <c r="E1588" s="8" t="n">
        <v>40084</v>
      </c>
      <c r="F1588" s="7" t="n">
        <v>5</v>
      </c>
      <c r="G1588" s="7" t="inlineStr">
        <is>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is>
      </c>
    </row>
    <row r="1589">
      <c r="A1589" s="7" t="n">
        <v>81753</v>
      </c>
      <c r="B1589" s="7" t="n">
        <v>255166</v>
      </c>
      <c r="C1589" s="7" t="n">
        <v>168462</v>
      </c>
      <c r="D1589" s="7" t="n">
        <v>55796</v>
      </c>
      <c r="E1589" s="8" t="n">
        <v>39664</v>
      </c>
      <c r="F1589" s="7" t="n">
        <v>5</v>
      </c>
      <c r="G1589" s="7" t="inlineStr">
        <is>
          <t>This soup is fantastic. I had to use frozen spinach in place of the kale and skipped the Italian herbs. This was so easy to make and so flavourful. Thanks for the recipe.</t>
        </is>
      </c>
    </row>
    <row r="1590">
      <c r="A1590" s="7" t="n">
        <v>70277</v>
      </c>
      <c r="B1590" s="7" t="n">
        <v>525514</v>
      </c>
      <c r="C1590" s="7" t="n">
        <v>1770577</v>
      </c>
      <c r="D1590" s="7" t="n">
        <v>107281</v>
      </c>
      <c r="E1590" s="8" t="n">
        <v>40534</v>
      </c>
      <c r="F1590" s="7" t="n">
        <v>0</v>
      </c>
      <c r="G1590" s="7" t="inlineStr">
        <is>
          <t>This really is THE BEST ALBONDIGA SOUP!... I have been named the queen of albondiga soup in my home! :) thank you!</t>
        </is>
      </c>
    </row>
    <row r="1591">
      <c r="A1591" s="7" t="n">
        <v>87991</v>
      </c>
      <c r="B1591" s="7" t="n">
        <v>504319</v>
      </c>
      <c r="C1591" s="7" t="n">
        <v>440735</v>
      </c>
      <c r="D1591" s="7" t="n">
        <v>502993</v>
      </c>
      <c r="E1591" s="8" t="n">
        <v>41508</v>
      </c>
      <c r="F1591" s="7" t="n">
        <v>5</v>
      </c>
      <c r="G1591" s="7" t="inlineStr">
        <is>
          <t>Wow and Wow! We loved this! The only thing I would change would be to decrease the lemon juice to allow more of the other flavors to come through. Next time I will cook a tuna steak and thinly slice it before serving.  Made for ZWT for the Gourment Goddesses July 2013.</t>
        </is>
      </c>
    </row>
    <row r="1592">
      <c r="A1592" s="7" t="n">
        <v>1150</v>
      </c>
      <c r="B1592" s="7" t="n">
        <v>294586</v>
      </c>
      <c r="C1592" s="7" t="n">
        <v>422893</v>
      </c>
      <c r="D1592" s="7" t="n">
        <v>100837</v>
      </c>
      <c r="E1592" s="8" t="n">
        <v>39266</v>
      </c>
      <c r="F1592" s="7" t="n">
        <v>5</v>
      </c>
      <c r="G1592" s="7" t="inlineStr">
        <is>
          <t>I cut this down to serve one. This was very visually appealing &amp; tastes great. I love the sweetness the pineapple &amp; grenadine give the champagne, a keeper, thanks. Made for ZWT III.</t>
        </is>
      </c>
    </row>
    <row r="1593">
      <c r="A1593" s="7" t="n">
        <v>107002</v>
      </c>
      <c r="B1593" s="7" t="n">
        <v>545740</v>
      </c>
      <c r="C1593" s="7" t="n">
        <v>526666</v>
      </c>
      <c r="D1593" s="7" t="n">
        <v>447177</v>
      </c>
      <c r="E1593" s="8" t="n">
        <v>40730</v>
      </c>
      <c r="F1593" s="7" t="n">
        <v>5</v>
      </c>
      <c r="G1593" s="7" t="inlineStr">
        <is>
          <t>Guess who planted 6 jalapeno plants this year? I did, I did...LOL So, in preparation for a large pepper harvest, I'm looking for recipes for poppers, and all different kinds, at that! These were great, and Ive already shared them with my sis (who has made them 2-3 times herself!) and a couple of friends! They are great and I'm happy I don't have to fry them. I used 4 huge jalapenos, split in half, leaving the membrane and a few seeds, as we LIKE it hot! They were so good! And easy! YUM! Thanks for sharing a great recipe, Chef GreanEyes!</t>
        </is>
      </c>
    </row>
    <row r="1594">
      <c r="A1594" s="7" t="n">
        <v>99376</v>
      </c>
      <c r="B1594" s="7" t="n">
        <v>444411</v>
      </c>
      <c r="C1594" s="7" t="n">
        <v>547639</v>
      </c>
      <c r="D1594" s="7" t="n">
        <v>206085</v>
      </c>
      <c r="E1594" s="8" t="n">
        <v>39511</v>
      </c>
      <c r="F1594" s="7" t="n">
        <v>5</v>
      </c>
      <c r="G1594" s="7" t="inlineStr">
        <is>
          <t>i've made this recipe twice and have just used the veggies i had in the house (no celery either time).  it's a good recipe, but we found that it's great the next day.  if you can, plan to make this a day ahead so it becomes even more chowder-like for the next day.</t>
        </is>
      </c>
    </row>
    <row r="1595">
      <c r="A1595" s="7" t="n">
        <v>69537</v>
      </c>
      <c r="B1595" s="7" t="n">
        <v>964855</v>
      </c>
      <c r="C1595" s="7" t="n">
        <v>220348</v>
      </c>
      <c r="D1595" s="7" t="n">
        <v>280881</v>
      </c>
      <c r="E1595" s="8" t="n">
        <v>40134</v>
      </c>
      <c r="F1595" s="7" t="n">
        <v>5</v>
      </c>
      <c r="G1595" s="7" t="inlineStr">
        <is>
          <t>This is a really great recipe, and is a nice side dish. I just loved everything about it. The lemon zest, I think, adds a nice flavour to the dish.</t>
        </is>
      </c>
    </row>
    <row r="1596">
      <c r="A1596" s="7" t="n">
        <v>61848</v>
      </c>
      <c r="B1596" s="7" t="n">
        <v>912712</v>
      </c>
      <c r="C1596" s="7" t="n">
        <v>265954</v>
      </c>
      <c r="D1596" s="7" t="n">
        <v>49014</v>
      </c>
      <c r="E1596" s="8" t="n">
        <v>39266</v>
      </c>
      <c r="F1596" s="7" t="n">
        <v>5</v>
      </c>
      <c r="G1596" s="7" t="inlineStr">
        <is>
          <t>Delicious.  I did leave out the orange rinds, and what resulted reminds me of the hot chocolate we'd drink at the summertime feasts in Spain when my brother and I were children.  Now all I need are churros to go along with this decadent drink.  Thank you so much for posting.</t>
        </is>
      </c>
    </row>
    <row r="1597" ht="165" customHeight="1">
      <c r="A1597" s="7" t="n">
        <v>94421</v>
      </c>
      <c r="B1597" s="7" t="n">
        <v>295967</v>
      </c>
      <c r="C1597" s="7" t="n">
        <v>30914</v>
      </c>
      <c r="D1597" s="7" t="n">
        <v>46922</v>
      </c>
      <c r="E1597" s="8" t="n">
        <v>39916</v>
      </c>
      <c r="F1597" s="7" t="n">
        <v>5</v>
      </c>
      <c r="G1597" s="9" t="inlineStr">
        <is>
          <t>Great and Easy recipe.
This made one wonderful Easter Dinner.
Thanks Boopster</t>
        </is>
      </c>
    </row>
    <row r="1598">
      <c r="A1598" s="7" t="n">
        <v>126624</v>
      </c>
      <c r="B1598" s="7" t="n">
        <v>878357</v>
      </c>
      <c r="C1598" s="7" t="n">
        <v>2001908217</v>
      </c>
      <c r="D1598" s="7" t="n">
        <v>356549</v>
      </c>
      <c r="E1598" s="8" t="n">
        <v>43104</v>
      </c>
      <c r="F1598" s="7" t="n">
        <v>0</v>
      </c>
      <c r="G1598" s="7" t="inlineStr">
        <is>
          <t>Has anyone tried this with gluten free flour?</t>
        </is>
      </c>
    </row>
    <row r="1599">
      <c r="A1599" s="7" t="n">
        <v>79477</v>
      </c>
      <c r="B1599" s="7" t="n">
        <v>1053663</v>
      </c>
      <c r="C1599" s="7" t="n">
        <v>2324285</v>
      </c>
      <c r="D1599" s="7" t="n">
        <v>482648</v>
      </c>
      <c r="E1599" s="8" t="n">
        <v>41493</v>
      </c>
      <c r="F1599" s="7" t="n">
        <v>5</v>
      </c>
      <c r="G1599" s="7" t="inlineStr">
        <is>
          <t>Perfect!  I cook with ghee a few times a week, and was always annoyed by how expensive it was even though it&amp;#039;s basically just drawn butter.  This recipe makes just about the same amount as what I used to buy, but at a third of the price- very cool, and so easy to make!  Thanks lots, I&amp;#039;m never buying ghee again.  [made &amp;amp; reviewed for rookie recipes]</t>
        </is>
      </c>
    </row>
    <row r="1600">
      <c r="A1600" s="7" t="n">
        <v>98635</v>
      </c>
      <c r="B1600" s="7" t="n">
        <v>746571</v>
      </c>
      <c r="C1600" s="7" t="n">
        <v>424850</v>
      </c>
      <c r="D1600" s="7" t="n">
        <v>16301</v>
      </c>
      <c r="E1600" s="8" t="n">
        <v>40141</v>
      </c>
      <c r="F1600" s="7" t="n">
        <v>5</v>
      </c>
      <c r="G1600" s="7" t="inlineStr">
        <is>
          <t>This is my third year making these!! Yum! I am making a triple batch as I need 13 dozen for a cookie exchange. They taste wonderful.</t>
        </is>
      </c>
    </row>
    <row r="1601">
      <c r="A1601" s="7" t="n">
        <v>16225</v>
      </c>
      <c r="B1601" s="7" t="n">
        <v>237582</v>
      </c>
      <c r="C1601" s="7" t="n">
        <v>283390</v>
      </c>
      <c r="D1601" s="7" t="n">
        <v>98694</v>
      </c>
      <c r="E1601" s="8" t="n">
        <v>39113</v>
      </c>
      <c r="F1601" s="7" t="n">
        <v>5</v>
      </c>
      <c r="G1601" s="7" t="inlineStr">
        <is>
          <t>These are really unusual and tasty! I used tilapia for the fish, sriracha for the hot sauce, and I didn't include the optional coconut meat. These were really quick to prepare.  I only got 6 tortillas out of this rather than 8, but I may have overfilled them. Thanks for posting!</t>
        </is>
      </c>
    </row>
    <row r="1602">
      <c r="A1602" s="7" t="n">
        <v>126659</v>
      </c>
      <c r="B1602" s="7" t="n">
        <v>1111426</v>
      </c>
      <c r="C1602" s="7" t="n">
        <v>899007</v>
      </c>
      <c r="D1602" s="7" t="n">
        <v>311508</v>
      </c>
      <c r="E1602" s="8" t="n">
        <v>39666</v>
      </c>
      <c r="F1602" s="7" t="n">
        <v>5</v>
      </c>
      <c r="G1602" s="7" t="inlineStr">
        <is>
          <t>to die for!!</t>
        </is>
      </c>
    </row>
    <row r="1603">
      <c r="A1603" s="7" t="n">
        <v>4327</v>
      </c>
      <c r="B1603" s="7" t="n">
        <v>311954</v>
      </c>
      <c r="C1603" s="7" t="n">
        <v>1611437</v>
      </c>
      <c r="D1603" s="7" t="n">
        <v>22841</v>
      </c>
      <c r="E1603" s="8" t="n">
        <v>42481</v>
      </c>
      <c r="F1603" s="7" t="n">
        <v>4</v>
      </c>
      <c r="G1603" s="7" t="inlineStr">
        <is>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is>
      </c>
    </row>
    <row r="1604">
      <c r="A1604" s="7" t="n">
        <v>78333</v>
      </c>
      <c r="B1604" s="7" t="n">
        <v>809636</v>
      </c>
      <c r="C1604" s="7" t="n">
        <v>301068</v>
      </c>
      <c r="D1604" s="7" t="n">
        <v>415735</v>
      </c>
      <c r="E1604" s="8" t="n">
        <v>40842</v>
      </c>
      <c r="F1604" s="7" t="n">
        <v>5</v>
      </c>
      <c r="G1604" s="7" t="inlineStr">
        <is>
          <t>Yummy!!! My husband loved it and asked for me to make it again. So here I go again.....</t>
        </is>
      </c>
    </row>
    <row r="1605">
      <c r="A1605" s="7" t="n">
        <v>116599</v>
      </c>
      <c r="B1605" s="7" t="n">
        <v>273419</v>
      </c>
      <c r="C1605" s="7" t="n">
        <v>617048</v>
      </c>
      <c r="D1605" s="7" t="n">
        <v>167202</v>
      </c>
      <c r="E1605" s="8" t="n">
        <v>39581</v>
      </c>
      <c r="F1605" s="7" t="n">
        <v>2</v>
      </c>
      <c r="G1605" s="7" t="inlineStr">
        <is>
          <t>I've had many of Weight Watchers recipes and they have all had a lot of flavor.  This did not.  Maybe it was the mixed vegetables I used.  I think it would be much better with salt, pepper, and maybe a little paprika.  I think it would also taste better with seasoned chicken.</t>
        </is>
      </c>
    </row>
    <row r="1606">
      <c r="A1606" s="7" t="n">
        <v>103087</v>
      </c>
      <c r="B1606" s="7" t="n">
        <v>297594</v>
      </c>
      <c r="C1606" s="7" t="n">
        <v>489552</v>
      </c>
      <c r="D1606" s="7" t="n">
        <v>338611</v>
      </c>
      <c r="E1606" s="8" t="n">
        <v>39973</v>
      </c>
      <c r="F1606" s="7" t="n">
        <v>4</v>
      </c>
      <c r="G1606" s="7" t="inlineStr">
        <is>
          <t>This was excellent.  My family loves Asparagus so this hit the spot. Served with Recipe # 295459.  Made by member of "Cooks With Dirty Faces" for ZWT5</t>
        </is>
      </c>
    </row>
    <row r="1607">
      <c r="A1607" s="7" t="n">
        <v>53614</v>
      </c>
      <c r="B1607" s="7" t="n">
        <v>94167</v>
      </c>
      <c r="C1607" s="7" t="n">
        <v>2001685835</v>
      </c>
      <c r="D1607" s="7" t="n">
        <v>14396</v>
      </c>
      <c r="E1607" s="8" t="n">
        <v>43099</v>
      </c>
      <c r="F1607" s="7" t="n">
        <v>0</v>
      </c>
      <c r="G1607" s="7" t="inlineStr">
        <is>
          <t>Trying this tonight</t>
        </is>
      </c>
    </row>
    <row r="1608">
      <c r="A1608" s="7" t="n">
        <v>44196</v>
      </c>
      <c r="B1608" s="7" t="n">
        <v>536607</v>
      </c>
      <c r="C1608" s="7" t="n">
        <v>27395</v>
      </c>
      <c r="D1608" s="7" t="n">
        <v>37595</v>
      </c>
      <c r="E1608" s="8" t="n">
        <v>37646</v>
      </c>
      <c r="F1608" s="7" t="n">
        <v>5</v>
      </c>
      <c r="G1608" s="7" t="inlineStr">
        <is>
          <t>THIS RECIPE IS AWESOME!!! I followed the recipe exactly, except I left out the cayenne and added some ground black pepper to veggies when grilling (personal preference). Oh, and I also used fresh garlic since I always have a massive amount of it in my house:) Served with sour cream and mild salsa. I had this for supper yesterday, and the leftovers are calling me from my fridge. Definitely a keeper. Another reason to LOVE my Foreman grill!!! Thanks, shannon!!</t>
        </is>
      </c>
    </row>
    <row r="1609">
      <c r="A1609" s="7" t="n">
        <v>91718</v>
      </c>
      <c r="B1609" s="7" t="n">
        <v>1032392</v>
      </c>
      <c r="C1609" s="7" t="n">
        <v>285039</v>
      </c>
      <c r="D1609" s="7" t="n">
        <v>329285</v>
      </c>
      <c r="E1609" s="8" t="n">
        <v>40173</v>
      </c>
      <c r="F1609" s="7" t="n">
        <v>5</v>
      </c>
      <c r="G1609" s="7" t="inlineStr">
        <is>
          <t>I love the Apple Gorgonzola salad served at Buca di Beppo, so I thought I would try this one.  The flavor was very good, next time I will double the dressing or half the salad ingredients because I like more dressing on my salad.  Thanks for posting!</t>
        </is>
      </c>
    </row>
    <row r="1610">
      <c r="A1610" s="7" t="n">
        <v>34859</v>
      </c>
      <c r="B1610" s="7" t="n">
        <v>433320</v>
      </c>
      <c r="C1610" s="7" t="n">
        <v>601316</v>
      </c>
      <c r="D1610" s="7" t="n">
        <v>261493</v>
      </c>
      <c r="E1610" s="8" t="n">
        <v>39656</v>
      </c>
      <c r="F1610" s="7" t="n">
        <v>5</v>
      </c>
      <c r="G1610" s="7" t="inlineStr">
        <is>
          <t>I just had these at my Norwegian in laws house (they are from Roseau, MN) and they are sooooo yummy!!! Uff da!!</t>
        </is>
      </c>
    </row>
    <row r="1611">
      <c r="A1611" s="7" t="n">
        <v>72465</v>
      </c>
      <c r="B1611" s="7" t="n">
        <v>510003</v>
      </c>
      <c r="C1611" s="7" t="n">
        <v>701593</v>
      </c>
      <c r="D1611" s="7" t="n">
        <v>89207</v>
      </c>
      <c r="E1611" s="8" t="n">
        <v>39445</v>
      </c>
      <c r="F1611" s="7" t="n">
        <v>5</v>
      </c>
      <c r="G1611" s="7" t="inlineStr">
        <is>
          <t>I just changed one ingredient to make fluffy frosting. Instead of adding 1/3 of half and half, I added about 4oz of cool whip to make the frosting fluffy and easy to spead. It still tastes outstanding!</t>
        </is>
      </c>
    </row>
    <row r="1612">
      <c r="A1612" s="7" t="n">
        <v>8174</v>
      </c>
      <c r="B1612" s="7" t="n">
        <v>336165</v>
      </c>
      <c r="C1612" s="7" t="n">
        <v>9670</v>
      </c>
      <c r="D1612" s="7" t="n">
        <v>42601</v>
      </c>
      <c r="E1612" s="8" t="n">
        <v>38386</v>
      </c>
      <c r="F1612" s="7" t="n">
        <v>5</v>
      </c>
      <c r="G1612" s="7" t="inlineStr">
        <is>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is>
      </c>
    </row>
    <row r="1613">
      <c r="A1613" s="7" t="n">
        <v>57920</v>
      </c>
      <c r="B1613" s="7" t="n">
        <v>727134</v>
      </c>
      <c r="C1613" s="7" t="n">
        <v>46196475</v>
      </c>
      <c r="D1613" s="7" t="n">
        <v>185141</v>
      </c>
      <c r="E1613" s="8" t="n">
        <v>41949</v>
      </c>
      <c r="F1613" s="7" t="n">
        <v>5</v>
      </c>
      <c r="G1613" s="7" t="inlineStr">
        <is>
          <t>Delicious!</t>
        </is>
      </c>
    </row>
    <row r="1614">
      <c r="A1614" s="7" t="n">
        <v>114287</v>
      </c>
      <c r="B1614" s="7" t="n">
        <v>354707</v>
      </c>
      <c r="C1614" s="7" t="n">
        <v>325354</v>
      </c>
      <c r="D1614" s="7" t="n">
        <v>148881</v>
      </c>
      <c r="E1614" s="8" t="n">
        <v>39091</v>
      </c>
      <c r="F1614" s="7" t="n">
        <v>5</v>
      </c>
      <c r="G1614" s="7" t="inlineStr">
        <is>
          <t>Tastes good.  I would recommend greasing the baking dish if you use crescent rolls, I didn't the first time because the pack I used said that they were to be baked on an ungreased pan and it stuck to the bottom a little bit.  My oven is a little hot, I think, so I bake at a lower temp for a little bit longer.  Also tastes good with cheddar.</t>
        </is>
      </c>
    </row>
    <row r="1615">
      <c r="A1615" s="7" t="n">
        <v>5153</v>
      </c>
      <c r="B1615" s="7" t="n">
        <v>317390</v>
      </c>
      <c r="C1615" s="7" t="n">
        <v>915834</v>
      </c>
      <c r="D1615" s="7" t="n">
        <v>229993</v>
      </c>
      <c r="E1615" s="8" t="n">
        <v>40252</v>
      </c>
      <c r="F1615" s="7" t="n">
        <v>5</v>
      </c>
      <c r="G1615" s="7" t="inlineStr">
        <is>
          <t>Great dinner for busy nights with ingredients that I mostly have on hand. I have never put sausage (vegan or otherwise) in my baked ziti before now and it was a great addition to the flavor as well as a way to work in some extra protein. Thanks for the Excellent recipe!</t>
        </is>
      </c>
    </row>
    <row r="1616">
      <c r="A1616" s="7" t="n">
        <v>42541</v>
      </c>
      <c r="B1616" s="7" t="n">
        <v>34440</v>
      </c>
      <c r="C1616" s="7" t="n">
        <v>717221</v>
      </c>
      <c r="D1616" s="7" t="n">
        <v>112526</v>
      </c>
      <c r="E1616" s="8" t="n">
        <v>39585</v>
      </c>
      <c r="F1616" s="7" t="n">
        <v>5</v>
      </c>
      <c r="G1616" s="7" t="inlineStr">
        <is>
          <t>So tasty! Wouldn't change a thing. Made 1/2 spicy with chilies and 1/2 without for my non-spicy friend - both lovely. Have made twice already, and once had to leave assembled enchiladas with cream poured over in foil covered dishes in the fridge for 3 days! due to unforseen circumstances. These were still great only baking three days later. Thanks for a lovely, easy and tasty recipe.</t>
        </is>
      </c>
    </row>
    <row r="1617">
      <c r="A1617" s="7" t="n">
        <v>44798</v>
      </c>
      <c r="B1617" s="7" t="n">
        <v>1074949</v>
      </c>
      <c r="C1617" s="7" t="n">
        <v>2001536460</v>
      </c>
      <c r="D1617" s="7" t="n">
        <v>135350</v>
      </c>
      <c r="E1617" s="8" t="n">
        <v>42869</v>
      </c>
      <c r="F1617" s="7" t="n">
        <v>5</v>
      </c>
      <c r="G1617" s="7" t="inlineStr">
        <is>
          <t>I tripped the recipe so not only I could use my 9 by 14 cooking dish but to also have plenty of left overs because it's best when it sets up and reheated. I used 3 ki da of chesses and chili powder on top. Also I used corn flakes on top and I turned up to 450 and left it in another 10 min. The recipe doesn't call for how mu h pepper and the pepper is for sure a must have and lots of it before and after.</t>
        </is>
      </c>
    </row>
    <row r="1618">
      <c r="A1618" s="7" t="n">
        <v>1576</v>
      </c>
      <c r="B1618" s="7" t="n">
        <v>952266</v>
      </c>
      <c r="C1618" s="7" t="n">
        <v>1018029</v>
      </c>
      <c r="D1618" s="7" t="n">
        <v>131082</v>
      </c>
      <c r="E1618" s="8" t="n">
        <v>39879</v>
      </c>
      <c r="F1618" s="7" t="n">
        <v>5</v>
      </c>
      <c r="G1618" s="7" t="inlineStr">
        <is>
          <t>This is a fabulous recipe. I make it every week and it's great for a diet. You can use lots of different vegetables and use up what you have at hand - I've done it with Kale or cabbage rather than broccoli and it's just great. Thanks for this recipe.</t>
        </is>
      </c>
    </row>
    <row r="1619">
      <c r="A1619" s="7" t="n">
        <v>8490</v>
      </c>
      <c r="B1619" s="7" t="n">
        <v>1005050</v>
      </c>
      <c r="C1619" s="7" t="n">
        <v>373404</v>
      </c>
      <c r="D1619" s="7" t="n">
        <v>34510</v>
      </c>
      <c r="E1619" s="8" t="n">
        <v>40943</v>
      </c>
      <c r="F1619" s="7" t="n">
        <v>5</v>
      </c>
      <c r="G1619" s="7" t="inlineStr">
        <is>
          <t>I was completely astonished when hubby requested Reuben sandwiches this week, since he is vehemently anti-sauerkraut.  That being said, there are a handful of dishes that I can make with it, as long as I rinse the kraut really well.  That takes away some of the tartness of it, which is what he has the biggest problem with.  I don't like Thousand Island, but you really can't taste it in here.  It just adds the tiniest bit of sweetness to the sandwich. I made these tonight, but I didn't follow recommendations for amounts or anything, just the order in which the ingredients were added.  I didn't bring my meat and cheese to room temp, but when I put them in the skillet, I put the lid on it, to warm the entire thing.  That worked just fine. When I rinsed the kraut in the colander, I did it with warm water, so that warmed it enough that I didn't have to warm it separately.  Hubby asked for seconds, and both boys loved them too.  Definite winner for us.  :-)</t>
        </is>
      </c>
    </row>
    <row r="1620">
      <c r="A1620" s="7" t="n">
        <v>86504</v>
      </c>
      <c r="B1620" s="7" t="n">
        <v>405312</v>
      </c>
      <c r="C1620" s="7" t="n">
        <v>705485</v>
      </c>
      <c r="D1620" s="7" t="n">
        <v>132488</v>
      </c>
      <c r="E1620" s="8" t="n">
        <v>39443</v>
      </c>
      <c r="F1620" s="7" t="n">
        <v>5</v>
      </c>
      <c r="G1620" s="7" t="inlineStr">
        <is>
          <t>I made this for Christmas, and my cousin said it was the 2nd best desert he had ever had!  My husband also loved it.  I did add about twice the almond flavoring, but it was very tasty, and I think I will add this to the Christmas tradition.</t>
        </is>
      </c>
    </row>
    <row r="1621">
      <c r="A1621" s="7" t="n">
        <v>53310</v>
      </c>
      <c r="B1621" s="7" t="n">
        <v>202027</v>
      </c>
      <c r="C1621" s="7" t="n">
        <v>425105</v>
      </c>
      <c r="D1621" s="7" t="n">
        <v>179783</v>
      </c>
      <c r="E1621" s="8" t="n">
        <v>39160</v>
      </c>
      <c r="F1621" s="7" t="n">
        <v>4</v>
      </c>
      <c r="G1621" s="7" t="inlineStr">
        <is>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is>
      </c>
    </row>
    <row r="1622">
      <c r="A1622" s="7" t="n">
        <v>21240</v>
      </c>
      <c r="B1622" s="7" t="n">
        <v>414532</v>
      </c>
      <c r="C1622" s="7" t="n">
        <v>2001071408</v>
      </c>
      <c r="D1622" s="7" t="n">
        <v>157010</v>
      </c>
      <c r="E1622" s="8" t="n">
        <v>43340</v>
      </c>
      <c r="F1622" s="7" t="n">
        <v>5</v>
      </c>
      <c r="G1622" s="7" t="inlineStr">
        <is>
          <t>EASY and excellent. Can be made with almost any filling you can fit into the strip, such as almond, ham and cheese, or ruglah filling.</t>
        </is>
      </c>
    </row>
    <row r="1623">
      <c r="A1623" s="7" t="n">
        <v>115412</v>
      </c>
      <c r="B1623" s="7" t="n">
        <v>456674</v>
      </c>
      <c r="C1623" s="7" t="n">
        <v>197023</v>
      </c>
      <c r="D1623" s="7" t="n">
        <v>328066</v>
      </c>
      <c r="E1623" s="8" t="n">
        <v>39728</v>
      </c>
      <c r="F1623" s="7" t="n">
        <v>5</v>
      </c>
      <c r="G1623" s="7" t="inlineStr">
        <is>
          <t>A deliciously flavousome soup, which we very much enjoyed.  I love potato and leek soups, so I confess to having added 2 chopped leeks and 2 cloves of garlic in step two.  And as always the blend of the regular onion, leeks and garlic was just fantastic.  Apart from that and from using regular dairy products (low fat milk and sour cream but a regular tasty cheese), I pretty much followed the recipe exactly.  I did add some thyme towards the end of the cooking time and, since I prefer thick soups, I didn't add any extra water.  In fact, I used slightly less than specified so that I could sneak in a tiny bit of white wine.  Thank you for sharing this recipe, blancpage.</t>
        </is>
      </c>
    </row>
    <row r="1624">
      <c r="A1624" s="7" t="n">
        <v>84974</v>
      </c>
      <c r="B1624" s="7" t="n">
        <v>825961</v>
      </c>
      <c r="C1624" s="7" t="n">
        <v>470799</v>
      </c>
      <c r="D1624" s="7" t="n">
        <v>210218</v>
      </c>
      <c r="E1624" s="8" t="n">
        <v>39672</v>
      </c>
      <c r="F1624" s="7" t="n">
        <v>5</v>
      </c>
      <c r="G1624" s="7" t="inlineStr">
        <is>
          <t>So easy &amp; so good :) I used dark chocolate with mint &amp; it was wonderful. I can't wait to make again, very impressive. Thank you for posting!</t>
        </is>
      </c>
    </row>
    <row r="1625">
      <c r="A1625" s="7" t="n">
        <v>101203</v>
      </c>
      <c r="B1625" s="7" t="n">
        <v>929992</v>
      </c>
      <c r="C1625" s="7" t="n">
        <v>38182</v>
      </c>
      <c r="D1625" s="7" t="n">
        <v>20203</v>
      </c>
      <c r="E1625" s="8" t="n">
        <v>39176</v>
      </c>
      <c r="F1625" s="7" t="n">
        <v>5</v>
      </c>
      <c r="G1625" s="7" t="inlineStr">
        <is>
          <t>Excellent with fresh basil and red wine vinegar. Used Romano cheese that I had on hand. Wonderful. I wonder how it would taste with Asiago cheese or maybe Feta? Think I'll try my favorite Italian dressing next time. Thanks so much!</t>
        </is>
      </c>
    </row>
    <row r="1626">
      <c r="A1626" s="7" t="n">
        <v>96942</v>
      </c>
      <c r="B1626" s="7" t="n">
        <v>237730</v>
      </c>
      <c r="C1626" s="7" t="n">
        <v>301997</v>
      </c>
      <c r="D1626" s="7" t="n">
        <v>193486</v>
      </c>
      <c r="E1626" s="8" t="n">
        <v>39454</v>
      </c>
      <c r="F1626" s="7" t="n">
        <v>4</v>
      </c>
      <c r="G1626" s="7" t="inlineStr">
        <is>
          <t>Delicious flavor, although the size of the zucchini pieces was entirely too large for my taste. I cut them smaller and used the juice from 1/2 a fresh lemon instead of 1 T. as called for.</t>
        </is>
      </c>
    </row>
    <row r="1627">
      <c r="A1627" s="7" t="n">
        <v>25783</v>
      </c>
      <c r="B1627" s="7" t="n">
        <v>300200</v>
      </c>
      <c r="C1627" s="7" t="n">
        <v>2000327664</v>
      </c>
      <c r="D1627" s="7" t="n">
        <v>157440</v>
      </c>
      <c r="E1627" s="8" t="n">
        <v>42273</v>
      </c>
      <c r="F1627" s="7" t="n">
        <v>5</v>
      </c>
      <c r="G1627" s="7" t="inlineStr">
        <is>
          <t>Thank you! I needed a cream cheese icing that is stable enough to decorate a cake nicely and not just droop down the sides. This is perfect.</t>
        </is>
      </c>
    </row>
    <row r="1628">
      <c r="A1628" s="7" t="n">
        <v>74929</v>
      </c>
      <c r="B1628" s="7" t="n">
        <v>763463</v>
      </c>
      <c r="C1628" s="7" t="n">
        <v>344819</v>
      </c>
      <c r="D1628" s="7" t="n">
        <v>10140</v>
      </c>
      <c r="E1628" s="8" t="n">
        <v>39056</v>
      </c>
      <c r="F1628" s="7" t="n">
        <v>4</v>
      </c>
      <c r="G1628" s="7" t="inlineStr">
        <is>
          <t>Very good. Based on other comments, I  added a little bit of egg substitute to milk to help the batter stick. It took a little time to coat, but it was worth it! I will fix again.</t>
        </is>
      </c>
    </row>
    <row r="1629">
      <c r="A1629" s="7" t="n">
        <v>56918</v>
      </c>
      <c r="B1629" s="7" t="n">
        <v>351063</v>
      </c>
      <c r="C1629" s="7" t="n">
        <v>269685</v>
      </c>
      <c r="D1629" s="7" t="n">
        <v>16531</v>
      </c>
      <c r="E1629" s="8" t="n">
        <v>39761</v>
      </c>
      <c r="F1629" s="7" t="n">
        <v>5</v>
      </c>
      <c r="G1629" s="7" t="inlineStr">
        <is>
          <t>This recipe was easy and had a great taste.  I cut the vinegar to 1/2 cup, and used boneless skinless chicken breasts, otherwise, made as directed.  I served over rice with fresh broccoli.  This will definitely become a regular meal in our house.</t>
        </is>
      </c>
    </row>
    <row r="1630">
      <c r="A1630" s="7" t="n">
        <v>50826</v>
      </c>
      <c r="B1630" s="7" t="n">
        <v>1094942</v>
      </c>
      <c r="C1630" s="7" t="n">
        <v>717683</v>
      </c>
      <c r="D1630" s="7" t="n">
        <v>53404</v>
      </c>
      <c r="E1630" s="8" t="n">
        <v>39455</v>
      </c>
      <c r="F1630" s="7" t="n">
        <v>5</v>
      </c>
      <c r="G1630" s="7" t="inlineStr">
        <is>
          <t>This was a delicious, thick, hearty stew that the entire family enjoyed.  I was especially impressed since it was a crock pot recipe...that makes things extra easy for a busy mom.</t>
        </is>
      </c>
    </row>
    <row r="1631">
      <c r="A1631" t="n">
        <v>50427</v>
      </c>
      <c r="B1631" t="n">
        <v>620896</v>
      </c>
      <c r="C1631" t="n">
        <v>24226</v>
      </c>
      <c r="D1631" t="n">
        <v>74629</v>
      </c>
      <c r="E1631" s="1" t="n">
        <v>39510</v>
      </c>
      <c r="F1631" t="n">
        <v>5</v>
      </c>
      <c r="G1631" t="inlineStr">
        <is>
          <t>I was really surprised by how good this recipe was.  My two children (3 &amp; 2) gobbled it up.  It looks like it's not going to make that much, but once the lentils and rice absorb the liquid, it fed our family of four with one lunch for the next day.</t>
        </is>
      </c>
    </row>
    <row r="1632">
      <c r="A1632" s="7" t="n">
        <v>87762</v>
      </c>
      <c r="B1632" s="7" t="n">
        <v>973518</v>
      </c>
      <c r="C1632" s="7" t="n">
        <v>103222</v>
      </c>
      <c r="D1632" s="7" t="n">
        <v>287112</v>
      </c>
      <c r="E1632" s="8" t="n">
        <v>40079</v>
      </c>
      <c r="F1632" s="7" t="n">
        <v>5</v>
      </c>
      <c r="G1632" s="7" t="inlineStr">
        <is>
          <t>i mixed yellow cake with diet dr. pepper and made two dozen cupcakes that i "frosted" with cool whip free and a roll in sliced almonds.  my goodness, so easy and delicious.  and for those of you on ww, these cupcakes are only 2 points a piece!</t>
        </is>
      </c>
    </row>
    <row r="1633">
      <c r="A1633" s="7" t="n">
        <v>47584</v>
      </c>
      <c r="B1633" s="7" t="n">
        <v>1086046</v>
      </c>
      <c r="C1633" s="7" t="n">
        <v>226462</v>
      </c>
      <c r="D1633" s="7" t="n">
        <v>95569</v>
      </c>
      <c r="E1633" s="8" t="n">
        <v>39476</v>
      </c>
      <c r="F1633" s="7" t="n">
        <v>5</v>
      </c>
      <c r="G1633" s="7" t="inlineStr">
        <is>
          <t>Thanks Kree for a super simple and yummy dish! Used Sweet Baby Rays.  Will use Gates sauce now that I know it's a keeper!</t>
        </is>
      </c>
    </row>
    <row r="1634">
      <c r="A1634" s="7" t="n">
        <v>86228</v>
      </c>
      <c r="B1634" s="7" t="n">
        <v>304961</v>
      </c>
      <c r="C1634" s="7" t="n">
        <v>89831</v>
      </c>
      <c r="D1634" s="7" t="n">
        <v>169035</v>
      </c>
      <c r="E1634" s="8" t="n">
        <v>40218</v>
      </c>
      <c r="F1634" s="7" t="n">
        <v>5</v>
      </c>
      <c r="G1634" s="7" t="inlineStr">
        <is>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is>
      </c>
    </row>
    <row r="1635">
      <c r="A1635" s="7" t="n">
        <v>100103</v>
      </c>
      <c r="B1635" s="7" t="n">
        <v>1027977</v>
      </c>
      <c r="C1635" s="7" t="n">
        <v>58104</v>
      </c>
      <c r="D1635" s="7" t="n">
        <v>55781</v>
      </c>
      <c r="E1635" s="8" t="n">
        <v>37698</v>
      </c>
      <c r="F1635" s="7" t="n">
        <v>5</v>
      </c>
      <c r="G1635" s="7" t="inlineStr">
        <is>
          <t>Be careful This recipe is for four, but i just couldn`t stop eating it! I followed it exactly (something I have a hard time doing. This was very good! It was just PREFECT!</t>
        </is>
      </c>
    </row>
    <row r="1636">
      <c r="A1636" s="7" t="n">
        <v>81633</v>
      </c>
      <c r="B1636" s="7" t="n">
        <v>673983</v>
      </c>
      <c r="C1636" s="7" t="n">
        <v>315565</v>
      </c>
      <c r="D1636" s="7" t="n">
        <v>403264</v>
      </c>
      <c r="E1636" s="8" t="n">
        <v>40159</v>
      </c>
      <c r="F1636" s="7" t="n">
        <v>5</v>
      </c>
      <c r="G1636" s="7" t="inlineStr">
        <is>
          <t>I used apricot preserve here and dropped in some white choc chips with a wonderful result. Made for Sweet Traditions Tag Game.</t>
        </is>
      </c>
    </row>
    <row r="1637">
      <c r="A1637" s="7" t="n">
        <v>110986</v>
      </c>
      <c r="B1637" s="7" t="n">
        <v>1085964</v>
      </c>
      <c r="C1637" s="7" t="n">
        <v>47907</v>
      </c>
      <c r="D1637" s="7" t="n">
        <v>95569</v>
      </c>
      <c r="E1637" s="8" t="n">
        <v>38690</v>
      </c>
      <c r="F1637" s="7" t="n">
        <v>5</v>
      </c>
      <c r="G1637" s="7" t="inlineStr">
        <is>
          <t>This was so good!  We usually buy our chicken barbecue in a tub but no more!  The recipe was simple but tasted like I worked all day.  We served on buns with coleslaw and french fries.  Thanks so much for posting a keeper!</t>
        </is>
      </c>
    </row>
    <row r="1638" ht="409.5" customHeight="1">
      <c r="A1638" s="7" t="n">
        <v>104866</v>
      </c>
      <c r="B1638" s="7" t="n">
        <v>843107</v>
      </c>
      <c r="C1638" s="7" t="n">
        <v>344576</v>
      </c>
      <c r="D1638" s="7" t="n">
        <v>176555</v>
      </c>
      <c r="E1638" s="8" t="n">
        <v>38954</v>
      </c>
      <c r="F1638" s="7" t="n">
        <v>3</v>
      </c>
      <c r="G1638" s="9" t="inlineStr">
        <is>
          <t xml:space="preserve">If your making mantous, its not good to punch dough down and divide after it has rested.  It won't rise well.  _x000D_
I suggest you roll dough int a sausage, then divide and place on a plate (at least 1 inch apart).  Then leave it to rest for 1/2 to 1 hour.  After this, put it directly into the steamer.  The result will be fluffier, like the one's you get in a shop.  </t>
        </is>
      </c>
    </row>
    <row r="1639">
      <c r="A1639" s="7" t="n">
        <v>85685</v>
      </c>
      <c r="B1639" s="7" t="n">
        <v>510339</v>
      </c>
      <c r="C1639" s="7" t="n">
        <v>78213</v>
      </c>
      <c r="D1639" s="7" t="n">
        <v>89207</v>
      </c>
      <c r="E1639" s="8" t="n">
        <v>40433</v>
      </c>
      <c r="F1639" s="7" t="n">
        <v>5</v>
      </c>
      <c r="G1639" s="7" t="inlineStr">
        <is>
          <t>I used the largest amount of cocoa powder and milk and it turned out fantastic.  Don't buy the canned stuff, this is W A Y better!  Spreads and pipes great.  Thanks for the awesome recipe!</t>
        </is>
      </c>
    </row>
    <row r="1640">
      <c r="A1640" s="7" t="n">
        <v>1921</v>
      </c>
      <c r="B1640" s="7" t="n">
        <v>189546</v>
      </c>
      <c r="C1640" s="7" t="n">
        <v>499050</v>
      </c>
      <c r="D1640" s="7" t="n">
        <v>32680</v>
      </c>
      <c r="E1640" s="8" t="n">
        <v>39934</v>
      </c>
      <c r="F1640" s="7" t="n">
        <v>4</v>
      </c>
      <c r="G1640" s="7" t="inlineStr">
        <is>
          <t>Very Good.</t>
        </is>
      </c>
    </row>
    <row r="1641" ht="409.5" customHeight="1">
      <c r="A1641" s="7" t="n">
        <v>26591</v>
      </c>
      <c r="B1641" s="7" t="n">
        <v>1016748</v>
      </c>
      <c r="C1641" s="7" t="n">
        <v>2000465113</v>
      </c>
      <c r="D1641" s="7" t="n">
        <v>349246</v>
      </c>
      <c r="E1641" s="8" t="n">
        <v>42256</v>
      </c>
      <c r="F1641" s="7" t="n">
        <v>4</v>
      </c>
      <c r="G1641" s="9" t="inlineStr">
        <is>
          <t>Used recipe as written. Nice , but needed a,treat ions for me. Halved the cocoa and added coconut. Cooked for 75 on a 1100w 
Ended up with Lamington cake. 
Next time I&amp;#039;m going to try halving the butter and replacing the other tbls with coconut oil.... Mmmm yum</t>
        </is>
      </c>
    </row>
    <row r="1642">
      <c r="A1642" s="7" t="n">
        <v>115234</v>
      </c>
      <c r="B1642" s="7" t="n">
        <v>39828</v>
      </c>
      <c r="C1642" s="7" t="n">
        <v>197023</v>
      </c>
      <c r="D1642" s="7" t="n">
        <v>72706</v>
      </c>
      <c r="E1642" s="8" t="n">
        <v>38594</v>
      </c>
      <c r="F1642" s="7" t="n">
        <v>5</v>
      </c>
      <c r="G1642" s="7" t="inlineStr">
        <is>
          <t>Delicious, Sharon!  And just so great knowing that they were so low in fat and in calories!  One could actually feel virtuous eating them!  The only changes I made were basically to suit taste preferences.  I used fresh mushrooms and no dried mushrooms, and minced 6 cloves of garlic and sautéed them with the onions and mushrooms rather than using garlic granules which I’ve never used.  I omitted the Worcestershire sauce and added probably a tablespoon more soy sauce, and 2 teaspoons rather than I teaspoon of liquid smoke.  To increase the blend of onion flavours, I also used one leek – white part only, finely chopped then minced.  I was a bit nervous about what the consistency would be like, whether the burgers would hold together.  Ilightly greased an oven tray, then I used those metal rings (also lightly greased) that are used for poaching eggs and spooned the mixture into these with a spoon, so there was no messy handling with fingers.  This made that stage very easy!  The burgers were easy to turn over part way through the cooking.  I served them with salad greens and crusty rolls.  And I know I’ll be making these again.  Everyone loved them.</t>
        </is>
      </c>
    </row>
    <row r="1643">
      <c r="A1643" s="7" t="n">
        <v>58804</v>
      </c>
      <c r="B1643" s="7" t="n">
        <v>885655</v>
      </c>
      <c r="C1643" s="7" t="n">
        <v>422893</v>
      </c>
      <c r="D1643" s="7" t="n">
        <v>306714</v>
      </c>
      <c r="E1643" s="8" t="n">
        <v>39609</v>
      </c>
      <c r="F1643" s="7" t="n">
        <v>3</v>
      </c>
      <c r="G1643" s="7" t="inlineStr">
        <is>
          <t>This was okay for my tastes. I can't really say I've ever had ginger beer before but purchased some for mixers. This was nice but quite dry I prefer a sweeter drink but thanks for posting!</t>
        </is>
      </c>
    </row>
    <row r="1644">
      <c r="A1644" s="7" t="n">
        <v>114046</v>
      </c>
      <c r="B1644" s="7" t="n">
        <v>14805</v>
      </c>
      <c r="C1644" s="7" t="n">
        <v>65720</v>
      </c>
      <c r="D1644" s="7" t="n">
        <v>37413</v>
      </c>
      <c r="E1644" s="8" t="n">
        <v>39060</v>
      </c>
      <c r="F1644" s="7" t="n">
        <v>4</v>
      </c>
      <c r="G1644" s="7" t="inlineStr">
        <is>
          <t>I was looking for some inspiration as to what to do with a pound of ground beef and saw this. I used a slice of bread, torn into small pieces and Beefy Onion soup, which was what I had in the pantry.The patties were moist and the onion gravy was yummy. Served this with egg noodles and a veggie. Thanks, PG, for a quick and easy meal!</t>
        </is>
      </c>
    </row>
    <row r="1645">
      <c r="A1645" s="7" t="n">
        <v>27746</v>
      </c>
      <c r="B1645" s="7" t="n">
        <v>911096</v>
      </c>
      <c r="C1645" s="7" t="n">
        <v>443146</v>
      </c>
      <c r="D1645" s="7" t="n">
        <v>113280</v>
      </c>
      <c r="E1645" s="8" t="n">
        <v>39162</v>
      </c>
      <c r="F1645" s="7" t="n">
        <v>5</v>
      </c>
      <c r="G1645" s="7" t="inlineStr">
        <is>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is>
      </c>
    </row>
    <row r="1646">
      <c r="A1646" s="7" t="n">
        <v>84376</v>
      </c>
      <c r="B1646" s="7" t="n">
        <v>185981</v>
      </c>
      <c r="C1646" s="7" t="n">
        <v>343262</v>
      </c>
      <c r="D1646" s="7" t="n">
        <v>306106</v>
      </c>
      <c r="E1646" s="8" t="n">
        <v>43147</v>
      </c>
      <c r="F1646" s="7" t="n">
        <v>5</v>
      </c>
      <c r="G1646" s="7" t="inlineStr">
        <is>
          <t>Green chilis and cheese whats's not to love about this delicious casserole ? Easy to make, main dish entree served with a salad or used as a side dish with Barbeque. Did anyone say brunch dish ? This is the Original John Wayne casserole that doesn't include meat. (There are lots of different recipes out there that call for ground beef) This recipe is also found in the LA Times California Cookbook (copyright 1981) Thank you @wjorma for posting.</t>
        </is>
      </c>
    </row>
    <row r="1647">
      <c r="A1647" s="7" t="n">
        <v>23686</v>
      </c>
      <c r="B1647" s="7" t="n">
        <v>13767</v>
      </c>
      <c r="C1647" s="7" t="n">
        <v>157258</v>
      </c>
      <c r="D1647" s="7" t="n">
        <v>18563</v>
      </c>
      <c r="E1647" s="8" t="n">
        <v>39172</v>
      </c>
      <c r="F1647" s="7" t="n">
        <v>5</v>
      </c>
      <c r="G1647" s="7" t="inlineStr">
        <is>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is>
      </c>
    </row>
    <row r="1648">
      <c r="A1648" s="7" t="n">
        <v>75642</v>
      </c>
      <c r="B1648" s="7" t="n">
        <v>923184</v>
      </c>
      <c r="C1648" s="7" t="n">
        <v>96641</v>
      </c>
      <c r="D1648" s="7" t="n">
        <v>354293</v>
      </c>
      <c r="E1648" s="8" t="n">
        <v>40802</v>
      </c>
      <c r="F1648" s="7" t="n">
        <v>5</v>
      </c>
      <c r="G1648" s="7" t="inlineStr">
        <is>
          <t>Easy and just luscious!</t>
        </is>
      </c>
    </row>
    <row r="1649">
      <c r="A1649" s="7" t="n">
        <v>100555</v>
      </c>
      <c r="B1649" s="7" t="n">
        <v>369052</v>
      </c>
      <c r="C1649" s="7" t="n">
        <v>431813</v>
      </c>
      <c r="D1649" s="7" t="n">
        <v>212632</v>
      </c>
      <c r="E1649" s="8" t="n">
        <v>40068</v>
      </c>
      <c r="F1649" s="7" t="n">
        <v>5</v>
      </c>
      <c r="G1649" s="7" t="inlineStr">
        <is>
          <t>Yummy shot!  It really does taste like chocolate cake!  Thanks for posting!  Made for PAC Fall 2009.</t>
        </is>
      </c>
    </row>
    <row r="1650">
      <c r="A1650" s="7" t="n">
        <v>108436</v>
      </c>
      <c r="B1650" s="7" t="n">
        <v>642792</v>
      </c>
      <c r="C1650" s="7" t="n">
        <v>1926335</v>
      </c>
      <c r="D1650" s="7" t="n">
        <v>35988</v>
      </c>
      <c r="E1650" s="8" t="n">
        <v>41718</v>
      </c>
      <c r="F1650" s="7" t="n">
        <v>5</v>
      </c>
      <c r="G1650" s="7" t="inlineStr">
        <is>
          <t>Oh my fast and delicious, what could be better than that.</t>
        </is>
      </c>
    </row>
    <row r="1651">
      <c r="A1651" s="7" t="n">
        <v>94857</v>
      </c>
      <c r="B1651" s="7" t="n">
        <v>1012141</v>
      </c>
      <c r="C1651" s="7" t="n">
        <v>497410</v>
      </c>
      <c r="D1651" s="7" t="n">
        <v>23375</v>
      </c>
      <c r="E1651" s="8" t="n">
        <v>39211</v>
      </c>
      <c r="F1651" s="7" t="n">
        <v>5</v>
      </c>
      <c r="G1651" s="7" t="inlineStr">
        <is>
          <t>It is delicious.  I agree that you can cut way down on oil and add more water as needed.  Delicious flavor.</t>
        </is>
      </c>
    </row>
    <row r="1652">
      <c r="A1652" s="7" t="n">
        <v>10689</v>
      </c>
      <c r="B1652" s="7" t="n">
        <v>118408</v>
      </c>
      <c r="C1652" s="7" t="n">
        <v>119466</v>
      </c>
      <c r="D1652" s="7" t="n">
        <v>49483</v>
      </c>
      <c r="E1652" s="8" t="n">
        <v>38758</v>
      </c>
      <c r="F1652" s="7" t="n">
        <v>4</v>
      </c>
      <c r="G1652" s="7" t="inlineStr">
        <is>
          <t>These cookies were very good, but I would probably make a few changes when I make them again. I think the flour and milk should be added alternately--I felt I was overbeating, as it took quite a bit of mixing to incorporate the milk into the stiff dough after all the flour was added. Although the butter will inhibit gluten development and help keep the cookies tender, I suppose it is just stuck in my head that cookie dough should not be beaten after the flour is mixed in to avoid developing the gluten. I found it difficult to roll the dough into 24-inch ropes and keep it an even thickness, so I divided the dough again so I only had to deal with 12 inches at a time. (You'll probably want to flour your board before trying to work with the dough.) I also had a problem twisting and making loops out of the 3-inch segments (at least the way I interpreted the directions), so I basically ended up with small circles. Unless I was making larger cookies, next time I would skip the labor-intensive roping and shaping and just shape them into slightly-flattened balls. With cookies of this size, the shape seems to get lost anyway by the time they are baked and decorated. I was trying to stay true to the recipe since I hoped to submit a representative photo, but in the future will take you up on your suggestion to shape them however I like (which for me will be the easy way). :) After tasting the baked cookies prior to icing them, even though I added extra lemon zest, the lemon flavor just didn't seem to come through so I used lemon juice rather than orange to thin the icing and just dipped the tops of the cookies in it instead of brushing it on. Next time, I think I would substitute a bit of lemon extract for some of the vanilla in the dough.I hope I don't sound negative, because we did enjoy these cookies--thanks for posting the recipe!</t>
        </is>
      </c>
    </row>
    <row r="1653">
      <c r="A1653" s="7" t="n">
        <v>23235</v>
      </c>
      <c r="B1653" s="7" t="n">
        <v>1052526</v>
      </c>
      <c r="C1653" s="7" t="n">
        <v>125808</v>
      </c>
      <c r="D1653" s="7" t="n">
        <v>95926</v>
      </c>
      <c r="E1653" s="8" t="n">
        <v>38452</v>
      </c>
      <c r="F1653" s="7" t="n">
        <v>5</v>
      </c>
      <c r="G1653" s="7" t="inlineStr">
        <is>
          <t>I grew up on these.  :-)</t>
        </is>
      </c>
    </row>
    <row r="1654">
      <c r="A1654" s="7" t="n">
        <v>37079</v>
      </c>
      <c r="B1654" s="7" t="n">
        <v>633871</v>
      </c>
      <c r="C1654" s="7" t="n">
        <v>107135</v>
      </c>
      <c r="D1654" s="7" t="n">
        <v>370964</v>
      </c>
      <c r="E1654" s="8" t="n">
        <v>41487</v>
      </c>
      <c r="F1654" s="7" t="n">
        <v>5</v>
      </c>
      <c r="G1654" s="7" t="inlineStr">
        <is>
          <t>these things rise like crazy. make sure you use a mild flavored  beer cause you can taste it.good waffles</t>
        </is>
      </c>
    </row>
    <row r="1655">
      <c r="A1655" s="7" t="n">
        <v>71834</v>
      </c>
      <c r="B1655" s="7" t="n">
        <v>610734</v>
      </c>
      <c r="C1655" s="7" t="n">
        <v>414666</v>
      </c>
      <c r="D1655" s="7" t="n">
        <v>100006</v>
      </c>
      <c r="E1655" s="8" t="n">
        <v>39186</v>
      </c>
      <c r="F1655" s="7" t="n">
        <v>1</v>
      </c>
      <c r="G1655" s="7" t="inlineStr">
        <is>
          <t>I have definitly had better chutney...this one wasn't the best</t>
        </is>
      </c>
    </row>
    <row r="1656">
      <c r="A1656" s="7" t="n">
        <v>120168</v>
      </c>
      <c r="B1656" s="7" t="n">
        <v>238804</v>
      </c>
      <c r="C1656" s="7" t="n">
        <v>147100</v>
      </c>
      <c r="D1656" s="7" t="n">
        <v>93114</v>
      </c>
      <c r="E1656" s="8" t="n">
        <v>38198</v>
      </c>
      <c r="F1656" s="7" t="n">
        <v>5</v>
      </c>
      <c r="G1656" s="7" t="inlineStr">
        <is>
          <t>These were a huge hit at my 3 year old's birthday party.  I had to fend off the adults more than the kids.  Everyone was begging for the recipe.</t>
        </is>
      </c>
    </row>
    <row r="1657">
      <c r="A1657" s="7" t="n">
        <v>45808</v>
      </c>
      <c r="B1657" s="7" t="n">
        <v>636343</v>
      </c>
      <c r="C1657" s="7" t="n">
        <v>735704</v>
      </c>
      <c r="D1657" s="7" t="n">
        <v>316045</v>
      </c>
      <c r="E1657" s="8" t="n">
        <v>40115</v>
      </c>
      <c r="F1657" s="7" t="n">
        <v>5</v>
      </c>
      <c r="G1657" s="7" t="inlineStr">
        <is>
          <t>I have used this recipe several times now, making substitutions depending on what I had on hand as far as cheese and olives, and even the wines.  Each time it has been an out of the ballpark hit.  Thanks for sharing!</t>
        </is>
      </c>
    </row>
    <row r="1658">
      <c r="A1658" s="7" t="n">
        <v>108261</v>
      </c>
      <c r="B1658" s="7" t="n">
        <v>89560</v>
      </c>
      <c r="C1658" s="7" t="n">
        <v>283390</v>
      </c>
      <c r="D1658" s="7" t="n">
        <v>222338</v>
      </c>
      <c r="E1658" s="8" t="n">
        <v>39312</v>
      </c>
      <c r="F1658" s="7" t="n">
        <v>5</v>
      </c>
      <c r="G1658" s="7" t="inlineStr">
        <is>
          <t>This was very good! It took only 4 hours for the vegetables to cook. The only change I made was to use only 1 tsp. of dill in this (I used dried; if you use fresh, 1 tb may be a good amount). I left out the salt, because my broth was salty enough on its own. Thanks for posting; this was a nice use for canned salmon.</t>
        </is>
      </c>
    </row>
    <row r="1659">
      <c r="A1659" s="7" t="n">
        <v>27065</v>
      </c>
      <c r="B1659" s="7" t="n">
        <v>320674</v>
      </c>
      <c r="C1659" s="7" t="n">
        <v>37449</v>
      </c>
      <c r="D1659" s="7" t="n">
        <v>10404</v>
      </c>
      <c r="E1659" s="8" t="n">
        <v>38271</v>
      </c>
      <c r="F1659" s="7" t="n">
        <v>5</v>
      </c>
      <c r="G1659" s="7" t="inlineStr">
        <is>
          <t>Yummy! I was given about 12 pickling cucumbers and 8 regular cucumbers. I used them both. These are so good. Thanks Janet!</t>
        </is>
      </c>
    </row>
    <row r="1660">
      <c r="A1660" s="7" t="n">
        <v>103118</v>
      </c>
      <c r="B1660" s="7" t="n">
        <v>1100029</v>
      </c>
      <c r="C1660" s="7" t="n">
        <v>531310</v>
      </c>
      <c r="D1660" s="7" t="n">
        <v>385036</v>
      </c>
      <c r="E1660" s="8" t="n">
        <v>40078</v>
      </c>
      <c r="F1660" s="7" t="n">
        <v>5</v>
      </c>
      <c r="G1660" s="7" t="inlineStr">
        <is>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is>
      </c>
    </row>
    <row r="1661">
      <c r="A1661" s="7" t="n">
        <v>81133</v>
      </c>
      <c r="B1661" s="7" t="n">
        <v>158018</v>
      </c>
      <c r="C1661" s="7" t="n">
        <v>382071</v>
      </c>
      <c r="D1661" s="7" t="n">
        <v>258307</v>
      </c>
      <c r="E1661" s="8" t="n">
        <v>39440</v>
      </c>
      <c r="F1661" s="7" t="n">
        <v>5</v>
      </c>
      <c r="G1661" s="7" t="inlineStr">
        <is>
          <t>YUMMY! I used tequila rose and 1 percent milk. I also added more than a splash of club soda. Freddy Cat says thanks for the drink! Made for the Holiday tag game.</t>
        </is>
      </c>
    </row>
    <row r="1662">
      <c r="A1662" s="7" t="n">
        <v>40745</v>
      </c>
      <c r="B1662" s="7" t="n">
        <v>269957</v>
      </c>
      <c r="C1662" s="7" t="n">
        <v>173579</v>
      </c>
      <c r="D1662" s="7" t="n">
        <v>32880</v>
      </c>
      <c r="E1662" s="8" t="n">
        <v>40744</v>
      </c>
      <c r="F1662" s="7" t="n">
        <v>5</v>
      </c>
      <c r="G1662" s="7" t="inlineStr">
        <is>
          <t>Very tasty zucchini bread.  We all loved it.  Thanks for posting.</t>
        </is>
      </c>
    </row>
    <row r="1663">
      <c r="A1663" s="7" t="n">
        <v>51183</v>
      </c>
      <c r="B1663" s="7" t="n">
        <v>599928</v>
      </c>
      <c r="C1663" s="7" t="n">
        <v>286566</v>
      </c>
      <c r="D1663" s="7" t="n">
        <v>471203</v>
      </c>
      <c r="E1663" s="8" t="n">
        <v>41704</v>
      </c>
      <c r="F1663" s="7" t="n">
        <v>5</v>
      </c>
      <c r="G1663" s="7" t="inlineStr">
        <is>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is>
      </c>
    </row>
    <row r="1664">
      <c r="A1664" s="7" t="n">
        <v>100958</v>
      </c>
      <c r="B1664" s="7" t="n">
        <v>358342</v>
      </c>
      <c r="C1664" s="7" t="n">
        <v>165933</v>
      </c>
      <c r="D1664" s="7" t="n">
        <v>83484</v>
      </c>
      <c r="E1664" s="8" t="n">
        <v>38382</v>
      </c>
      <c r="F1664" s="7" t="n">
        <v>5</v>
      </c>
      <c r="G1664" s="7" t="inlineStr">
        <is>
          <t>I, like your Grandmother didn't mention the word eggplant.  I sat at the table grinning as my eggplant haters ate it up!  I love eggplant and have always bought the smallest one possible as no one else would eat it, but now....Thanks Elissaz, because of you victory is mine!</t>
        </is>
      </c>
    </row>
    <row r="1665">
      <c r="A1665" s="7" t="n">
        <v>98613</v>
      </c>
      <c r="B1665" s="7" t="n">
        <v>699889</v>
      </c>
      <c r="C1665" s="7" t="n">
        <v>53378</v>
      </c>
      <c r="D1665" s="7" t="n">
        <v>32617</v>
      </c>
      <c r="E1665" s="8" t="n">
        <v>37598</v>
      </c>
      <c r="F1665" s="7" t="n">
        <v>5</v>
      </c>
      <c r="G1665" s="7" t="inlineStr">
        <is>
          <t>This is a fun and delicious sandwich. I needed to find something out of the ordinary to use up our turkey left-overs. The ingredients go well together and the tartness of the dill pickle is a good idea. Very filling and my family loved it. :)</t>
        </is>
      </c>
    </row>
    <row r="1666" ht="409.5" customHeight="1">
      <c r="A1666" s="7" t="n">
        <v>88473</v>
      </c>
      <c r="B1666" s="7" t="n">
        <v>916025</v>
      </c>
      <c r="C1666" s="7" t="n">
        <v>323328</v>
      </c>
      <c r="D1666" s="7" t="n">
        <v>409719</v>
      </c>
      <c r="E1666" s="8" t="n">
        <v>40218</v>
      </c>
      <c r="F1666" s="7" t="n">
        <v>5</v>
      </c>
      <c r="G1666" s="9" t="inlineStr">
        <is>
          <t>Wow, thanks for sharing Mama Smurf!  I couldn't have asked for an easier or tastier supper that used up some of my leftover ham! This was one of the fastest suppers I've made in a long time.  I made as listed except I used 1/2 of a small onion and had to use frozen tortellini, but those were small changes.  I'd recommend staging your ingredients before starting your tortellini cooking because once they are done (mine only took 3 minutes) things go pretty fast.  I'd also recommend using good quality parmesan and plenty of garlic.   Another bonus was all we needed to go with this was a quick salad.  Our yield was closer to 4 servings, but we are big eaters, especially when it is so yummy!_x000D_
Thanks for a great "go to" recipe when I need a quick tasty supper!</t>
        </is>
      </c>
    </row>
    <row r="1667">
      <c r="A1667" s="7" t="n">
        <v>88552</v>
      </c>
      <c r="B1667" s="7" t="n">
        <v>281502</v>
      </c>
      <c r="C1667" s="7" t="n">
        <v>13483</v>
      </c>
      <c r="D1667" s="7" t="n">
        <v>68470</v>
      </c>
      <c r="E1667" s="8" t="n">
        <v>38225</v>
      </c>
      <c r="F1667" s="7" t="n">
        <v>5</v>
      </c>
      <c r="G1667" s="7" t="inlineStr">
        <is>
          <t xml:space="preserve">I just thought this was so cool!!!  What a great way to use up a cauliflower!!!  A bit of parmesan cheese on top didn't do any harm either!!  Thanks for the neat recipe Ducky.  </t>
        </is>
      </c>
    </row>
    <row r="1668">
      <c r="A1668" s="7" t="n">
        <v>72933</v>
      </c>
      <c r="B1668" s="7" t="n">
        <v>1039407</v>
      </c>
      <c r="C1668" s="7" t="n">
        <v>305869</v>
      </c>
      <c r="D1668" s="7" t="n">
        <v>12012</v>
      </c>
      <c r="E1668" s="8" t="n">
        <v>40456</v>
      </c>
      <c r="F1668" s="7" t="n">
        <v>5</v>
      </c>
      <c r="G1668" s="7" t="inlineStr">
        <is>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is>
      </c>
    </row>
    <row r="1669">
      <c r="A1669" s="7" t="n">
        <v>36083</v>
      </c>
      <c r="B1669" s="7" t="n">
        <v>1022381</v>
      </c>
      <c r="C1669" s="7" t="n">
        <v>1874979</v>
      </c>
      <c r="D1669" s="7" t="n">
        <v>202181</v>
      </c>
      <c r="E1669" s="8" t="n">
        <v>41291</v>
      </c>
      <c r="F1669" s="7" t="n">
        <v>5</v>
      </c>
      <c r="G1669" s="7" t="inlineStr">
        <is>
          <t>Made as written although took some of the reviewers' suggestions: substituted olive oil for butter, added some dried parsley, a little salt, and left it uncovered for the last 15 minutes of baking. Excellent.</t>
        </is>
      </c>
    </row>
    <row r="1670">
      <c r="A1670" s="7" t="n">
        <v>56450</v>
      </c>
      <c r="B1670" s="7" t="n">
        <v>939935</v>
      </c>
      <c r="C1670" s="7" t="n">
        <v>171854</v>
      </c>
      <c r="D1670" s="7" t="n">
        <v>47195</v>
      </c>
      <c r="E1670" s="8" t="n">
        <v>38607</v>
      </c>
      <c r="F1670" s="7" t="n">
        <v>5</v>
      </c>
      <c r="G1670" s="7" t="inlineStr">
        <is>
          <t>I don't know that I can add anything that hasn't already been said.  I used an old russet potato, I just laid the slices on a piece of parchment on the turntable, also I didn't have a lid that would fit, so I decided to try it without.  I ended up having to microwave for longer, about 10 minutes, they were crispy and delicious, and yeah, no fat!</t>
        </is>
      </c>
    </row>
    <row r="1671">
      <c r="A1671" s="7" t="n">
        <v>43440</v>
      </c>
      <c r="B1671" s="7" t="n">
        <v>351030</v>
      </c>
      <c r="C1671" s="7" t="n">
        <v>721674</v>
      </c>
      <c r="D1671" s="7" t="n">
        <v>16531</v>
      </c>
      <c r="E1671" s="8" t="n">
        <v>39465</v>
      </c>
      <c r="F1671" s="7" t="n">
        <v>2</v>
      </c>
      <c r="G1671" s="7" t="inlineStr">
        <is>
          <t>I really like the ease of this recipe, the chicken was tender but tasted just like chicken. The sauce was way too sweet for me. I ended up not using the sauce and quickly switching to a honey garlic. I wouldnt make it again. Just too sweet.</t>
        </is>
      </c>
    </row>
    <row r="1672">
      <c r="A1672" s="7" t="n">
        <v>62589</v>
      </c>
      <c r="B1672" s="7" t="n">
        <v>848327</v>
      </c>
      <c r="C1672" s="7" t="n">
        <v>8688</v>
      </c>
      <c r="D1672" s="7" t="n">
        <v>345848</v>
      </c>
      <c r="E1672" s="8" t="n">
        <v>39828</v>
      </c>
      <c r="F1672" s="7" t="n">
        <v>4</v>
      </c>
      <c r="G1672" s="7" t="inlineStr">
        <is>
          <t>This is not your typical cornbread recipe!  When I first saw that the ingredients called only for 1/2 cup cornmeal and no additional flour, I suspected that this may very well be more of a "spoonbread" texture.  This cheesy cornbread does have excellent flavor! The green chilies are a great addition.  Upon cooling slightly, I was able to cut into squares and serve with our recipe#348287.  However, I would suggest eating with a fork for best results.  I used a 8x8" sq pan to bake which worked perfectly.  Thanks so much, HELady!</t>
        </is>
      </c>
    </row>
    <row r="1673">
      <c r="A1673" s="7" t="n">
        <v>75151</v>
      </c>
      <c r="B1673" s="7" t="n">
        <v>926126</v>
      </c>
      <c r="C1673" s="7" t="n">
        <v>583736</v>
      </c>
      <c r="D1673" s="7" t="n">
        <v>38618</v>
      </c>
      <c r="E1673" s="8" t="n">
        <v>39355</v>
      </c>
      <c r="F1673" s="7" t="n">
        <v>2</v>
      </c>
      <c r="G1673" s="7" t="inlineStr">
        <is>
          <t>This recipe was good/ok.  Nothing special.</t>
        </is>
      </c>
    </row>
    <row r="1674">
      <c r="A1674" s="7" t="n">
        <v>42606</v>
      </c>
      <c r="B1674" s="7" t="n">
        <v>698808</v>
      </c>
      <c r="C1674" s="7" t="n">
        <v>195750</v>
      </c>
      <c r="D1674" s="7" t="n">
        <v>27188</v>
      </c>
      <c r="E1674" s="8" t="n">
        <v>38610</v>
      </c>
      <c r="F1674" s="7" t="n">
        <v>4</v>
      </c>
      <c r="G1674" s="7" t="inlineStr">
        <is>
          <t>This recipe was good, but I really missed the tomato taste of conventional meatloaf.  Mine also didn't hold it's shape well, I think cutting out some of the soup would help.  Overall, it was worth making and I would recommend to non-tomato lovers.</t>
        </is>
      </c>
    </row>
    <row r="1675">
      <c r="A1675" s="7" t="n">
        <v>74804</v>
      </c>
      <c r="B1675" s="7" t="n">
        <v>14956</v>
      </c>
      <c r="C1675" s="7" t="n">
        <v>2687969</v>
      </c>
      <c r="D1675" s="7" t="n">
        <v>37413</v>
      </c>
      <c r="E1675" s="8" t="n">
        <v>41577</v>
      </c>
      <c r="F1675" s="7" t="n">
        <v>5</v>
      </c>
      <c r="G1675" s="7" t="inlineStr">
        <is>
          <t>Very good!  I pretty much followed the recipe but using 2.25 lbs ground beef and two onion soup mix envelopes.  I made 6 large hamburger steaks and could only fit 4 in while browning both sides.  However, after browning all six fit in the same pan so I could make the gravy.  It turned out great.  My family loved it.</t>
        </is>
      </c>
    </row>
    <row r="1676">
      <c r="A1676" s="7" t="n">
        <v>68743</v>
      </c>
      <c r="B1676" s="7" t="n">
        <v>910697</v>
      </c>
      <c r="C1676" s="7" t="n">
        <v>423494</v>
      </c>
      <c r="D1676" s="7" t="n">
        <v>26420</v>
      </c>
      <c r="E1676" s="8" t="n">
        <v>40458</v>
      </c>
      <c r="F1676" s="7" t="n">
        <v>5</v>
      </c>
      <c r="G1676" s="7" t="inlineStr">
        <is>
          <t>The flavors are perfect.  I added more horseradish to taste.  Never by bottled again!</t>
        </is>
      </c>
    </row>
    <row r="1677">
      <c r="A1677" s="7" t="n">
        <v>28432</v>
      </c>
      <c r="B1677" s="7" t="n">
        <v>874871</v>
      </c>
      <c r="C1677" s="7" t="n">
        <v>125411</v>
      </c>
      <c r="D1677" s="7" t="n">
        <v>358810</v>
      </c>
      <c r="E1677" s="8" t="n">
        <v>39877</v>
      </c>
      <c r="F1677" s="7" t="n">
        <v>5</v>
      </c>
      <c r="G1677" s="7" t="inlineStr">
        <is>
          <t>This was like a grand experiment for me. I've never tried making cake in a crockpot before. Because my crockpot is so freaking huge, I doubled the recipe, but left the cooking time the same. I timed it so it would be done a couple hours after dinner. What a low-calorie, low-fat treat! Thanks for posting!</t>
        </is>
      </c>
    </row>
    <row r="1678">
      <c r="A1678" s="7" t="n">
        <v>122828</v>
      </c>
      <c r="B1678" s="7" t="n">
        <v>419826</v>
      </c>
      <c r="C1678" s="7" t="n">
        <v>593927</v>
      </c>
      <c r="D1678" s="7" t="n">
        <v>388419</v>
      </c>
      <c r="E1678" s="8" t="n">
        <v>40740</v>
      </c>
      <c r="F1678" s="7" t="n">
        <v>5</v>
      </c>
      <c r="G1678" s="7" t="inlineStr">
        <is>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is>
      </c>
    </row>
    <row r="1679">
      <c r="A1679" s="7" t="n">
        <v>122005</v>
      </c>
      <c r="B1679" s="7" t="n">
        <v>524972</v>
      </c>
      <c r="C1679" s="7" t="n">
        <v>49482</v>
      </c>
      <c r="D1679" s="7" t="n">
        <v>17398</v>
      </c>
      <c r="E1679" s="8" t="n">
        <v>38400</v>
      </c>
      <c r="F1679" s="7" t="n">
        <v>5</v>
      </c>
      <c r="G1679" s="7" t="inlineStr">
        <is>
          <t>This is so good. I added more red pepper flakes and it was still great. Served with ginger chicken and rice. Delicious! This is a keeper for sure.</t>
        </is>
      </c>
    </row>
    <row r="1680">
      <c r="A1680" s="7" t="n">
        <v>58556</v>
      </c>
      <c r="B1680" s="7" t="n">
        <v>546492</v>
      </c>
      <c r="C1680" s="7" t="n">
        <v>69378</v>
      </c>
      <c r="D1680" s="7" t="n">
        <v>100227</v>
      </c>
      <c r="E1680" s="8" t="n">
        <v>40113</v>
      </c>
      <c r="F1680" s="7" t="n">
        <v>5</v>
      </c>
      <c r="G1680" s="7" t="inlineStr">
        <is>
          <t>LOVE these!!! I make them at least once a month! Super easy and very tasty!</t>
        </is>
      </c>
    </row>
    <row r="1681">
      <c r="A1681" s="7" t="n">
        <v>47349</v>
      </c>
      <c r="B1681" s="7" t="n">
        <v>458319</v>
      </c>
      <c r="C1681" s="7" t="n">
        <v>2002116331</v>
      </c>
      <c r="D1681" s="7" t="n">
        <v>66409</v>
      </c>
      <c r="E1681" s="8" t="n">
        <v>43205</v>
      </c>
      <c r="F1681" s="7" t="n">
        <v>5</v>
      </c>
      <c r="G1681" s="7" t="inlineStr">
        <is>
          <t>Having tried dozens of different recipes from many different books, I found this to be the best. I used Kerry Gold Irish butter and added zest from one lemon. I also added a packet of dried fruit and nuts from Trader Joes. I had to leave them in the oven an additional two minutes to get them to really brown. Other than that, terrific recipe!</t>
        </is>
      </c>
    </row>
    <row r="1682">
      <c r="A1682" s="7" t="n">
        <v>105665</v>
      </c>
      <c r="B1682" s="7" t="n">
        <v>193598</v>
      </c>
      <c r="C1682" s="7" t="n">
        <v>416985</v>
      </c>
      <c r="D1682" s="7" t="n">
        <v>232851</v>
      </c>
      <c r="E1682" s="8" t="n">
        <v>39768</v>
      </c>
      <c r="F1682" s="7" t="n">
        <v>5</v>
      </c>
      <c r="G1682" s="7" t="inlineStr">
        <is>
          <t>This was GREAT!! Very filling and a great comforting supper when you are just spending the night at home watching TV on the weekend!!!</t>
        </is>
      </c>
    </row>
    <row r="1683">
      <c r="A1683" t="n">
        <v>110627</v>
      </c>
      <c r="B1683" t="n">
        <v>894379</v>
      </c>
      <c r="C1683" t="n">
        <v>2170326</v>
      </c>
      <c r="D1683" t="n">
        <v>290219</v>
      </c>
      <c r="E1683" s="1" t="n">
        <v>40948</v>
      </c>
      <c r="F1683" t="n">
        <v>4</v>
      </c>
      <c r="G1683" t="inlineStr">
        <is>
          <t>This was very good.  And easy!</t>
        </is>
      </c>
    </row>
    <row r="1684">
      <c r="A1684" s="7" t="n">
        <v>92126</v>
      </c>
      <c r="B1684" s="7" t="n">
        <v>13701</v>
      </c>
      <c r="C1684" s="7" t="n">
        <v>35848</v>
      </c>
      <c r="D1684" s="7" t="n">
        <v>15646</v>
      </c>
      <c r="E1684" s="8" t="n">
        <v>37427</v>
      </c>
      <c r="F1684" s="7" t="n">
        <v>5</v>
      </c>
      <c r="G1684" s="7" t="inlineStr">
        <is>
          <t>This is absolutely fabulous! I love pecan pie, but it is often way too sweet - this one is just perfect. Rich, just sweet enough and the wonderful pecan flavor is dominant. I'm not a great baker and this recipe went without a hitch -Thanks Steve for a superb recipe!</t>
        </is>
      </c>
    </row>
    <row r="1685">
      <c r="A1685" s="7" t="n">
        <v>18670</v>
      </c>
      <c r="B1685" s="7" t="n">
        <v>1118376</v>
      </c>
      <c r="C1685" s="7" t="n">
        <v>61660</v>
      </c>
      <c r="D1685" s="7" t="n">
        <v>283058</v>
      </c>
      <c r="E1685" s="8" t="n">
        <v>39659</v>
      </c>
      <c r="F1685" s="7" t="n">
        <v>5</v>
      </c>
      <c r="G1685" s="7" t="inlineStr">
        <is>
          <t>I thought these eggs were fantastic!!  So creamy and great flavor.  I had never used sour cream in my eggs before, wonderful touch.  I used regualar gouda and instead of mixing in the corn tortillas, I served the egg mixture in a flour tortilla (burrito-like).  We really enjoyed ours drizzled with taco sauce.  Thanks for a great recipe.  I will be doing my eggs this way alot!!</t>
        </is>
      </c>
    </row>
    <row r="1686">
      <c r="A1686" s="7" t="n">
        <v>103680</v>
      </c>
      <c r="B1686" s="7" t="n">
        <v>215955</v>
      </c>
      <c r="C1686" s="7" t="n">
        <v>1932691</v>
      </c>
      <c r="D1686" s="7" t="n">
        <v>235299</v>
      </c>
      <c r="E1686" s="8" t="n">
        <v>40876</v>
      </c>
      <c r="F1686" s="7" t="n">
        <v>5</v>
      </c>
      <c r="G1686" s="7" t="inlineStr">
        <is>
          <t>Tasted good. I made 2 cups of rice, so I added a can of broccoli cheese soup. It turned out very creamy and tasty. I served it with Baked Pollock http://www.food.com/recipe/baked-pollock-106395. Definitely need the Tabasco or something similar. We liked it there.</t>
        </is>
      </c>
    </row>
    <row r="1687">
      <c r="A1687" s="7" t="n">
        <v>119385</v>
      </c>
      <c r="B1687" s="7" t="n">
        <v>115140</v>
      </c>
      <c r="C1687" s="7" t="n">
        <v>233532</v>
      </c>
      <c r="D1687" s="7" t="n">
        <v>203338</v>
      </c>
      <c r="E1687" s="8" t="n">
        <v>41037</v>
      </c>
      <c r="F1687" s="7" t="n">
        <v>5</v>
      </c>
      <c r="G1687" s="7" t="inlineStr">
        <is>
          <t>Have made this about four times now and it is a very straight forward,easy and tasty recipe for one of my favourite rolls. Thanks for posting.</t>
        </is>
      </c>
    </row>
    <row r="1688">
      <c r="A1688" s="7" t="n">
        <v>8849</v>
      </c>
      <c r="B1688" s="7" t="n">
        <v>734535</v>
      </c>
      <c r="C1688" s="7" t="n">
        <v>195866</v>
      </c>
      <c r="D1688" s="7" t="n">
        <v>37435</v>
      </c>
      <c r="E1688" s="8" t="n">
        <v>38397</v>
      </c>
      <c r="F1688" s="7" t="n">
        <v>5</v>
      </c>
      <c r="G1688" s="7" t="inlineStr">
        <is>
          <t>I got some frm this recipe, with a side of steamed zuccini and yellow squash</t>
        </is>
      </c>
    </row>
    <row r="1689">
      <c r="A1689" s="7" t="n">
        <v>26613</v>
      </c>
      <c r="B1689" s="7" t="n">
        <v>251839</v>
      </c>
      <c r="C1689" s="7" t="n">
        <v>121871</v>
      </c>
      <c r="D1689" s="7" t="n">
        <v>170601</v>
      </c>
      <c r="E1689" s="8" t="n">
        <v>38939</v>
      </c>
      <c r="F1689" s="7" t="n">
        <v>5</v>
      </c>
      <c r="G1689" s="7" t="inlineStr">
        <is>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is>
      </c>
    </row>
    <row r="1690">
      <c r="A1690" s="7" t="n">
        <v>10986</v>
      </c>
      <c r="B1690" s="7" t="n">
        <v>792935</v>
      </c>
      <c r="C1690" s="7" t="n">
        <v>376098</v>
      </c>
      <c r="D1690" s="7" t="n">
        <v>192201</v>
      </c>
      <c r="E1690" s="8" t="n">
        <v>39347</v>
      </c>
      <c r="F1690" s="7" t="n">
        <v>5</v>
      </c>
      <c r="G1690" s="7" t="inlineStr">
        <is>
          <t>Outstanding!!  Gnocchi is one of my ultimate comfort foods, and this dish surely fit the bill!  I used lean ground turkey in place of the beef, and also used a mozzarella/parmesan mix for my cheese.  Easy to make, delicious, and it even made my picky 2 year-old happy!  Thanks!</t>
        </is>
      </c>
    </row>
    <row r="1691">
      <c r="A1691" s="7" t="n">
        <v>106609</v>
      </c>
      <c r="B1691" s="7" t="n">
        <v>1036990</v>
      </c>
      <c r="C1691" s="7" t="n">
        <v>2001281987</v>
      </c>
      <c r="D1691" s="7" t="n">
        <v>99799</v>
      </c>
      <c r="E1691" s="8" t="n">
        <v>42708</v>
      </c>
      <c r="F1691" s="7" t="n">
        <v>5</v>
      </c>
      <c r="G1691" s="7" t="inlineStr">
        <is>
          <t>So, so good. Recommend A++++</t>
        </is>
      </c>
    </row>
    <row r="1692" ht="409.5" customHeight="1">
      <c r="A1692" s="7" t="n">
        <v>72964</v>
      </c>
      <c r="B1692" s="7" t="n">
        <v>1049148</v>
      </c>
      <c r="C1692" s="7" t="n">
        <v>977894</v>
      </c>
      <c r="D1692" s="7" t="n">
        <v>102274</v>
      </c>
      <c r="E1692" s="8" t="n">
        <v>39730</v>
      </c>
      <c r="F1692" s="7" t="n">
        <v>5</v>
      </c>
      <c r="G1692" s="9" t="inlineStr">
        <is>
          <t>This soup is ridiculously good, and I daresay, better than the original.  _x000D_
_x000D_
Friday's made the mistake of discontinuing the soup when I went there hungry, pregnant and itching for BB soup about 4 years ago!_x000D_
_x000D_
I make double batches of this soup and freeze 2 servings per ziploc container.  It thaws and reheats very well and it deeeeee-LICIOUS!</t>
        </is>
      </c>
    </row>
    <row r="1693">
      <c r="A1693" s="7" t="n">
        <v>117498</v>
      </c>
      <c r="B1693" s="7" t="n">
        <v>33965</v>
      </c>
      <c r="C1693" s="7" t="n">
        <v>2001661081</v>
      </c>
      <c r="D1693" s="7" t="n">
        <v>66241</v>
      </c>
      <c r="E1693" s="8" t="n">
        <v>42954</v>
      </c>
      <c r="F1693" s="7" t="n">
        <v>5</v>
      </c>
      <c r="G1693" s="7" t="inlineStr">
        <is>
          <t>I have tried various pancake recipes and this one is the best. Successful first attempt. I used olive oil instead of butter and it was still in perfect texture. Light n fluffy. Good idea to substitute white flour to wholemeal flour. Best recipe ever</t>
        </is>
      </c>
    </row>
    <row r="1694" ht="195" customHeight="1">
      <c r="A1694" s="7" t="n">
        <v>7171</v>
      </c>
      <c r="B1694" s="7" t="n">
        <v>853178</v>
      </c>
      <c r="C1694" s="7" t="n">
        <v>56535</v>
      </c>
      <c r="D1694" s="7" t="n">
        <v>42281</v>
      </c>
      <c r="E1694" s="8" t="n">
        <v>37968</v>
      </c>
      <c r="F1694" s="7" t="n">
        <v>5</v>
      </c>
      <c r="G1694" s="9" t="inlineStr">
        <is>
          <t>This is great- just like pumpkin pie! _x000D_
I processed my jars for 10 min just to be on the safe side.</t>
        </is>
      </c>
    </row>
    <row r="1695">
      <c r="A1695" s="7" t="n">
        <v>17731</v>
      </c>
      <c r="B1695" s="7" t="n">
        <v>468157</v>
      </c>
      <c r="C1695" s="7" t="n">
        <v>136465</v>
      </c>
      <c r="D1695" s="7" t="n">
        <v>138173</v>
      </c>
      <c r="E1695" s="8" t="n">
        <v>38730</v>
      </c>
      <c r="F1695" s="7" t="n">
        <v>5</v>
      </c>
      <c r="G1695" s="7" t="inlineStr">
        <is>
          <t>Wow, another winner from Kittencal!  These really are wonderful.  I used half yellow and half sweet onion as that was all I had.  Next time I will use only the sweet onion.  The yellow is a bit too strong for us.  Can't wait to make it again.  Thanks again, Kittencal!</t>
        </is>
      </c>
    </row>
    <row r="1696">
      <c r="A1696" s="7" t="n">
        <v>89248</v>
      </c>
      <c r="B1696" s="7" t="n">
        <v>355294</v>
      </c>
      <c r="C1696" s="7" t="n">
        <v>1802387095</v>
      </c>
      <c r="D1696" s="7" t="n">
        <v>92096</v>
      </c>
      <c r="E1696" s="8" t="n">
        <v>41817</v>
      </c>
      <c r="F1696" s="7" t="n">
        <v>0</v>
      </c>
      <c r="G1696" s="7" t="inlineStr">
        <is>
          <t>Caution: Another reviewer said she added a pinch of baking soda to reduce the acidity; I tried this and it took away all the flavor entirely; it was gross. If you&amp;#039;re going to add baking soda add the tiniest pinch and test it first. I was so pissed when I ruined the entire pot.</t>
        </is>
      </c>
    </row>
    <row r="1697">
      <c r="A1697" s="7" t="n">
        <v>13209</v>
      </c>
      <c r="B1697" s="7" t="n">
        <v>550673</v>
      </c>
      <c r="C1697" s="7" t="n">
        <v>2310</v>
      </c>
      <c r="D1697" s="7" t="n">
        <v>19319</v>
      </c>
      <c r="E1697" s="8" t="n">
        <v>37779</v>
      </c>
      <c r="F1697" s="7" t="n">
        <v>5</v>
      </c>
      <c r="G1697" s="7" t="inlineStr">
        <is>
          <t>This is not only a good winter soup, it's a good summer soup too, because it kept my kitchen cool and we had a delicious, simple meal.  I followed Derf's instructions exactly, and only adjusted the seasoning by adding a tiny bit of cayenne pepper to the pot.  At first I was concerned that there wasn't enough broth to completely cover the peas, and added a little more.  It was a mistake; the amount that Derf listed would have been perfect. Mine was a bit thinner than we would have liked, but the soup was delicious and the flavor was terrific. Pea soup is good anytime.</t>
        </is>
      </c>
    </row>
    <row r="1698">
      <c r="A1698" s="7" t="n">
        <v>96107</v>
      </c>
      <c r="B1698" s="7" t="n">
        <v>585654</v>
      </c>
      <c r="C1698" s="7" t="n">
        <v>1586363</v>
      </c>
      <c r="D1698" s="7" t="n">
        <v>390645</v>
      </c>
      <c r="E1698" s="8" t="n">
        <v>40265</v>
      </c>
      <c r="F1698" s="7" t="n">
        <v>5</v>
      </c>
      <c r="G1698" s="7" t="inlineStr">
        <is>
          <t>Excellent paring of flavors. I really enjoyed this version of Banana Nut Bread. There was just enough pineapple/coconut flavor from the yogurt to add interest. I also opted to go with the Kahlua which added a whole other dimension to the flavors!</t>
        </is>
      </c>
    </row>
    <row r="1699">
      <c r="A1699" s="7" t="n">
        <v>79430</v>
      </c>
      <c r="B1699" s="7" t="n">
        <v>1075719</v>
      </c>
      <c r="C1699" s="7" t="n">
        <v>2233231</v>
      </c>
      <c r="D1699" s="7" t="n">
        <v>62130</v>
      </c>
      <c r="E1699" s="8" t="n">
        <v>41006</v>
      </c>
      <c r="F1699" s="7" t="n">
        <v>5</v>
      </c>
      <c r="G1699" s="7" t="inlineStr">
        <is>
          <t>I judge everything I make by whether it is a "make again" recipe.  This definitely falls in that category.  Easy to make and very good.  I used 1 tsp. vanilla and 1 tsp. almond extract.  Tasted great.  Was a little leary of using 1 tbsp. of vanilla, seem like too much.  Will be brave next time and increase the vanilla for comparison.  10 minutes exactly on the bake time.  Also used parchment paper for the first time.  Why haven't I used it before!!  Cookies baked more evenly and were a dream to take off of the paper.</t>
        </is>
      </c>
    </row>
    <row r="1700">
      <c r="A1700" s="7" t="n">
        <v>77891</v>
      </c>
      <c r="B1700" s="7" t="n">
        <v>465526</v>
      </c>
      <c r="C1700" s="7" t="n">
        <v>2604590</v>
      </c>
      <c r="D1700" s="7" t="n">
        <v>288125</v>
      </c>
      <c r="E1700" s="8" t="n">
        <v>41276</v>
      </c>
      <c r="F1700" s="7" t="n">
        <v>0</v>
      </c>
      <c r="G1700" s="7" t="inlineStr">
        <is>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is>
      </c>
    </row>
    <row r="1701">
      <c r="A1701" s="7" t="n">
        <v>13662</v>
      </c>
      <c r="B1701" s="7" t="n">
        <v>1108496</v>
      </c>
      <c r="C1701" s="7" t="n">
        <v>11176</v>
      </c>
      <c r="D1701" s="7" t="n">
        <v>151748</v>
      </c>
      <c r="E1701" s="8" t="n">
        <v>40254</v>
      </c>
      <c r="F1701" s="7" t="n">
        <v>4</v>
      </c>
      <c r="G1701" s="7" t="inlineStr">
        <is>
          <t>Mmmm, heavenly! I used fettuccine and an extra garlic clove (can't be too rich, too thin or eat too much garlic, though MANY would beg to differ for a variety of reasons). The yield I got from 1/2 of a lemon was *very* slightly out of balance - we have some seriously juicy lemons on our tree, so next time I'll cut back a bit. I also used panko breadcrumbs.  This was super quick and was great with some (yeah more) GARLIC bread! Thank you for posting, Kookaburra!</t>
        </is>
      </c>
    </row>
    <row r="1702">
      <c r="A1702" s="7" t="n">
        <v>4654</v>
      </c>
      <c r="B1702" s="7" t="n">
        <v>351036</v>
      </c>
      <c r="C1702" s="7" t="n">
        <v>4439</v>
      </c>
      <c r="D1702" s="7" t="n">
        <v>16531</v>
      </c>
      <c r="E1702" s="8" t="n">
        <v>39478</v>
      </c>
      <c r="F1702" s="7" t="n">
        <v>5</v>
      </c>
      <c r="G1702" s="7" t="inlineStr">
        <is>
          <t>i don't believe i have never reviewed this recipe. i make it all the time because it is so easy and delicious. i did try it once with diet sprite, did not work for us and i use a lot less garlic, personal preference and  split chicken breasts instead of a whole chicken. fantastic easy and delicious.</t>
        </is>
      </c>
    </row>
    <row r="1703">
      <c r="A1703" s="7" t="n">
        <v>99432</v>
      </c>
      <c r="B1703" s="7" t="n">
        <v>1043430</v>
      </c>
      <c r="C1703" s="7" t="n">
        <v>758568</v>
      </c>
      <c r="D1703" s="7" t="n">
        <v>268616</v>
      </c>
      <c r="E1703" s="8" t="n">
        <v>40009</v>
      </c>
      <c r="F1703" s="7" t="n">
        <v>5</v>
      </c>
      <c r="G1703" s="7" t="inlineStr">
        <is>
          <t>Used this recipe to finish a bag of frozen Ikea meatballs. It was light enough to eat in summer, and I think I'll just thicken it a little as the weather gets cooler.  Quickly became a staple dish in our house!</t>
        </is>
      </c>
    </row>
    <row r="1704">
      <c r="A1704" t="n">
        <v>58626</v>
      </c>
      <c r="B1704" t="n">
        <v>760173</v>
      </c>
      <c r="C1704" t="n">
        <v>1265057</v>
      </c>
      <c r="D1704" t="n">
        <v>100756</v>
      </c>
      <c r="E1704" s="1" t="n">
        <v>40168</v>
      </c>
      <c r="F1704" t="n">
        <v>5</v>
      </c>
      <c r="G1704" t="inlineStr">
        <is>
          <t>Excellent, really really good.  I put in about 1 cup walnuts (to taste) as I do not have a kitchen scale.</t>
        </is>
      </c>
    </row>
    <row r="1705">
      <c r="A1705" s="7" t="n">
        <v>49884</v>
      </c>
      <c r="B1705" s="7" t="n">
        <v>1000052</v>
      </c>
      <c r="C1705" s="7" t="n">
        <v>21841</v>
      </c>
      <c r="D1705" s="7" t="n">
        <v>371540</v>
      </c>
      <c r="E1705" s="8" t="n">
        <v>40322</v>
      </c>
      <c r="F1705" s="7" t="n">
        <v>5</v>
      </c>
      <c r="G1705" s="7" t="inlineStr">
        <is>
          <t>Very good.  Served w/ brown rice and roasted asparagus.  Will make again.</t>
        </is>
      </c>
    </row>
    <row r="1706" ht="409.5" customHeight="1">
      <c r="A1706" s="7" t="n">
        <v>82628</v>
      </c>
      <c r="B1706" s="7" t="n">
        <v>656666</v>
      </c>
      <c r="C1706" s="7" t="n">
        <v>198214</v>
      </c>
      <c r="D1706" s="7" t="n">
        <v>27208</v>
      </c>
      <c r="E1706" s="8" t="n">
        <v>39464</v>
      </c>
      <c r="F1706" s="7" t="n">
        <v>3</v>
      </c>
      <c r="G1706" s="9" t="inlineStr">
        <is>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is>
      </c>
    </row>
    <row r="1707">
      <c r="A1707" s="7" t="n">
        <v>12762</v>
      </c>
      <c r="B1707" s="7" t="n">
        <v>263226</v>
      </c>
      <c r="C1707" s="7" t="n">
        <v>1419251</v>
      </c>
      <c r="D1707" s="7" t="n">
        <v>182403</v>
      </c>
      <c r="E1707" s="8" t="n">
        <v>40105</v>
      </c>
      <c r="F1707" s="7" t="n">
        <v>5</v>
      </c>
      <c r="G1707" s="7" t="inlineStr">
        <is>
          <t>I made this last week and it was so yummy that I am making it again tonight at the request of my family.  I used long grain rice so I had to add about 15 minutes to the cooking time to make sure the rice was done....But the flavor is incredible! Thanks so much for the recipe!</t>
        </is>
      </c>
    </row>
    <row r="1708">
      <c r="A1708" s="7" t="n">
        <v>118268</v>
      </c>
      <c r="B1708" s="7" t="n">
        <v>153962</v>
      </c>
      <c r="C1708" s="7" t="n">
        <v>296809</v>
      </c>
      <c r="D1708" s="7" t="n">
        <v>311875</v>
      </c>
      <c r="E1708" s="8" t="n">
        <v>39867</v>
      </c>
      <c r="F1708" s="7" t="n">
        <v>4</v>
      </c>
      <c r="G1708" s="7" t="inlineStr">
        <is>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is>
      </c>
    </row>
    <row r="1709">
      <c r="A1709" s="7" t="n">
        <v>95253</v>
      </c>
      <c r="B1709" s="7" t="n">
        <v>782177</v>
      </c>
      <c r="C1709" s="7" t="n">
        <v>114027</v>
      </c>
      <c r="D1709" s="7" t="n">
        <v>259942</v>
      </c>
      <c r="E1709" s="8" t="n">
        <v>39825</v>
      </c>
      <c r="F1709" s="7" t="n">
        <v>5</v>
      </c>
      <c r="G1709" s="7" t="inlineStr">
        <is>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is>
      </c>
    </row>
    <row r="1710">
      <c r="A1710" s="7" t="n">
        <v>114746</v>
      </c>
      <c r="B1710" s="7" t="n">
        <v>204910</v>
      </c>
      <c r="C1710" s="7" t="n">
        <v>58104</v>
      </c>
      <c r="D1710" s="7" t="n">
        <v>146121</v>
      </c>
      <c r="E1710" s="8" t="n">
        <v>41068</v>
      </c>
      <c r="F1710" s="7" t="n">
        <v>5</v>
      </c>
      <c r="G1710" s="7" t="inlineStr">
        <is>
          <t>Yes! This is very easy and very tasty. Used fresh picked pods and pineapple mint. Thanks.</t>
        </is>
      </c>
    </row>
    <row r="1711">
      <c r="A1711" s="7" t="n">
        <v>72034</v>
      </c>
      <c r="B1711" s="7" t="n">
        <v>439127</v>
      </c>
      <c r="C1711" s="7" t="n">
        <v>237123</v>
      </c>
      <c r="D1711" s="7" t="n">
        <v>149053</v>
      </c>
      <c r="E1711" s="8" t="n">
        <v>38751</v>
      </c>
      <c r="F1711" s="7" t="n">
        <v>5</v>
      </c>
      <c r="G1711" s="7" t="inlineStr">
        <is>
          <t>Turned out just great.  Hubby made this for dinner last night.  We used French green lentils and brown rice, which were tasty.  Loved all the spices in it.  Next time we will probably leave out the crushed chips as we really didn't think that it added that much to it anyway.   We ended up serving it in a tortilla as a buritto, along with fat free sour cream and salsa.  Yumm.  This makes a lot and was wonderful reheated for lunch today.  We will make this again for sure.  Thanks for sharing!</t>
        </is>
      </c>
    </row>
    <row r="1712">
      <c r="A1712" s="7" t="n">
        <v>33834</v>
      </c>
      <c r="B1712" s="7" t="n">
        <v>988151</v>
      </c>
      <c r="C1712" s="7" t="n">
        <v>169430</v>
      </c>
      <c r="D1712" s="7" t="n">
        <v>494433</v>
      </c>
      <c r="E1712" s="8" t="n">
        <v>41329</v>
      </c>
      <c r="F1712" s="7" t="n">
        <v>5</v>
      </c>
      <c r="G1712" s="7" t="inlineStr">
        <is>
          <t>I made this syrup this morning replacing the sugar with Splenda and used it with brewed Darjeeling. What a lovely tea it made and I especially like that that by doing it this way you can have have as much or little of the added flavor as you wish.</t>
        </is>
      </c>
    </row>
    <row r="1713">
      <c r="A1713" s="7" t="n">
        <v>59677</v>
      </c>
      <c r="B1713" s="7" t="n">
        <v>747519</v>
      </c>
      <c r="C1713" s="7" t="n">
        <v>27783</v>
      </c>
      <c r="D1713" s="7" t="n">
        <v>49200</v>
      </c>
      <c r="E1713" s="8" t="n">
        <v>37688</v>
      </c>
      <c r="F1713" s="7" t="n">
        <v>5</v>
      </c>
      <c r="G1713" s="7" t="inlineStr">
        <is>
          <t>Great kid pleaser!  These were easy, ecomonical, and got "thumbs up" from my family. They came out creamy soft on the inside, crisp and seasoned on the outside. Thank you for sharing your version of this old favorite.</t>
        </is>
      </c>
    </row>
    <row r="1714">
      <c r="A1714" s="7" t="n">
        <v>71805</v>
      </c>
      <c r="B1714" s="7" t="n">
        <v>399833</v>
      </c>
      <c r="C1714" s="7" t="n">
        <v>879750</v>
      </c>
      <c r="D1714" s="7" t="n">
        <v>89298</v>
      </c>
      <c r="E1714" s="8" t="n">
        <v>40082</v>
      </c>
      <c r="F1714" s="7" t="n">
        <v>5</v>
      </c>
      <c r="G1714" s="7" t="inlineStr">
        <is>
          <t>I love this!  It's great for parties, but when making it at home I use a muffin tin so the leftovers are easy to store!  Speaking of leftovers... this makes a killer stuffing for cabbage rolls!</t>
        </is>
      </c>
    </row>
    <row r="1715">
      <c r="A1715" s="7" t="n">
        <v>51794</v>
      </c>
      <c r="B1715" s="7" t="n">
        <v>86399</v>
      </c>
      <c r="C1715" s="7" t="n">
        <v>68960</v>
      </c>
      <c r="D1715" s="7" t="n">
        <v>82476</v>
      </c>
      <c r="E1715" s="8" t="n">
        <v>38042</v>
      </c>
      <c r="F1715" s="7" t="n">
        <v>5</v>
      </c>
      <c r="G1715" s="7" t="inlineStr">
        <is>
          <t xml:space="preserve">I made this 3 weeks ago and opened a jar for lunch today.  Fantastic flavour and went really well with our cold meat and salad sandwiches.  Would be great with cheese and crackers.  Thanks Latchy.  </t>
        </is>
      </c>
    </row>
    <row r="1716">
      <c r="A1716" t="n">
        <v>25055</v>
      </c>
      <c r="B1716" t="n">
        <v>1077220</v>
      </c>
      <c r="C1716" t="n">
        <v>2000335228</v>
      </c>
      <c r="D1716" t="n">
        <v>296752</v>
      </c>
      <c r="E1716" s="1" t="n">
        <v>42198</v>
      </c>
      <c r="F1716" t="n">
        <v>5</v>
      </c>
      <c r="G1716" t="inlineStr">
        <is>
          <t>I&amp;#039;ve made this before and it was great. Today I added 1/8 teaspoon Colemans Mustard....really good!</t>
        </is>
      </c>
    </row>
    <row r="1717">
      <c r="A1717" s="7" t="n">
        <v>2306</v>
      </c>
      <c r="B1717" s="7" t="n">
        <v>756993</v>
      </c>
      <c r="C1717" s="7" t="n">
        <v>2210917</v>
      </c>
      <c r="D1717" s="7" t="n">
        <v>524983</v>
      </c>
      <c r="E1717" s="8" t="n">
        <v>42345</v>
      </c>
      <c r="F1717" s="7" t="n">
        <v>5</v>
      </c>
      <c r="G1717" s="7" t="inlineStr">
        <is>
          <t>The crunchy pine nuts are such a great addition to the basil tomato sauce. YUM!</t>
        </is>
      </c>
    </row>
    <row r="1718">
      <c r="A1718" s="7" t="n">
        <v>121171</v>
      </c>
      <c r="B1718" s="7" t="n">
        <v>118465</v>
      </c>
      <c r="C1718" s="7" t="n">
        <v>38037</v>
      </c>
      <c r="D1718" s="7" t="n">
        <v>17753</v>
      </c>
      <c r="E1718" s="8" t="n">
        <v>37394</v>
      </c>
      <c r="F1718" s="7" t="n">
        <v>1</v>
      </c>
      <c r="G1718" s="7" t="inlineStr">
        <is>
          <t>Come on, folks!  With 57+ grams of fat, why don't we just inject ourselves with butter and get it over with?  Does anyone out there ever think about healthy food?</t>
        </is>
      </c>
    </row>
    <row r="1719">
      <c r="A1719" s="7" t="n">
        <v>6744</v>
      </c>
      <c r="B1719" s="7" t="n">
        <v>1071598</v>
      </c>
      <c r="C1719" s="7" t="n">
        <v>417474</v>
      </c>
      <c r="D1719" s="7" t="n">
        <v>145573</v>
      </c>
      <c r="E1719" s="8" t="n">
        <v>39483</v>
      </c>
      <c r="F1719" s="7" t="n">
        <v>5</v>
      </c>
      <c r="G1719" s="7" t="inlineStr">
        <is>
          <t>These are sinful! I have made these many times...always a hit!</t>
        </is>
      </c>
    </row>
    <row r="1720">
      <c r="A1720" s="7" t="n">
        <v>89658</v>
      </c>
      <c r="B1720" s="7" t="n">
        <v>472549</v>
      </c>
      <c r="C1720" s="7" t="n">
        <v>240552</v>
      </c>
      <c r="D1720" s="7" t="n">
        <v>108364</v>
      </c>
      <c r="E1720" s="8" t="n">
        <v>39312</v>
      </c>
      <c r="F1720" s="7" t="n">
        <v>5</v>
      </c>
      <c r="G1720" s="7" t="inlineStr">
        <is>
          <t>Wow!  This was wonderful!  The whole family raved about it!  I'm going to try it with tenders next time, too. :)  I double dipped - first put seasoning on, dredged in flour, put in the sauce, then dredged again in flour.  The coating was super crispy and delish!  Thanks for posting!!</t>
        </is>
      </c>
    </row>
    <row r="1721">
      <c r="A1721" s="7" t="n">
        <v>79453</v>
      </c>
      <c r="B1721" s="7" t="n">
        <v>217191</v>
      </c>
      <c r="C1721" s="7" t="n">
        <v>209763</v>
      </c>
      <c r="D1721" s="7" t="n">
        <v>140947</v>
      </c>
      <c r="E1721" s="8" t="n">
        <v>38698</v>
      </c>
      <c r="F1721" s="7" t="n">
        <v>5</v>
      </c>
      <c r="G1721" s="7" t="inlineStr">
        <is>
          <t>This was really tasty.  The sweetness of the apples and brown sugar really compliments the pork very well.  It reminded me of pork breakfast sausage with maple syrup.  It wasn't overpowering, just the right amount of spice!  Very simple.  We'll definitely do this one again.</t>
        </is>
      </c>
    </row>
    <row r="1722">
      <c r="A1722" t="n">
        <v>13777</v>
      </c>
      <c r="B1722" t="n">
        <v>845711</v>
      </c>
      <c r="C1722" t="n">
        <v>42170</v>
      </c>
      <c r="D1722" t="n">
        <v>43928</v>
      </c>
      <c r="E1722" s="1" t="n">
        <v>37559</v>
      </c>
      <c r="F1722" t="n">
        <v>4</v>
      </c>
      <c r="G1722" t="inlineStr">
        <is>
          <t>This was delicious. I made it with chicken breasts and served it on toasted english muffins.</t>
        </is>
      </c>
    </row>
    <row r="1723">
      <c r="A1723" s="7" t="n">
        <v>34001</v>
      </c>
      <c r="B1723" s="7" t="n">
        <v>118237</v>
      </c>
      <c r="C1723" s="7" t="n">
        <v>791260</v>
      </c>
      <c r="D1723" s="7" t="n">
        <v>112617</v>
      </c>
      <c r="E1723" s="8" t="n">
        <v>39522</v>
      </c>
      <c r="F1723" s="7" t="n">
        <v>5</v>
      </c>
      <c r="G1723" s="7" t="inlineStr">
        <is>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is>
      </c>
    </row>
    <row r="1724">
      <c r="A1724" s="7" t="n">
        <v>52432</v>
      </c>
      <c r="B1724" s="7" t="n">
        <v>33994</v>
      </c>
      <c r="C1724" s="7" t="n">
        <v>103876</v>
      </c>
      <c r="D1724" s="7" t="n">
        <v>102853</v>
      </c>
      <c r="E1724" s="8" t="n">
        <v>38493</v>
      </c>
      <c r="F1724" s="7" t="n">
        <v>4</v>
      </c>
      <c r="G1724" s="7" t="inlineStr">
        <is>
          <t>Great source of fiber and low in fat.  Not bad for being this healthy.</t>
        </is>
      </c>
    </row>
    <row r="1725">
      <c r="A1725" s="7" t="n">
        <v>82354</v>
      </c>
      <c r="B1725" s="7" t="n">
        <v>343171</v>
      </c>
      <c r="C1725" s="7" t="n">
        <v>37449</v>
      </c>
      <c r="D1725" s="7" t="n">
        <v>298327</v>
      </c>
      <c r="E1725" s="8" t="n">
        <v>39720</v>
      </c>
      <c r="F1725" s="7" t="n">
        <v>5</v>
      </c>
      <c r="G1725" s="7" t="inlineStr">
        <is>
          <t>A very nice salad that my husband and I both enjoyed! I quartered the recipe which was just right for the two of us. Thanks! Made for Pick a Chef(PAC).</t>
        </is>
      </c>
    </row>
    <row r="1726">
      <c r="A1726" s="7" t="n">
        <v>41727</v>
      </c>
      <c r="B1726" s="7" t="n">
        <v>933198</v>
      </c>
      <c r="C1726" s="7" t="n">
        <v>101732</v>
      </c>
      <c r="D1726" s="7" t="n">
        <v>62814</v>
      </c>
      <c r="E1726" s="8" t="n">
        <v>39912</v>
      </c>
      <c r="F1726" s="7" t="n">
        <v>5</v>
      </c>
      <c r="G1726" s="7" t="inlineStr">
        <is>
          <t>This was hands down, the best oven fried chicken that I've ever had. I used the bowl method for the butter and the egg wash and for the flour and the breadcrumbs I used large zip lock bags to shake them in for even coating. I served it with steamed corn on the cob and fresh green beans. This came together quick and easy and I will be making it again. Thanks so much for posting!!</t>
        </is>
      </c>
    </row>
    <row r="1727" ht="375" customHeight="1">
      <c r="A1727" s="7" t="n">
        <v>115631</v>
      </c>
      <c r="B1727" s="7" t="n">
        <v>1025632</v>
      </c>
      <c r="C1727" s="7" t="n">
        <v>171790</v>
      </c>
      <c r="D1727" s="7" t="n">
        <v>247929</v>
      </c>
      <c r="E1727" s="8" t="n">
        <v>39349</v>
      </c>
      <c r="F1727" s="7" t="n">
        <v>3</v>
      </c>
      <c r="G1727" s="9" t="inlineStr">
        <is>
          <t>I made this for DD today. She liked it and would have liked it even more if it was less sweet. Next time I'll try it with natural, unsweetened peanut butter._x000D_
Thanks for posting.</t>
        </is>
      </c>
    </row>
    <row r="1728">
      <c r="A1728" s="7" t="n">
        <v>72265</v>
      </c>
      <c r="B1728" s="7" t="n">
        <v>273306</v>
      </c>
      <c r="C1728" s="7" t="n">
        <v>1047954</v>
      </c>
      <c r="D1728" s="7" t="n">
        <v>16489</v>
      </c>
      <c r="E1728" s="8" t="n">
        <v>39971</v>
      </c>
      <c r="F1728" s="7" t="n">
        <v>5</v>
      </c>
      <c r="G1728" s="7" t="inlineStr">
        <is>
          <t>Great cake! i did not note at first how long it took to bake and took it out as soon as toothpick came out clean and also served while still hot. I baked a little longer because it lacked texture. But afterwards it was perfect.</t>
        </is>
      </c>
    </row>
    <row r="1729">
      <c r="A1729" s="7" t="n">
        <v>101061</v>
      </c>
      <c r="B1729" s="7" t="n">
        <v>323736</v>
      </c>
      <c r="C1729" s="7" t="n">
        <v>283390</v>
      </c>
      <c r="D1729" s="7" t="n">
        <v>294908</v>
      </c>
      <c r="E1729" s="8" t="n">
        <v>39957</v>
      </c>
      <c r="F1729" s="7" t="n">
        <v>5</v>
      </c>
      <c r="G1729" s="7" t="inlineStr">
        <is>
          <t>Yum! I made this exactly as directed and really enjoyed it a lot. Tilapia is such a mild fish, so I like to use sauces with a lot of flavor. The ingredient list is unusual, but it really works together well. Thanks for posting this!</t>
        </is>
      </c>
    </row>
    <row r="1730">
      <c r="A1730" s="7" t="n">
        <v>123547</v>
      </c>
      <c r="B1730" s="7" t="n">
        <v>292192</v>
      </c>
      <c r="C1730" s="7" t="n">
        <v>167849</v>
      </c>
      <c r="D1730" s="7" t="n">
        <v>101009</v>
      </c>
      <c r="E1730" s="8" t="n">
        <v>38700</v>
      </c>
      <c r="F1730" s="7" t="n">
        <v>5</v>
      </c>
      <c r="G1730" s="7" t="inlineStr">
        <is>
          <t>This turned out great.  The strainer technique is really smart.  My friends all asked how I got the peppermint so evenly distributed through the chocolate.  Next time, I will double or triple the batch.</t>
        </is>
      </c>
    </row>
    <row r="1731">
      <c r="A1731" s="7" t="n">
        <v>75689</v>
      </c>
      <c r="B1731" s="7" t="n">
        <v>95210</v>
      </c>
      <c r="C1731" s="7" t="n">
        <v>209747</v>
      </c>
      <c r="D1731" s="7" t="n">
        <v>173251</v>
      </c>
      <c r="E1731" s="8" t="n">
        <v>38906</v>
      </c>
      <c r="F1731" s="7" t="n">
        <v>5</v>
      </c>
      <c r="G1731" s="7" t="inlineStr">
        <is>
          <t xml:space="preserve">Awesome! This smelled divine before I even started the blender! AMAZING! LOVED them! Will make again and again! Thank you Chef Kate for this awesome recipe! </t>
        </is>
      </c>
    </row>
    <row r="1732">
      <c r="A1732" s="7" t="n">
        <v>26854</v>
      </c>
      <c r="B1732" s="7" t="n">
        <v>652049</v>
      </c>
      <c r="C1732" s="7" t="n">
        <v>2001445250</v>
      </c>
      <c r="D1732" s="7" t="n">
        <v>135215</v>
      </c>
      <c r="E1732" s="8" t="n">
        <v>43196</v>
      </c>
      <c r="F1732" s="7" t="n">
        <v>0</v>
      </c>
      <c r="G1732" s="7" t="inlineStr">
        <is>
          <t>This is the best mushroom soup ever. I've made it in two different Restaurants that I worked on. Always sold out. Now it's a favourite at home!</t>
        </is>
      </c>
    </row>
    <row r="1733">
      <c r="A1733" s="7" t="n">
        <v>68255</v>
      </c>
      <c r="B1733" s="7" t="n">
        <v>1095920</v>
      </c>
      <c r="C1733" s="7" t="n">
        <v>352845</v>
      </c>
      <c r="D1733" s="7" t="n">
        <v>100225</v>
      </c>
      <c r="E1733" s="8" t="n">
        <v>40096</v>
      </c>
      <c r="F1733" s="7" t="n">
        <v>5</v>
      </c>
      <c r="G1733" s="7" t="inlineStr">
        <is>
          <t>This was a perfect busy night dinner.  It came together so quickly yet had an amazing amount of flavor.  Having 2 DSs who eat everything in sight, I doubled the recipe which gave me enough for lunch today.  It was delicious both times.  Thanks.</t>
        </is>
      </c>
    </row>
    <row r="1734">
      <c r="A1734" s="7" t="n">
        <v>101475</v>
      </c>
      <c r="B1734" s="7" t="n">
        <v>508204</v>
      </c>
      <c r="C1734" s="7" t="n">
        <v>82616</v>
      </c>
      <c r="D1734" s="7" t="n">
        <v>124413</v>
      </c>
      <c r="E1734" s="8" t="n">
        <v>38844</v>
      </c>
      <c r="F1734" s="7" t="n">
        <v>5</v>
      </c>
      <c r="G1734" s="7" t="inlineStr">
        <is>
          <t xml:space="preserve">I had to use this recipe this morning. I made belgian waffles and did not have any buttermilk. I let mine sit for 20-30 minutes PERFECT ! Thanks  </t>
        </is>
      </c>
    </row>
    <row r="1735">
      <c r="A1735" s="7" t="n">
        <v>45292</v>
      </c>
      <c r="B1735" s="7" t="n">
        <v>930790</v>
      </c>
      <c r="C1735" s="7" t="n">
        <v>371738</v>
      </c>
      <c r="D1735" s="7" t="n">
        <v>115289</v>
      </c>
      <c r="E1735" s="8" t="n">
        <v>39252</v>
      </c>
      <c r="F1735" s="7" t="n">
        <v>5</v>
      </c>
      <c r="G1735" s="7" t="inlineStr">
        <is>
          <t>What an awesome idea!  I haven't created them yet, but plan on doing so for the family's summer road trip.  Thanks for the idea!</t>
        </is>
      </c>
    </row>
    <row r="1736">
      <c r="A1736" s="7" t="n">
        <v>65222</v>
      </c>
      <c r="B1736" s="7" t="n">
        <v>229014</v>
      </c>
      <c r="C1736" s="7" t="n">
        <v>199848</v>
      </c>
      <c r="D1736" s="7" t="n">
        <v>381325</v>
      </c>
      <c r="E1736" s="8" t="n">
        <v>40613</v>
      </c>
      <c r="F1736" s="7" t="n">
        <v>5</v>
      </c>
      <c r="G1736" s="7" t="inlineStr">
        <is>
          <t>What a great side dish!  It's easy, inexpensive and adds some nice color to your meal..... although it would taste just as good with green cabbage- just less colorful.  I loved the tang of the vinegar against the sweetness of the apples.  I made this as written, but didn't cook it quite as long as written.  Yes, the dallop of sour cream makes it even better.  Thanx!</t>
        </is>
      </c>
    </row>
    <row r="1737">
      <c r="A1737" s="7" t="n">
        <v>10730</v>
      </c>
      <c r="B1737" s="7" t="n">
        <v>458219</v>
      </c>
      <c r="C1737" s="7" t="n">
        <v>494867</v>
      </c>
      <c r="D1737" s="7" t="n">
        <v>66409</v>
      </c>
      <c r="E1737" s="8" t="n">
        <v>40208</v>
      </c>
      <c r="F1737" s="7" t="n">
        <v>5</v>
      </c>
      <c r="G1737" s="7" t="inlineStr">
        <is>
          <t>I just popped these out of the oven and am getting crumbs all over the keyboard as I type.  But wanted to add my rave review! I made these vegan by using soymilk and margarine, and I added some chocolate chips. Baked for 15 minutes and they are delicious! I halved the recipe -- except for the sugar - everything worked out great. Yum!</t>
        </is>
      </c>
    </row>
    <row r="1738">
      <c r="A1738" s="7" t="n">
        <v>52881</v>
      </c>
      <c r="B1738" s="7" t="n">
        <v>430603</v>
      </c>
      <c r="C1738" s="7" t="n">
        <v>2200921</v>
      </c>
      <c r="D1738" s="7" t="n">
        <v>495124</v>
      </c>
      <c r="E1738" s="8" t="n">
        <v>41318</v>
      </c>
      <c r="F1738" s="7" t="n">
        <v>0</v>
      </c>
      <c r="G1738" s="7" t="inlineStr">
        <is>
          <t>fabulous</t>
        </is>
      </c>
    </row>
    <row r="1739">
      <c r="A1739" s="7" t="n">
        <v>53041</v>
      </c>
      <c r="B1739" s="7" t="n">
        <v>13879</v>
      </c>
      <c r="C1739" s="7" t="n">
        <v>212145</v>
      </c>
      <c r="D1739" s="7" t="n">
        <v>198531</v>
      </c>
      <c r="E1739" s="8" t="n">
        <v>39083</v>
      </c>
      <c r="F1739" s="7" t="n">
        <v>4</v>
      </c>
      <c r="G1739" s="7" t="inlineStr">
        <is>
          <t>I made these for Christmas gifts and kept one for myself.  Everyone love it, So did I.  I made a few changes.  I put 3 beef boullion cubes in the mix, and used 1 14oz. can diced tomatoes with green bell peppers, undrained, 6 cups water, 1/2 cup small shell noodles, 2 potaoes, and 2 carrots.  I also Oh yeah, I also browned 5 links (removed from casings) italian sausage in pot then adding other ingredients.  I put noodles in small bag and placed on top of mix in jar.  I instructed the noodles and potatos be added after 45 min. and cook addt. 10 min.  Everything else I followed.  It came out very hearty, a thick soup.  Thanks I'll be making this often!</t>
        </is>
      </c>
    </row>
    <row r="1740">
      <c r="A1740" s="7" t="n">
        <v>86555</v>
      </c>
      <c r="B1740" s="7" t="n">
        <v>411983</v>
      </c>
      <c r="C1740" s="7" t="n">
        <v>171290</v>
      </c>
      <c r="D1740" s="7" t="n">
        <v>26405</v>
      </c>
      <c r="E1740" s="8" t="n">
        <v>38429</v>
      </c>
      <c r="F1740" s="7" t="n">
        <v>5</v>
      </c>
      <c r="G1740" s="7" t="inlineStr">
        <is>
          <t>Everyone was so skeptical when I wanted to serve these - however, they gobbled them up in seconds! Thanks for the great idea! I never would have thought of it myself! Yum!</t>
        </is>
      </c>
    </row>
    <row r="1741">
      <c r="A1741" s="7" t="n">
        <v>74892</v>
      </c>
      <c r="B1741" s="7" t="n">
        <v>92216</v>
      </c>
      <c r="C1741" s="7" t="n">
        <v>937635</v>
      </c>
      <c r="D1741" s="7" t="n">
        <v>188874</v>
      </c>
      <c r="E1741" s="8" t="n">
        <v>41417</v>
      </c>
      <c r="F1741" s="7" t="n">
        <v>5</v>
      </c>
      <c r="G1741" s="7" t="inlineStr">
        <is>
          <t>Great recipe! I used fat free Greek yogurt and skipped the salt and made it in a bundt. Also added 3/4 cup of regular sugar and made a banana cream cheese icing. THanks for the keeper!</t>
        </is>
      </c>
    </row>
    <row r="1742">
      <c r="A1742" s="7" t="n">
        <v>32196</v>
      </c>
      <c r="B1742" s="7" t="n">
        <v>1022508</v>
      </c>
      <c r="C1742" s="7" t="n">
        <v>192264</v>
      </c>
      <c r="D1742" s="7" t="n">
        <v>98680</v>
      </c>
      <c r="E1742" s="8" t="n">
        <v>38777</v>
      </c>
      <c r="F1742" s="7" t="n">
        <v>5</v>
      </c>
      <c r="G1742" s="7" t="inlineStr">
        <is>
          <t>This is good!!! I'll be making this lots. Thanks so much!</t>
        </is>
      </c>
    </row>
    <row r="1743">
      <c r="A1743" s="7" t="n">
        <v>60944</v>
      </c>
      <c r="B1743" s="7" t="n">
        <v>982954</v>
      </c>
      <c r="C1743" s="7" t="n">
        <v>358698</v>
      </c>
      <c r="D1743" s="7" t="n">
        <v>377066</v>
      </c>
      <c r="E1743" s="8" t="n">
        <v>40300</v>
      </c>
      <c r="F1743" s="7" t="n">
        <v>5</v>
      </c>
      <c r="G1743" s="7" t="inlineStr">
        <is>
          <t>Holy chocolate nirvana. Twenty stars.  Made the gelato and it was just delightful.  Very creamy.  Will make again, but not often as this is ultra-decadent.  Followed directions with no changes and this recipe is just a winner.  Thanks for a great one!</t>
        </is>
      </c>
    </row>
    <row r="1744">
      <c r="A1744" s="7" t="n">
        <v>73099</v>
      </c>
      <c r="B1744" s="7" t="n">
        <v>234812</v>
      </c>
      <c r="C1744" s="7" t="n">
        <v>434741</v>
      </c>
      <c r="D1744" s="7" t="n">
        <v>158588</v>
      </c>
      <c r="E1744" s="8" t="n">
        <v>39150</v>
      </c>
      <c r="F1744" s="7" t="n">
        <v>4</v>
      </c>
      <c r="G1744" s="7" t="inlineStr">
        <is>
          <t>Made with Mahi-Mahi..thick filet, so had to cook for 30 mins.  Turned out great!</t>
        </is>
      </c>
    </row>
    <row r="1745">
      <c r="A1745" s="7" t="n">
        <v>28368</v>
      </c>
      <c r="B1745" s="7" t="n">
        <v>357681</v>
      </c>
      <c r="C1745" s="7" t="n">
        <v>17803</v>
      </c>
      <c r="D1745" s="7" t="n">
        <v>409903</v>
      </c>
      <c r="E1745" s="8" t="n">
        <v>40393</v>
      </c>
      <c r="F1745" s="7" t="n">
        <v>4</v>
      </c>
      <c r="G1745" s="7" t="inlineStr">
        <is>
          <t>The bay leaf adds so much flavor to this meatless sauce.  The store did not have any whole wheat fettuccine, so I had to use regular.  I was not sure if the beans were to be drained or not.  But in step 4 it wants you to thicken the sauce. I could not see adding liquid back in at this point so I drained the beans.  Made for Please Review My Recipe game 2010.</t>
        </is>
      </c>
    </row>
    <row r="1746">
      <c r="A1746" s="7" t="n">
        <v>71962</v>
      </c>
      <c r="B1746" s="7" t="n">
        <v>365712</v>
      </c>
      <c r="C1746" s="7" t="n">
        <v>103876</v>
      </c>
      <c r="D1746" s="7" t="n">
        <v>43267</v>
      </c>
      <c r="E1746" s="8" t="n">
        <v>38316</v>
      </c>
      <c r="F1746" s="7" t="n">
        <v>5</v>
      </c>
      <c r="G1746" s="7" t="inlineStr">
        <is>
          <t>Great recipe!  This is just what I was looking for to keep the Thanksgiving meal a little lighter this year.  Has the same great flavor as the more fattening versions, but you don't feel all the guilt.  Thanks for posting.  I also posted a picture.</t>
        </is>
      </c>
    </row>
    <row r="1747">
      <c r="A1747" s="7" t="n">
        <v>78440</v>
      </c>
      <c r="B1747" s="7" t="n">
        <v>827645</v>
      </c>
      <c r="C1747" s="7" t="n">
        <v>182382</v>
      </c>
      <c r="D1747" s="7" t="n">
        <v>22203</v>
      </c>
      <c r="E1747" s="8" t="n">
        <v>39511</v>
      </c>
      <c r="F1747" s="7" t="n">
        <v>4</v>
      </c>
      <c r="G1747" s="7" t="inlineStr">
        <is>
          <t>I really liked this.  Much better than a plain tuna melt.  I thought that 1T was a bit too much mustard for my tastebuds and I also had trouble reheating the leftovers, as microwaving made the croissants soggy.  I also bought two tubes of dough per other reviewers and had plenty of filling to go around.  Thanks!  I'll definitely make this again.</t>
        </is>
      </c>
    </row>
    <row r="1748">
      <c r="A1748" s="7" t="n">
        <v>45140</v>
      </c>
      <c r="B1748" s="7" t="n">
        <v>219165</v>
      </c>
      <c r="C1748" s="7" t="n">
        <v>2340752</v>
      </c>
      <c r="D1748" s="7" t="n">
        <v>471486</v>
      </c>
      <c r="E1748" s="8" t="n">
        <v>41114</v>
      </c>
      <c r="F1748" s="7" t="n">
        <v>5</v>
      </c>
      <c r="G1748" s="7" t="inlineStr">
        <is>
          <t>Absolutely wonderful sponge cake! &lt;br/&gt;I will definately use this recipie more than once.</t>
        </is>
      </c>
    </row>
    <row r="1749">
      <c r="A1749" s="7" t="n">
        <v>51117</v>
      </c>
      <c r="B1749" s="7" t="n">
        <v>523577</v>
      </c>
      <c r="C1749" s="7" t="n">
        <v>52950</v>
      </c>
      <c r="D1749" s="7" t="n">
        <v>35868</v>
      </c>
      <c r="E1749" s="8" t="n">
        <v>37491</v>
      </c>
      <c r="F1749" s="7" t="n">
        <v>5</v>
      </c>
      <c r="G1749" s="7" t="inlineStr">
        <is>
          <t>Very easy to make and if you like soft spreads you will like this one.  When I made this it made 9 8 oz. jars.</t>
        </is>
      </c>
    </row>
    <row r="1750">
      <c r="A1750" s="7" t="n">
        <v>115915</v>
      </c>
      <c r="B1750" s="7" t="n">
        <v>189146</v>
      </c>
      <c r="C1750" s="7" t="n">
        <v>1099457</v>
      </c>
      <c r="D1750" s="7" t="n">
        <v>85043</v>
      </c>
      <c r="E1750" s="8" t="n">
        <v>39963</v>
      </c>
      <c r="F1750" s="7" t="n">
        <v>5</v>
      </c>
      <c r="G1750" s="7" t="inlineStr">
        <is>
          <t>This was delicious!  I made it just as is.  The only thing I did differently was to bake it at 350, instead of broiling.  It came out perfectly!  Thank you!</t>
        </is>
      </c>
    </row>
    <row r="1751">
      <c r="A1751" s="7" t="n">
        <v>51270</v>
      </c>
      <c r="B1751" s="7" t="n">
        <v>31418</v>
      </c>
      <c r="C1751" s="7" t="n">
        <v>427474</v>
      </c>
      <c r="D1751" s="7" t="n">
        <v>8596</v>
      </c>
      <c r="E1751" s="8" t="n">
        <v>41316</v>
      </c>
      <c r="F1751" s="7" t="n">
        <v>5</v>
      </c>
      <c r="G1751" s="7" t="inlineStr">
        <is>
          <t>YUM. I have been making fettuccine Alfredo for years and this recipe is so much better and more fool proof than mine. This pasta reheats nicely the next day with a splash of cream. Should note: This recipe does NOT work with cream that is less than 18% mf.</t>
        </is>
      </c>
    </row>
    <row r="1752">
      <c r="A1752" s="7" t="n">
        <v>112236</v>
      </c>
      <c r="B1752" s="7" t="n">
        <v>711452</v>
      </c>
      <c r="C1752" s="7" t="n">
        <v>432917</v>
      </c>
      <c r="D1752" s="7" t="n">
        <v>274036</v>
      </c>
      <c r="E1752" s="8" t="n">
        <v>39468</v>
      </c>
      <c r="F1752" s="7" t="n">
        <v>4</v>
      </c>
      <c r="G1752" s="7" t="inlineStr">
        <is>
          <t>very good!</t>
        </is>
      </c>
    </row>
    <row r="1753">
      <c r="A1753" s="7" t="n">
        <v>71282</v>
      </c>
      <c r="B1753" s="7" t="n">
        <v>512576</v>
      </c>
      <c r="C1753" s="7" t="n">
        <v>878983</v>
      </c>
      <c r="D1753" s="7" t="n">
        <v>75916</v>
      </c>
      <c r="E1753" s="8" t="n">
        <v>41573</v>
      </c>
      <c r="F1753" s="7" t="n">
        <v>5</v>
      </c>
      <c r="G1753" s="7" t="inlineStr">
        <is>
          <t>I used 2 oranges quartered and put into the microwave for 5 mins then the WHOLE orange into a food processor.  same 6 eggs at room temperature, 1 1/4 caster sugar (used regular sugar but put into a food processor to make finer), 2 1/2 cups of almond meal, 1 tsp baking powder.  I split into two circle pans which really cut the cooking time down to 20- 30 mins.  I layered the two pans.  good for muffins too.   I topped mine with melted dark chocolate in a all over swirly pattern.   YUMMY !!!</t>
        </is>
      </c>
    </row>
    <row r="1754">
      <c r="A1754" s="7" t="n">
        <v>89119</v>
      </c>
      <c r="B1754" s="7" t="n">
        <v>897513</v>
      </c>
      <c r="C1754" s="7" t="n">
        <v>866963</v>
      </c>
      <c r="D1754" s="7" t="n">
        <v>451410</v>
      </c>
      <c r="E1754" s="8" t="n">
        <v>40820</v>
      </c>
      <c r="F1754" s="7" t="n">
        <v>2</v>
      </c>
      <c r="G1754" s="7" t="inlineStr">
        <is>
          <t>My daughter and I had this the other night and while I thought it was ok, and with some tweaking would be very good, she didn't care for it at all. Simi is spice challenged and doesn't like anything hot so I left the pepper flakes out and just put them in mine but I had to agree with her that it didn't have much flavor. (1)</t>
        </is>
      </c>
    </row>
    <row r="1755">
      <c r="A1755" s="7" t="n">
        <v>67526</v>
      </c>
      <c r="B1755" s="7" t="n">
        <v>268125</v>
      </c>
      <c r="C1755" s="7" t="n">
        <v>129255</v>
      </c>
      <c r="D1755" s="7" t="n">
        <v>111856</v>
      </c>
      <c r="E1755" s="8" t="n">
        <v>38949</v>
      </c>
      <c r="F1755" s="7" t="n">
        <v>5</v>
      </c>
      <c r="G1755" s="7" t="inlineStr">
        <is>
          <t>Superb! The instructions are very well written. For all you bakers out there who have tried every other kind of French bread...you need to get on this one! I was skeptical about the rising and then adding more flour( I'm an OLD timer)but it turned out great. The only suggestion I can make is to double the recipe cause one loaf is not gonna last long!</t>
        </is>
      </c>
    </row>
    <row r="1756">
      <c r="A1756" s="7" t="n">
        <v>87923</v>
      </c>
      <c r="B1756" s="7" t="n">
        <v>642580</v>
      </c>
      <c r="C1756" s="7" t="n">
        <v>121985</v>
      </c>
      <c r="D1756" s="7" t="n">
        <v>35988</v>
      </c>
      <c r="E1756" s="8" t="n">
        <v>39102</v>
      </c>
      <c r="F1756" s="7" t="n">
        <v>4</v>
      </c>
      <c r="G1756" s="7" t="inlineStr">
        <is>
          <t>great soup.  I halved the amounts of pasta and spinach since i like more broth.  Turned out great.  Thanks!</t>
        </is>
      </c>
    </row>
    <row r="1757">
      <c r="A1757" t="n">
        <v>83929</v>
      </c>
      <c r="B1757" t="n">
        <v>314760</v>
      </c>
      <c r="C1757" t="n">
        <v>248029</v>
      </c>
      <c r="D1757" t="n">
        <v>43360</v>
      </c>
      <c r="E1757" s="1" t="n">
        <v>38961</v>
      </c>
      <c r="F1757" t="n">
        <v>5</v>
      </c>
      <c r="G1757" t="inlineStr">
        <is>
          <t>Very easy, and good taste. going to make another batch using yellow tomatoes this weekend. thanks this one is a keeper.</t>
        </is>
      </c>
    </row>
    <row r="1758">
      <c r="A1758" s="7" t="n">
        <v>113118</v>
      </c>
      <c r="B1758" s="7" t="n">
        <v>685303</v>
      </c>
      <c r="C1758" s="7" t="n">
        <v>3205</v>
      </c>
      <c r="D1758" s="7" t="n">
        <v>287544</v>
      </c>
      <c r="E1758" s="8" t="n">
        <v>39724</v>
      </c>
      <c r="F1758" s="7" t="n">
        <v>4</v>
      </c>
      <c r="G1758" s="7" t="inlineStr">
        <is>
          <t>I enjoyed this and was easy to make.  I think it needed a little more broth, but maybe it was the size of the chicken breast.  I did add the 4 cloves of garlic, might add more next time.  Thanks for a simple and easy recipe.   Made for PAC Fall 2008.</t>
        </is>
      </c>
    </row>
    <row r="1759">
      <c r="A1759" s="7" t="n">
        <v>66829</v>
      </c>
      <c r="B1759" s="7" t="n">
        <v>546621</v>
      </c>
      <c r="C1759" s="7" t="n">
        <v>107135</v>
      </c>
      <c r="D1759" s="7" t="n">
        <v>253030</v>
      </c>
      <c r="E1759" s="8" t="n">
        <v>39778</v>
      </c>
      <c r="F1759" s="7" t="n">
        <v>5</v>
      </c>
      <c r="G1759" s="7" t="inlineStr">
        <is>
          <t>great cookie double it  is what darlene says lol</t>
        </is>
      </c>
    </row>
    <row r="1760">
      <c r="A1760" s="7" t="n">
        <v>37404</v>
      </c>
      <c r="B1760" s="7" t="n">
        <v>636127</v>
      </c>
      <c r="C1760" s="7" t="n">
        <v>37449</v>
      </c>
      <c r="D1760" s="7" t="n">
        <v>334626</v>
      </c>
      <c r="E1760" s="8" t="n">
        <v>39770</v>
      </c>
      <c r="F1760" s="7" t="n">
        <v>5</v>
      </c>
      <c r="G1760" s="7" t="inlineStr">
        <is>
          <t>I don't know what kind of apples I used, they came from my daughter's neighbor's tree, but this turned out great! I got about a quart of applesauce and ended up canning it! Thanks Mike for a great recipe! Made for Everyday is a Holiday game!</t>
        </is>
      </c>
    </row>
    <row r="1761">
      <c r="A1761" s="7" t="n">
        <v>57827</v>
      </c>
      <c r="B1761" s="7" t="n">
        <v>203823</v>
      </c>
      <c r="C1761" s="7" t="n">
        <v>885416</v>
      </c>
      <c r="D1761" s="7" t="n">
        <v>83789</v>
      </c>
      <c r="E1761" s="8" t="n">
        <v>40833</v>
      </c>
      <c r="F1761" s="7" t="n">
        <v>5</v>
      </c>
      <c r="G1761" s="7" t="inlineStr">
        <is>
          <t>This was amazing.  I followed the recipe exactly and it turned out perfectly.  Our whole family enjoyed it and I wouldn't change a thing.  Hanging on to this one for next year with lots of left over rhubarb from the garden.  I also think it deserves 5 starts for how EASY it is to make.  I had a pre-made crust and just threw everything in, topped it with the streusel.  Easy and delicious!</t>
        </is>
      </c>
    </row>
    <row r="1762">
      <c r="A1762" s="7" t="n">
        <v>69924</v>
      </c>
      <c r="B1762" s="7" t="n">
        <v>212343</v>
      </c>
      <c r="C1762" s="7" t="n">
        <v>438486</v>
      </c>
      <c r="D1762" s="7" t="n">
        <v>104354</v>
      </c>
      <c r="E1762" s="8" t="n">
        <v>39823</v>
      </c>
      <c r="F1762" s="7" t="n">
        <v>5</v>
      </c>
      <c r="G1762" s="7" t="inlineStr">
        <is>
          <t>This was totally amazing! I browned my meat with chopped up onion and some garlic powder as I didn't have any fresh garlic, I also used plain tomato sauce and added some pizza spices to it,, this was amazing! I will for sure make this again and again! YUMMO!!!!</t>
        </is>
      </c>
    </row>
    <row r="1763">
      <c r="A1763" t="n">
        <v>106508</v>
      </c>
      <c r="B1763" t="n">
        <v>163725</v>
      </c>
      <c r="C1763" t="n">
        <v>628279</v>
      </c>
      <c r="D1763" t="n">
        <v>90619</v>
      </c>
      <c r="E1763" s="1" t="n">
        <v>42474</v>
      </c>
      <c r="F1763" t="n">
        <v>5</v>
      </c>
      <c r="G1763" t="inlineStr">
        <is>
          <t>Fresh clams on sale, fresh basil from the garden, fresh garlic from the garden, chicken stock, white wine and butter - then salt and pepper.  Divine.  Definitely a keeper.  Thanks!</t>
        </is>
      </c>
    </row>
    <row r="1764">
      <c r="A1764" t="n">
        <v>77196</v>
      </c>
      <c r="B1764" t="n">
        <v>344853</v>
      </c>
      <c r="C1764" t="n">
        <v>1267956</v>
      </c>
      <c r="D1764" t="n">
        <v>75061</v>
      </c>
      <c r="E1764" s="1" t="n">
        <v>40032</v>
      </c>
      <c r="F1764" t="n">
        <v>5</v>
      </c>
      <c r="G1764" t="inlineStr">
        <is>
          <t>This was a wonderful recipe, light, high riser, non dense texture, it was great!!</t>
        </is>
      </c>
    </row>
    <row r="1765">
      <c r="A1765" s="7" t="n">
        <v>79759</v>
      </c>
      <c r="B1765" s="7" t="n">
        <v>341457</v>
      </c>
      <c r="C1765" s="7" t="n">
        <v>731909</v>
      </c>
      <c r="D1765" s="7" t="n">
        <v>221713</v>
      </c>
      <c r="E1765" s="8" t="n">
        <v>40136</v>
      </c>
      <c r="F1765" s="7" t="n">
        <v>5</v>
      </c>
      <c r="G1765" s="7" t="inlineStr">
        <is>
          <t>true to it's name...YUMMY.  The whole family loved it. thanks so much!</t>
        </is>
      </c>
    </row>
    <row r="1766">
      <c r="A1766" s="7" t="n">
        <v>101329</v>
      </c>
      <c r="B1766" s="7" t="n">
        <v>984377</v>
      </c>
      <c r="C1766" s="7" t="n">
        <v>147217</v>
      </c>
      <c r="D1766" s="7" t="n">
        <v>9272</v>
      </c>
      <c r="E1766" s="8" t="n">
        <v>39676</v>
      </c>
      <c r="F1766" s="7" t="n">
        <v>5</v>
      </c>
      <c r="G1766" s="7" t="inlineStr">
        <is>
          <t>I made 3 batches of this last summer and forgot to rate it.  My family gobbled it up so fast that I had to hide some to last through the winter.  They are requesting more of it since our tomatoes are beginning to ripen.</t>
        </is>
      </c>
    </row>
    <row r="1767" ht="409.5" customHeight="1">
      <c r="A1767" s="7" t="n">
        <v>73439</v>
      </c>
      <c r="B1767" s="7" t="n">
        <v>1072416</v>
      </c>
      <c r="C1767" s="7" t="n">
        <v>264339</v>
      </c>
      <c r="D1767" s="7" t="n">
        <v>144580</v>
      </c>
      <c r="E1767" s="8" t="n">
        <v>39002</v>
      </c>
      <c r="F1767" s="7" t="n">
        <v>5</v>
      </c>
      <c r="G1767" s="9" t="inlineStr">
        <is>
          <t>This is such a nice and easy and VERY tasty recipe..I loved it_x000D_
I had to make my own self rising flour &lt;a href="/5271"&gt;Emergency Self Rising Flour&lt;/a&gt;_x000D_
as I never buy it.._x000D_
I made chicken tenders that were so nice and crunchy outside and moist and well flavered inside.._x000D_
it is just a real great recipe_x000D_
that is now saved to my cookbook_x000D_
THANK YOU</t>
        </is>
      </c>
    </row>
    <row r="1768">
      <c r="A1768" s="7" t="n">
        <v>98787</v>
      </c>
      <c r="B1768" s="7" t="n">
        <v>1129296</v>
      </c>
      <c r="C1768" s="7" t="n">
        <v>2000689745</v>
      </c>
      <c r="D1768" s="7" t="n">
        <v>267634</v>
      </c>
      <c r="E1768" s="8" t="n">
        <v>42326</v>
      </c>
      <c r="F1768" s="7" t="n">
        <v>5</v>
      </c>
      <c r="G1768" s="7" t="inlineStr">
        <is>
          <t>I have made this recipe for the past 3 years and it has always come out great! 2 of my co-workers said they don&amp;#039;t like turkey but if I make it they will eat it. Even my father-in-law claims it is the best turkey he has had. I always let my bird sit for at least 30 minutes before I carve it. I think that makes a difference to let the juices settle in the bird instead of running out immediately. You can&amp;#039;t go wrong with this recipe. Just keep an eye on it to make sure it doesn&amp;#039;t get too brown or it will burn. If it needs to cook longer just put aluminum foil over it so it will prevent further browning.</t>
        </is>
      </c>
    </row>
    <row r="1769">
      <c r="A1769" t="n">
        <v>55580</v>
      </c>
      <c r="B1769" t="n">
        <v>608845</v>
      </c>
      <c r="C1769" t="n">
        <v>1786209</v>
      </c>
      <c r="D1769" t="n">
        <v>18897</v>
      </c>
      <c r="E1769" s="1" t="n">
        <v>40578</v>
      </c>
      <c r="F1769" t="n">
        <v>0</v>
      </c>
      <c r="G1769" t="inlineStr">
        <is>
          <t>THIS IS SO DAMN GOOD!!!!!! i love that the breading stays on the chicken and its not greasy, unlike doing it on the stove. and the flavors are amazing</t>
        </is>
      </c>
    </row>
    <row r="1770">
      <c r="A1770" s="7" t="n">
        <v>96534</v>
      </c>
      <c r="B1770" s="7" t="n">
        <v>201822</v>
      </c>
      <c r="C1770" s="7" t="n">
        <v>753509</v>
      </c>
      <c r="D1770" s="7" t="n">
        <v>148242</v>
      </c>
      <c r="E1770" s="8" t="n">
        <v>39855</v>
      </c>
      <c r="F1770" s="7" t="n">
        <v>3</v>
      </c>
      <c r="G1770" s="7" t="inlineStr">
        <is>
          <t>Good, not great. I made it just for me (hubby wouldn't eat something with beans and kale) and found it very salty. I liked it, but probably wouldn't make it again as written; I'd try to spice it up a bit.</t>
        </is>
      </c>
    </row>
    <row r="1771">
      <c r="A1771" s="7" t="n">
        <v>38727</v>
      </c>
      <c r="B1771" s="7" t="n">
        <v>588915</v>
      </c>
      <c r="C1771" s="7" t="n">
        <v>166294</v>
      </c>
      <c r="D1771" s="7" t="n">
        <v>17865</v>
      </c>
      <c r="E1771" s="8" t="n">
        <v>39411</v>
      </c>
      <c r="F1771" s="7" t="n">
        <v>5</v>
      </c>
      <c r="G1771" s="7" t="inlineStr">
        <is>
          <t>These were so fun!  Just don't make them the night before because the cones will turn soggy.  I found that I needed to fill the cones more than halfway to get a little more rise out of them.  These made a hit for my son's birthday party.  I had them decorate their own with candies and sprinkles.</t>
        </is>
      </c>
    </row>
    <row r="1772">
      <c r="A1772" s="7" t="n">
        <v>122138</v>
      </c>
      <c r="B1772" s="7" t="n">
        <v>1116036</v>
      </c>
      <c r="C1772" s="7" t="n">
        <v>84863</v>
      </c>
      <c r="D1772" s="7" t="n">
        <v>37673</v>
      </c>
      <c r="E1772" s="8" t="n">
        <v>39383</v>
      </c>
      <c r="F1772" s="7" t="n">
        <v>5</v>
      </c>
      <c r="G1772" s="7" t="inlineStr">
        <is>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is>
      </c>
    </row>
    <row r="1773">
      <c r="A1773" t="n">
        <v>35773</v>
      </c>
      <c r="B1773" t="n">
        <v>434915</v>
      </c>
      <c r="C1773" t="n">
        <v>2000471336</v>
      </c>
      <c r="D1773" t="n">
        <v>34335</v>
      </c>
      <c r="E1773" s="1" t="n">
        <v>42822</v>
      </c>
      <c r="F1773" t="n">
        <v>5</v>
      </c>
      <c r="G1773" t="inlineStr">
        <is>
          <t>Wel MissNezz... OK. Let me tell YOU something young lady this is...elegance, fabulous simple deliciousness at its FINEST!!! Just MAKE this DO NOT substitute any herb WAIT till you have them your palate with not only thank you but dance with JOY (and angels will sing in the backround) I swear. I consider myself a pretty experienced home cook since my grandmother was a chef and I grew up in my family's Italian restaurant my grandfather started when he came from Italy . THT being said this tasted like it came out of our restaurant! I wouldn't hesitate to serve this at the most elegant dinner party or sliced up leftovers (make TWO lol) on wonderful bread for sandwiches. Follow the directions to the letter and the most inexperienced new cook can shock the socks off guests with THIS! BRAVO</t>
        </is>
      </c>
    </row>
    <row r="1774">
      <c r="A1774" t="n">
        <v>27026</v>
      </c>
      <c r="B1774" t="n">
        <v>1103972</v>
      </c>
      <c r="C1774" t="n">
        <v>378972</v>
      </c>
      <c r="D1774" t="n">
        <v>64446</v>
      </c>
      <c r="E1774" s="1" t="n">
        <v>39256</v>
      </c>
      <c r="F1774" t="n">
        <v>5</v>
      </c>
      <c r="G1774" t="inlineStr">
        <is>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is>
      </c>
    </row>
    <row r="1775">
      <c r="A1775" s="7" t="n">
        <v>75538</v>
      </c>
      <c r="B1775" s="7" t="n">
        <v>300460</v>
      </c>
      <c r="C1775" s="7" t="n">
        <v>80998</v>
      </c>
      <c r="D1775" s="7" t="n">
        <v>163257</v>
      </c>
      <c r="E1775" s="8" t="n">
        <v>39727</v>
      </c>
      <c r="F1775" s="7" t="n">
        <v>5</v>
      </c>
      <c r="G1775" s="7" t="inlineStr">
        <is>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is>
      </c>
    </row>
    <row r="1776">
      <c r="A1776" s="7" t="n">
        <v>15424</v>
      </c>
      <c r="B1776" s="7" t="n">
        <v>1125731</v>
      </c>
      <c r="C1776" s="7" t="n">
        <v>2001227147</v>
      </c>
      <c r="D1776" s="7" t="n">
        <v>325571</v>
      </c>
      <c r="E1776" s="8" t="n">
        <v>42674</v>
      </c>
      <c r="F1776" s="7" t="n">
        <v>5</v>
      </c>
      <c r="G1776" s="7" t="inlineStr">
        <is>
          <t>I made this tonight and it was really good. I halved the recipe so I have two loaves. I cooked one right away and the other dough is in the refrigerator for tomorrow. I'm interested in seeing if it tastes different. I'm very happy with it.</t>
        </is>
      </c>
    </row>
    <row r="1777">
      <c r="A1777" s="7" t="n">
        <v>70268</v>
      </c>
      <c r="B1777" s="7" t="n">
        <v>897178</v>
      </c>
      <c r="C1777" s="7" t="n">
        <v>1352944</v>
      </c>
      <c r="D1777" s="7" t="n">
        <v>87105</v>
      </c>
      <c r="E1777" s="8" t="n">
        <v>40054</v>
      </c>
      <c r="F1777" s="7" t="n">
        <v>5</v>
      </c>
      <c r="G1777" s="7" t="inlineStr">
        <is>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is>
      </c>
    </row>
    <row r="1778">
      <c r="A1778" s="7" t="n">
        <v>122944</v>
      </c>
      <c r="B1778" s="7" t="n">
        <v>49789</v>
      </c>
      <c r="C1778" s="7" t="n">
        <v>237951</v>
      </c>
      <c r="D1778" s="7" t="n">
        <v>84583</v>
      </c>
      <c r="E1778" s="8" t="n">
        <v>39002</v>
      </c>
      <c r="F1778" s="7" t="n">
        <v>4</v>
      </c>
      <c r="G1778" s="7" t="inlineStr">
        <is>
          <t>I loved this, but my husband was unenthusiastic about it.  He is a purist (just salt and pepper)about rutabaga, though, so I should have known he wouldn't like it.  I thought the orange juice and ginger really enhanced the flavor.</t>
        </is>
      </c>
    </row>
    <row r="1779">
      <c r="A1779" s="7" t="n">
        <v>106322</v>
      </c>
      <c r="B1779" s="7" t="n">
        <v>1068121</v>
      </c>
      <c r="C1779" s="7" t="n">
        <v>53664</v>
      </c>
      <c r="D1779" s="7" t="n">
        <v>32142</v>
      </c>
      <c r="E1779" s="8" t="n">
        <v>37547</v>
      </c>
      <c r="F1779" s="7" t="n">
        <v>5</v>
      </c>
      <c r="G1779" s="7" t="inlineStr">
        <is>
          <t xml:space="preserve">Well I have to give this recipe my highest comment: My Kids like it! </t>
        </is>
      </c>
    </row>
    <row r="1780">
      <c r="A1780" s="7" t="n">
        <v>9925</v>
      </c>
      <c r="B1780" s="7" t="n">
        <v>246</v>
      </c>
      <c r="C1780" s="7" t="n">
        <v>487088</v>
      </c>
      <c r="D1780" s="7" t="n">
        <v>373842</v>
      </c>
      <c r="E1780" s="8" t="n">
        <v>41308</v>
      </c>
      <c r="F1780" s="7" t="n">
        <v>5</v>
      </c>
      <c r="G1780" s="7" t="inlineStr">
        <is>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is>
      </c>
    </row>
    <row r="1781">
      <c r="A1781" s="7" t="n">
        <v>86050</v>
      </c>
      <c r="B1781" s="7" t="n">
        <v>139127</v>
      </c>
      <c r="C1781" s="7" t="n">
        <v>246844</v>
      </c>
      <c r="D1781" s="7" t="n">
        <v>288015</v>
      </c>
      <c r="E1781" s="8" t="n">
        <v>39559</v>
      </c>
      <c r="F1781" s="7" t="n">
        <v>4</v>
      </c>
      <c r="G1781" s="7" t="inlineStr">
        <is>
          <t>This is quick and easy and something everyone liked. We liked it warm and at room temperature so it would be great for get togethers where it might sit out for a while. I might try adding some onions or eggs or something as there isn't a lot of contrast with the texture and flavors.    Also might try using spicy sausage.</t>
        </is>
      </c>
    </row>
    <row r="1782">
      <c r="A1782" s="7" t="n">
        <v>2</v>
      </c>
      <c r="B1782" s="7" t="n">
        <v>187037</v>
      </c>
      <c r="C1782" s="7" t="n">
        <v>400708</v>
      </c>
      <c r="D1782" s="7" t="n">
        <v>252013</v>
      </c>
      <c r="E1782" s="8" t="n">
        <v>39457</v>
      </c>
      <c r="F1782" s="7" t="n">
        <v>4</v>
      </c>
      <c r="G1782" s="7" t="inlineStr">
        <is>
          <t>Very nice breakfast HH, easy to make and yummy with fresh hot coffe.  Instead of toast I served on recipe #97694 by Paula G that I had made earlier and turned out great.  This will be a regular in our house - even DH loved them.</t>
        </is>
      </c>
    </row>
    <row r="1783">
      <c r="A1783" s="7" t="n">
        <v>27760</v>
      </c>
      <c r="B1783" s="7" t="n">
        <v>519917</v>
      </c>
      <c r="C1783" s="7" t="n">
        <v>173579</v>
      </c>
      <c r="D1783" s="7" t="n">
        <v>517313</v>
      </c>
      <c r="E1783" s="8" t="n">
        <v>41946</v>
      </c>
      <c r="F1783" s="7" t="n">
        <v>5</v>
      </c>
      <c r="G1783" s="7" t="inlineStr">
        <is>
          <t>This was wonderful.  My whole family enjoyed it.  Thanks for posting.</t>
        </is>
      </c>
    </row>
    <row r="1784">
      <c r="A1784" s="7" t="n">
        <v>113282</v>
      </c>
      <c r="B1784" s="7" t="n">
        <v>283934</v>
      </c>
      <c r="C1784" s="7" t="n">
        <v>52381</v>
      </c>
      <c r="D1784" s="7" t="n">
        <v>26017</v>
      </c>
      <c r="E1784" s="8" t="n">
        <v>37576</v>
      </c>
      <c r="F1784" s="7" t="n">
        <v>5</v>
      </c>
      <c r="G1784" s="7" t="inlineStr">
        <is>
          <t>a very rich  and moist cake, I did add some lemon juice and it turned out really great thank you for this great recipe !!!!</t>
        </is>
      </c>
    </row>
    <row r="1785">
      <c r="A1785" s="7" t="n">
        <v>23967</v>
      </c>
      <c r="B1785" s="7" t="n">
        <v>462680</v>
      </c>
      <c r="C1785" s="7" t="n">
        <v>532785</v>
      </c>
      <c r="D1785" s="7" t="n">
        <v>142524</v>
      </c>
      <c r="E1785" s="8" t="n">
        <v>39943</v>
      </c>
      <c r="F1785" s="7" t="n">
        <v>5</v>
      </c>
      <c r="G1785" s="7" t="inlineStr">
        <is>
          <t>GREAT, WONDERFUL, YUMMY! I made this yesterday morning for my 3 year old...we both loved it. Tasted just like the chocolate gravy my mom used to make me every Saturday morning. Thanks SO MUCH for posting this.</t>
        </is>
      </c>
    </row>
    <row r="1786">
      <c r="A1786" s="7" t="n">
        <v>28477</v>
      </c>
      <c r="B1786" s="7" t="n">
        <v>275942</v>
      </c>
      <c r="C1786" s="7" t="n">
        <v>12009914</v>
      </c>
      <c r="D1786" s="7" t="n">
        <v>524984</v>
      </c>
      <c r="E1786" s="8" t="n">
        <v>42339</v>
      </c>
      <c r="F1786" s="7" t="n">
        <v>5</v>
      </c>
      <c r="G1786" s="7" t="inlineStr">
        <is>
          <t>Love it!  The sausage, the egg, the pasta, the sauce, YUM!</t>
        </is>
      </c>
    </row>
    <row r="1787">
      <c r="A1787" s="7" t="n">
        <v>48306</v>
      </c>
      <c r="B1787" s="7" t="n">
        <v>83871</v>
      </c>
      <c r="C1787" s="7" t="n">
        <v>585379</v>
      </c>
      <c r="D1787" s="7" t="n">
        <v>317798</v>
      </c>
      <c r="E1787" s="8" t="n">
        <v>39797</v>
      </c>
      <c r="F1787" s="7" t="n">
        <v>5</v>
      </c>
      <c r="G1787" s="7" t="inlineStr">
        <is>
          <t>thank you for having a great tasting recipe that i didnt have to use a crock pot for. this has become my favorite pot roast hands down.</t>
        </is>
      </c>
    </row>
    <row r="1788">
      <c r="A1788" s="7" t="n">
        <v>49189</v>
      </c>
      <c r="B1788" s="7" t="n">
        <v>587856</v>
      </c>
      <c r="C1788" s="7" t="n">
        <v>350750</v>
      </c>
      <c r="D1788" s="7" t="n">
        <v>73062</v>
      </c>
      <c r="E1788" s="8" t="n">
        <v>40995</v>
      </c>
      <c r="F1788" s="7" t="n">
        <v>5</v>
      </c>
      <c r="G1788" s="7" t="inlineStr">
        <is>
          <t>Tasty! The family gobbled these up.  Thank you!</t>
        </is>
      </c>
    </row>
    <row r="1789">
      <c r="A1789" s="7" t="n">
        <v>20300</v>
      </c>
      <c r="B1789" s="7" t="n">
        <v>604871</v>
      </c>
      <c r="C1789" s="7" t="n">
        <v>2739692</v>
      </c>
      <c r="D1789" s="7" t="n">
        <v>75800</v>
      </c>
      <c r="E1789" s="8" t="n">
        <v>42750</v>
      </c>
      <c r="F1789" s="7" t="n">
        <v>2</v>
      </c>
      <c r="G1789" s="7" t="inlineStr">
        <is>
          <t>I found this dish to be very bland. The vegetables and lentils just can't carry if off by themselves and there's very little seasoning called for. Salt, garlic, and bay leaves might do the trick.</t>
        </is>
      </c>
    </row>
    <row r="1790">
      <c r="A1790" s="7" t="n">
        <v>39086</v>
      </c>
      <c r="B1790" s="7" t="n">
        <v>404972</v>
      </c>
      <c r="C1790" s="7" t="n">
        <v>465829</v>
      </c>
      <c r="D1790" s="7" t="n">
        <v>194908</v>
      </c>
      <c r="E1790" s="8" t="n">
        <v>39756</v>
      </c>
      <c r="F1790" s="7" t="n">
        <v>5</v>
      </c>
      <c r="G1790" s="7" t="inlineStr">
        <is>
          <t>I used this method for making your Recipe #49853. Perfect and so simple. Thanks! :)</t>
        </is>
      </c>
    </row>
    <row r="1791">
      <c r="A1791" t="n">
        <v>116999</v>
      </c>
      <c r="B1791" t="n">
        <v>346423</v>
      </c>
      <c r="C1791" t="n">
        <v>2002147456</v>
      </c>
      <c r="D1791" t="n">
        <v>406974</v>
      </c>
      <c r="E1791" s="1" t="n">
        <v>43230</v>
      </c>
      <c r="F1791" t="n">
        <v>5</v>
      </c>
      <c r="G1791" t="inlineStr">
        <is>
          <t>Excellent! I've made different versions a number of times but this was by far the best one! Kids &amp;amp; husband quite pleased! I did add a layer of fresh mozzarella medallions &amp;amp; used organic heirloom tomatoes, served w/some garlicky angel hair pasta. Winning!</t>
        </is>
      </c>
    </row>
    <row r="1792">
      <c r="A1792" s="7" t="n">
        <v>96549</v>
      </c>
      <c r="B1792" s="7" t="n">
        <v>797534</v>
      </c>
      <c r="C1792" s="7" t="n">
        <v>1639635</v>
      </c>
      <c r="D1792" s="7" t="n">
        <v>95117</v>
      </c>
      <c r="E1792" s="8" t="n">
        <v>40352</v>
      </c>
      <c r="F1792" s="7" t="n">
        <v>3</v>
      </c>
      <c r="G1792" s="7" t="inlineStr">
        <is>
          <t>The flavor and moistness was good but it was swimming in a sea of mayonaise. It looked so milky that my children, who love bluefish, refused to eat it. I had to stick it back on the grill without the tin foil and grill off the mayo. That wasn't pretty because it was cooked and it left lots of small chunks on the grill. I always use mayo on my bluefish but it burns off while grilling.</t>
        </is>
      </c>
    </row>
    <row r="1793">
      <c r="A1793" t="n">
        <v>4545</v>
      </c>
      <c r="B1793" t="n">
        <v>133411</v>
      </c>
      <c r="C1793" t="n">
        <v>428885</v>
      </c>
      <c r="D1793" t="n">
        <v>24153</v>
      </c>
      <c r="E1793" s="1" t="n">
        <v>39873</v>
      </c>
      <c r="F1793" t="n">
        <v>5</v>
      </c>
      <c r="G1793" t="inlineStr">
        <is>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is>
      </c>
    </row>
    <row r="1794">
      <c r="A1794" s="7" t="n">
        <v>41944</v>
      </c>
      <c r="B1794" s="7" t="n">
        <v>1074684</v>
      </c>
      <c r="C1794" s="7" t="n">
        <v>801657</v>
      </c>
      <c r="D1794" s="7" t="n">
        <v>135350</v>
      </c>
      <c r="E1794" s="8" t="n">
        <v>40868</v>
      </c>
      <c r="F1794" s="7" t="n">
        <v>5</v>
      </c>
      <c r="G1794" s="7" t="inlineStr">
        <is>
          <t>This is excellent!  I started making this 2 years ago for Easter dinner and I now must make it for every holiday.  Everyone loves it!  It does take a long time to make the sauce, but it is definitely worth it.  I don't use very expensive cheese but I always use extra sharp cheddar.  Thanksgiving this year is going to be scaled down for our family and I bought quite a few side dishes pre-made (sweet potato and corn casserole) but I will be making this recipe.  There really is NO substitution for this mac-n-cheese!</t>
        </is>
      </c>
    </row>
    <row r="1795">
      <c r="A1795" s="7" t="n">
        <v>60607</v>
      </c>
      <c r="B1795" s="7" t="n">
        <v>972648</v>
      </c>
      <c r="C1795" s="7" t="n">
        <v>424680</v>
      </c>
      <c r="D1795" s="7" t="n">
        <v>407740</v>
      </c>
      <c r="E1795" s="8" t="n">
        <v>40292</v>
      </c>
      <c r="F1795" s="7" t="n">
        <v>5</v>
      </c>
      <c r="G1795" s="7" t="inlineStr">
        <is>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is>
      </c>
    </row>
    <row r="1796">
      <c r="A1796" s="7" t="n">
        <v>84267</v>
      </c>
      <c r="B1796" s="7" t="n">
        <v>948517</v>
      </c>
      <c r="C1796" s="7" t="n">
        <v>1072593</v>
      </c>
      <c r="D1796" s="7" t="n">
        <v>209177</v>
      </c>
      <c r="E1796" s="8" t="n">
        <v>42269</v>
      </c>
      <c r="F1796" s="7" t="n">
        <v>5</v>
      </c>
      <c r="G1796" s="7" t="inlineStr">
        <is>
          <t>Love a mostly pantry recipe because my empty refrigerator mocks me.</t>
        </is>
      </c>
    </row>
    <row r="1797">
      <c r="A1797" s="7" t="n">
        <v>56021</v>
      </c>
      <c r="B1797" s="7" t="n">
        <v>297153</v>
      </c>
      <c r="C1797" s="7" t="n">
        <v>116643</v>
      </c>
      <c r="D1797" s="7" t="n">
        <v>26378</v>
      </c>
      <c r="E1797" s="8" t="n">
        <v>37995</v>
      </c>
      <c r="F1797" s="7" t="n">
        <v>5</v>
      </c>
      <c r="G1797" s="7" t="inlineStr">
        <is>
          <t>Great flavor and very very moist and juicy!  I also added bell pepper and mushrooms.  Easy to make, easy to clean up, wonderful to eat.</t>
        </is>
      </c>
    </row>
    <row r="1798">
      <c r="A1798" s="7" t="n">
        <v>119214</v>
      </c>
      <c r="B1798" s="7" t="n">
        <v>637530</v>
      </c>
      <c r="C1798" s="7" t="n">
        <v>1432815</v>
      </c>
      <c r="D1798" s="7" t="n">
        <v>78622</v>
      </c>
      <c r="E1798" s="8" t="n">
        <v>40552</v>
      </c>
      <c r="F1798" s="7" t="n">
        <v>2</v>
      </c>
      <c r="G1798" s="7" t="inlineStr">
        <is>
          <t>I was looking for a recipe to make stuffed cabbage just like my mom used to and this wasn't it.</t>
        </is>
      </c>
    </row>
    <row r="1799">
      <c r="A1799" s="7" t="n">
        <v>111084</v>
      </c>
      <c r="B1799" s="7" t="n">
        <v>265931</v>
      </c>
      <c r="C1799" s="7" t="n">
        <v>1930491</v>
      </c>
      <c r="D1799" s="7" t="n">
        <v>107786</v>
      </c>
      <c r="E1799" s="8" t="n">
        <v>40706</v>
      </c>
      <c r="F1799" s="7" t="n">
        <v>5</v>
      </c>
      <c r="G1799" s="7" t="inlineStr">
        <is>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is>
      </c>
    </row>
    <row r="1800">
      <c r="A1800" s="7" t="n">
        <v>28684</v>
      </c>
      <c r="B1800" s="7" t="n">
        <v>205006</v>
      </c>
      <c r="C1800" s="7" t="n">
        <v>225114</v>
      </c>
      <c r="D1800" s="7" t="n">
        <v>78938</v>
      </c>
      <c r="E1800" s="8" t="n">
        <v>40892</v>
      </c>
      <c r="F1800" s="7" t="n">
        <v>5</v>
      </c>
      <c r="G1800" s="7" t="inlineStr">
        <is>
          <t>These were very good, not exactly like cracker barrel, but close.  I drained the beans, and replaced the liquid with chicken broth, that was the only change I made.  Edited to say that these were excellent, but only after they sat for two days in the refrigerator.  They must be made ahead of time and left to sit, and then they are the best ever.</t>
        </is>
      </c>
    </row>
    <row r="1801">
      <c r="A1801" s="7" t="n">
        <v>18083</v>
      </c>
      <c r="B1801" s="7" t="n">
        <v>774306</v>
      </c>
      <c r="C1801" s="7" t="n">
        <v>2000857842</v>
      </c>
      <c r="D1801" s="7" t="n">
        <v>128956</v>
      </c>
      <c r="E1801" s="8" t="n">
        <v>42408</v>
      </c>
      <c r="F1801" s="7" t="n">
        <v>5</v>
      </c>
      <c r="G1801" s="7" t="inlineStr">
        <is>
          <t>This is absolutely delicious and so flavorful!  Zero points and great taste, best of both worlds.  I used vegetable broth and really liked the flavor.  Will be making this often.</t>
        </is>
      </c>
    </row>
    <row r="1802">
      <c r="A1802" s="7" t="n">
        <v>109237</v>
      </c>
      <c r="B1802" s="7" t="n">
        <v>183053</v>
      </c>
      <c r="C1802" s="7" t="n">
        <v>116429</v>
      </c>
      <c r="D1802" s="7" t="n">
        <v>225645</v>
      </c>
      <c r="E1802" s="8" t="n">
        <v>40443</v>
      </c>
      <c r="F1802" s="7" t="n">
        <v>5</v>
      </c>
      <c r="G1802" s="7" t="inlineStr">
        <is>
          <t>Sooo tasty!&lt;br/&gt;I made this for the potluck tomorrow, but I couldn't help but steal a little bit after tossing it all together. I think I'll be making this again for sure, probably to keep on hand for school lunches. &lt;br/&gt;The only change I made was that I had Peanut Butter Co. bran "The Heat is On" peanut butter which I used in place of the regular. I dropped the pepper flakes from the recipe sop it wasn't fire noodles. Also didn't use any sesame seeds on top. (though I might next time. just toast them up before hand)</t>
        </is>
      </c>
    </row>
    <row r="1803">
      <c r="A1803" s="7" t="n">
        <v>56532</v>
      </c>
      <c r="B1803" s="7" t="n">
        <v>868540</v>
      </c>
      <c r="C1803" s="7" t="n">
        <v>183445</v>
      </c>
      <c r="D1803" s="7" t="n">
        <v>53503</v>
      </c>
      <c r="E1803" s="8" t="n">
        <v>39272</v>
      </c>
      <c r="F1803" s="7" t="n">
        <v>5</v>
      </c>
      <c r="G1803" s="7" t="inlineStr">
        <is>
          <t>This was great!  I marinated red onion, zucchini and red peppers.  Will definitely add this recipe to my summertime "make every week" list!</t>
        </is>
      </c>
    </row>
    <row r="1804" ht="255" customHeight="1">
      <c r="A1804" s="7" t="n">
        <v>114431</v>
      </c>
      <c r="B1804" s="7" t="n">
        <v>741515</v>
      </c>
      <c r="C1804" s="7" t="n">
        <v>78260</v>
      </c>
      <c r="D1804" s="7" t="n">
        <v>21220</v>
      </c>
      <c r="E1804" s="8" t="n">
        <v>37697</v>
      </c>
      <c r="F1804" s="7" t="n">
        <v>5</v>
      </c>
      <c r="G1804" s="9" t="inlineStr">
        <is>
          <t>very good!  i used veg broth instead (vegitarian) real shreded cheddar and added parsley.  :)_x000D_
_x000D_
*very* easy to make.  :D</t>
        </is>
      </c>
    </row>
    <row r="1805">
      <c r="A1805" s="7" t="n">
        <v>11912</v>
      </c>
      <c r="B1805" s="7" t="n">
        <v>111147</v>
      </c>
      <c r="C1805" s="7" t="n">
        <v>121985</v>
      </c>
      <c r="D1805" s="7" t="n">
        <v>109330</v>
      </c>
      <c r="E1805" s="8" t="n">
        <v>38381</v>
      </c>
      <c r="F1805" s="7" t="n">
        <v>5</v>
      </c>
      <c r="G1805" s="7" t="inlineStr">
        <is>
          <t>Great recipe, I loved the addition of cayenne pepper becuase it gave it an unexpected kick.  I added a marshmellow as garnish and really enjoyed it.  Thanks.</t>
        </is>
      </c>
    </row>
    <row r="1806">
      <c r="A1806" s="7" t="n">
        <v>120541</v>
      </c>
      <c r="B1806" s="7" t="n">
        <v>641336</v>
      </c>
      <c r="C1806" s="7" t="n">
        <v>82648</v>
      </c>
      <c r="D1806" s="7" t="n">
        <v>44124</v>
      </c>
      <c r="E1806" s="8" t="n">
        <v>38409</v>
      </c>
      <c r="F1806" s="7" t="n">
        <v>4</v>
      </c>
      <c r="G1806" s="7" t="inlineStr">
        <is>
          <t>Very good! I used 1/2 the sugar that was called for and still found it a bit too sweet. May cut the sugar in half again next time.</t>
        </is>
      </c>
    </row>
    <row r="1807">
      <c r="A1807" s="7" t="n">
        <v>5352</v>
      </c>
      <c r="B1807" s="7" t="n">
        <v>656564</v>
      </c>
      <c r="C1807" s="7" t="n">
        <v>6331</v>
      </c>
      <c r="D1807" s="7" t="n">
        <v>27208</v>
      </c>
      <c r="E1807" s="8" t="n">
        <v>39308</v>
      </c>
      <c r="F1807" s="7" t="n">
        <v>5</v>
      </c>
      <c r="G1807" s="7" t="inlineStr">
        <is>
          <t>Made this for dinner today and wow, it was sooo good! My 4-year old (somewhat picky eater) loved it and even had seconds. I only used half of the Ranch dressing mix as suggested, but still found it had a very strong taste. I added some sugar and half and half to it and it made it even better. I will have to adjust the amount of dry mix, though, since it was still too salty for my husband.  Update: Just made this again, but used 1 pkg gravy mix, and 1/2 pkg each of Ranch dressing mix and Italian dressing mix. Wow, sooo much better (not as salty). Definitely a keeper!!</t>
        </is>
      </c>
    </row>
    <row r="1808">
      <c r="A1808" s="7" t="n">
        <v>70514</v>
      </c>
      <c r="B1808" s="7" t="n">
        <v>466159</v>
      </c>
      <c r="C1808" s="7" t="n">
        <v>201581</v>
      </c>
      <c r="D1808" s="7" t="n">
        <v>17118</v>
      </c>
      <c r="E1808" s="8" t="n">
        <v>40584</v>
      </c>
      <c r="F1808" s="7" t="n">
        <v>5</v>
      </c>
      <c r="G1808" s="7" t="inlineStr">
        <is>
          <t>I whipped this up with my stick blender and they turned out light and fluffy. Great with a bagel thin for breakfast. I love these easy and simple recipes! Thanks for sharing Sharlene. Made for Zaar Cookbook Tag.</t>
        </is>
      </c>
    </row>
    <row r="1809">
      <c r="A1809" s="7" t="n">
        <v>26457</v>
      </c>
      <c r="B1809" s="7" t="n">
        <v>393308</v>
      </c>
      <c r="C1809" s="7" t="n">
        <v>136997</v>
      </c>
      <c r="D1809" s="7" t="n">
        <v>89923</v>
      </c>
      <c r="E1809" s="8" t="n">
        <v>38105</v>
      </c>
      <c r="F1809" s="7" t="n">
        <v>4</v>
      </c>
      <c r="G1809" s="7" t="inlineStr">
        <is>
          <t>We enjoyed this simple dish very much. I used old cheddar instead since I didn't have muenster. Very tasty.</t>
        </is>
      </c>
    </row>
    <row r="1810">
      <c r="A1810" s="7" t="n">
        <v>34096</v>
      </c>
      <c r="B1810" s="7" t="n">
        <v>910186</v>
      </c>
      <c r="C1810" s="7" t="n">
        <v>212497</v>
      </c>
      <c r="D1810" s="7" t="n">
        <v>147494</v>
      </c>
      <c r="E1810" s="8" t="n">
        <v>41189</v>
      </c>
      <c r="F1810" s="7" t="n">
        <v>5</v>
      </c>
      <c r="G1810" s="7" t="inlineStr">
        <is>
          <t>I can't believe I forgot to rate this recipe!  I made it on a camping trip that we took over the summer and everyone raved and raved over it.  I used boneless pork country ribs and they got tender and all but fell apart after it cooked.  I made it as instructed and had NO PROBLEMS with blandness.  We served it over couscous with crusty bread to sop up all of the delicious sauce that came with it.  Thanks for posting!</t>
        </is>
      </c>
    </row>
    <row r="1811">
      <c r="A1811" s="7" t="n">
        <v>40013</v>
      </c>
      <c r="B1811" s="7" t="n">
        <v>54835</v>
      </c>
      <c r="C1811" s="7" t="n">
        <v>1618822</v>
      </c>
      <c r="D1811" s="7" t="n">
        <v>52035</v>
      </c>
      <c r="E1811" s="8" t="n">
        <v>40526</v>
      </c>
      <c r="F1811" s="7" t="n">
        <v>3</v>
      </c>
      <c r="G1811" s="7" t="inlineStr">
        <is>
          <t>Messy and time consuming but everyone says they are delicious. And they look beautiful. I had a hard time mixing the oreo crumbs and the cream cheese together.  Then I discovered that I should put the oreos in a food processor to grind them up fine.  Then I put them in a mixing bowl and used a hand mixer to mix in the cream cheese.  That worked better. I couldnt find almond bark so I tried white coholate chiips melted.  That did not work.  So I went on a wild goose chase and finally found almond bark in Walmart.  That worked much better.  Dipping them was a pain and they kind of crumbled little bits into the liquid almond bark. They looked  very pretty but to me this was a whole lot of work.</t>
        </is>
      </c>
    </row>
    <row r="1812">
      <c r="A1812" s="7" t="n">
        <v>64429</v>
      </c>
      <c r="B1812" s="7" t="n">
        <v>786679</v>
      </c>
      <c r="C1812" s="7" t="n">
        <v>175727</v>
      </c>
      <c r="D1812" s="7" t="n">
        <v>48202</v>
      </c>
      <c r="E1812" s="8" t="n">
        <v>41372</v>
      </c>
      <c r="F1812" s="7" t="n">
        <v>5</v>
      </c>
      <c r="G1812" s="7" t="inlineStr">
        <is>
          <t>!!!!!!!!!!!!!!!!!!!!!!!!!!!!!!!!!!!!!!!!!!!!!!!!!!!!!!!!!!!!!!&amp;lt;br/&amp;gt;                         !!!!!!!!!!!!!!!!!!!!!!!!!!!!!!!!!!!!!!!!!!!!!!!!!!!!!!!!!!!&amp;lt;br/&amp;gt;                                                            &amp;lt;br/&amp;gt;                                                 !!!!!!!!!!!!!!!!!!!!!!!!!!!!!!!!!!!!!!!!!!!!!!!</t>
        </is>
      </c>
    </row>
    <row r="1813">
      <c r="A1813" s="7" t="n">
        <v>85296</v>
      </c>
      <c r="B1813" s="7" t="n">
        <v>521381</v>
      </c>
      <c r="C1813" s="7" t="n">
        <v>779699</v>
      </c>
      <c r="D1813" s="7" t="n">
        <v>351891</v>
      </c>
      <c r="E1813" s="8" t="n">
        <v>40247</v>
      </c>
      <c r="F1813" s="7" t="n">
        <v>5</v>
      </c>
      <c r="G1813" s="7" t="inlineStr">
        <is>
          <t>Love these! Made the batter last night and kept in the fridge then baked them up fresh this morning to take into work! Everyone loved them! I did sub out the butter with 1/2 cup of no sugar added applesauce. This made 12 large muffins for me! Thanks for posting brooke! [Made for Holiday Tag March 2010]</t>
        </is>
      </c>
    </row>
    <row r="1814">
      <c r="A1814" s="7" t="n">
        <v>97933</v>
      </c>
      <c r="B1814" s="7" t="n">
        <v>111657</v>
      </c>
      <c r="C1814" s="7" t="n">
        <v>2001508337</v>
      </c>
      <c r="D1814" s="7" t="n">
        <v>446854</v>
      </c>
      <c r="E1814" s="8" t="n">
        <v>42916</v>
      </c>
      <c r="F1814" s="7" t="n">
        <v>0</v>
      </c>
      <c r="G1814" s="7" t="inlineStr">
        <is>
          <t>My Mother used to make this in the 1960's. She used bone in pork chops but she made it a lot easier. She'd butter bottom of Pyrex, layer thinly sliced potatoes, then onions, s &amp;amp; p, then pork chops not browned, then repeat with potatoes and onions, s &amp;amp; p. Then she'd pour 2-3 cans of evaporated milk to cover potatoes. Cover and bake. It was delicious and full of flavor. I make it the same but I use boneless pork loin chops and sprinkle some thyme. Yummy!!!</t>
        </is>
      </c>
    </row>
    <row r="1815" ht="409.5" customHeight="1">
      <c r="A1815" s="7" t="n">
        <v>95182</v>
      </c>
      <c r="B1815" s="7" t="n">
        <v>411416</v>
      </c>
      <c r="C1815" s="7" t="n">
        <v>516405</v>
      </c>
      <c r="D1815" s="7" t="n">
        <v>227921</v>
      </c>
      <c r="E1815" s="8" t="n">
        <v>39617</v>
      </c>
      <c r="F1815" s="7" t="n">
        <v>4</v>
      </c>
      <c r="G1815" s="9" t="inlineStr">
        <is>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is>
      </c>
    </row>
    <row r="1816">
      <c r="A1816" s="7" t="n">
        <v>46359</v>
      </c>
      <c r="B1816" s="7" t="n">
        <v>1121549</v>
      </c>
      <c r="C1816" s="7" t="n">
        <v>911076</v>
      </c>
      <c r="D1816" s="7" t="n">
        <v>100505</v>
      </c>
      <c r="E1816" s="8" t="n">
        <v>39663</v>
      </c>
      <c r="F1816" s="7" t="n">
        <v>0</v>
      </c>
      <c r="G1816" s="7" t="inlineStr">
        <is>
          <t>This recipe did not work at all. It was aweful. looked good going in but was like sawdust. I threw it out. My mom used to make this cake and I was searching for this recipe. What a disapointment.</t>
        </is>
      </c>
    </row>
    <row r="1817">
      <c r="A1817" s="7" t="n">
        <v>85342</v>
      </c>
      <c r="B1817" s="7" t="n">
        <v>269921</v>
      </c>
      <c r="C1817" s="7" t="n">
        <v>490200</v>
      </c>
      <c r="D1817" s="7" t="n">
        <v>32880</v>
      </c>
      <c r="E1817" s="8" t="n">
        <v>39336</v>
      </c>
      <c r="F1817" s="7" t="n">
        <v>5</v>
      </c>
      <c r="G1817" s="7" t="inlineStr">
        <is>
          <t>This is GREAT! I've made it twice now and it works wonderfully for a meal replacement if you're on the go (with 2 under 2, that describes my life). Delicious and easy!</t>
        </is>
      </c>
    </row>
    <row r="1818">
      <c r="A1818" t="n">
        <v>24038</v>
      </c>
      <c r="B1818" t="n">
        <v>938380</v>
      </c>
      <c r="C1818" t="n">
        <v>1269015</v>
      </c>
      <c r="D1818" t="n">
        <v>82102</v>
      </c>
      <c r="E1818" s="1" t="n">
        <v>40183</v>
      </c>
      <c r="F1818" t="n">
        <v>0</v>
      </c>
      <c r="G1818" t="inlineStr">
        <is>
          <t>I used this as inspiration for a tofu recipe, and it was incredible -- a nice change from the usual Asian-style tofu recipe. Thanks for sharing, Kittencal!</t>
        </is>
      </c>
    </row>
    <row r="1819" ht="409.5" customHeight="1">
      <c r="A1819" s="7" t="n">
        <v>6711</v>
      </c>
      <c r="B1819" s="7" t="n">
        <v>313932</v>
      </c>
      <c r="C1819" s="7" t="n">
        <v>60231</v>
      </c>
      <c r="D1819" s="7" t="n">
        <v>104242</v>
      </c>
      <c r="E1819" s="8" t="n">
        <v>38499</v>
      </c>
      <c r="F1819" s="7" t="n">
        <v>5</v>
      </c>
      <c r="G1819" s="9" t="inlineStr">
        <is>
          <t xml:space="preserve">These were great. I thought I'd make it easier on myself by using chicken tenders, but then I spent a lot of time removing the tendons.(don't like biting into those!)I changed nothing else, and we all decided we liked them best without dipping, though I had ranch and a horseradish dip to go along with them. I think this would also work well for breaded chicken sandwiches. We will be having these again - so easy to make._x000D_
</t>
        </is>
      </c>
    </row>
    <row r="1820">
      <c r="A1820" s="7" t="n">
        <v>10835</v>
      </c>
      <c r="B1820" s="7" t="n">
        <v>297816</v>
      </c>
      <c r="C1820" s="7" t="n">
        <v>118268</v>
      </c>
      <c r="D1820" s="7" t="n">
        <v>64468</v>
      </c>
      <c r="E1820" s="8" t="n">
        <v>39306</v>
      </c>
      <c r="F1820" s="7" t="n">
        <v>5</v>
      </c>
      <c r="G1820" s="7" t="inlineStr">
        <is>
          <t>I have given this recipe out twice already.  Even cantaloupe haters like this.  I made it as written, except for the nuts.  Thanks for sharing!</t>
        </is>
      </c>
    </row>
    <row r="1821">
      <c r="A1821" s="7" t="n">
        <v>41593</v>
      </c>
      <c r="B1821" s="7" t="n">
        <v>94702</v>
      </c>
      <c r="C1821" s="7" t="n">
        <v>1602992</v>
      </c>
      <c r="D1821" s="7" t="n">
        <v>361341</v>
      </c>
      <c r="E1821" s="8" t="n">
        <v>40304</v>
      </c>
      <c r="F1821" s="7" t="n">
        <v>5</v>
      </c>
      <c r="G1821" s="7" t="inlineStr">
        <is>
          <t>The BEST - I substituted some Jack Daniels for some of the Lemon &amp; Balsamic - SUPER !!</t>
        </is>
      </c>
    </row>
    <row r="1822">
      <c r="A1822" s="7" t="n">
        <v>37684</v>
      </c>
      <c r="B1822" s="7" t="n">
        <v>366500</v>
      </c>
      <c r="C1822" s="7" t="n">
        <v>1174937</v>
      </c>
      <c r="D1822" s="7" t="n">
        <v>280510</v>
      </c>
      <c r="E1822" s="8" t="n">
        <v>39958</v>
      </c>
      <c r="F1822" s="7" t="n">
        <v>5</v>
      </c>
      <c r="G1822" s="7" t="inlineStr">
        <is>
          <t>Delicious! These turned out moist and are really flavorful. The quinoa adds a nice crunch to the muffin and the texture was cake-like and satisfying. I will make these again and again because my husband and I loved them! Thanks for sharing!!</t>
        </is>
      </c>
    </row>
    <row r="1823">
      <c r="A1823" s="7" t="n">
        <v>60922</v>
      </c>
      <c r="B1823" s="7" t="n">
        <v>527903</v>
      </c>
      <c r="C1823" s="7" t="n">
        <v>772473</v>
      </c>
      <c r="D1823" s="7" t="n">
        <v>146470</v>
      </c>
      <c r="E1823" s="8" t="n">
        <v>39779</v>
      </c>
      <c r="F1823" s="7" t="n">
        <v>5</v>
      </c>
      <c r="G1823" s="7" t="inlineStr">
        <is>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is>
      </c>
    </row>
    <row r="1824">
      <c r="A1824" s="7" t="n">
        <v>14275</v>
      </c>
      <c r="B1824" s="7" t="n">
        <v>261653</v>
      </c>
      <c r="C1824" s="7" t="n">
        <v>132383</v>
      </c>
      <c r="D1824" s="7" t="n">
        <v>39880</v>
      </c>
      <c r="E1824" s="8" t="n">
        <v>39925</v>
      </c>
      <c r="F1824" s="7" t="n">
        <v>5</v>
      </c>
      <c r="G1824" s="7" t="inlineStr">
        <is>
          <t>I normally would only salt and peper a nice filet...however, we have some of those Omaha filets and I'm not too fond of them. This marinade made all the difference in the world.  It was great!</t>
        </is>
      </c>
    </row>
    <row r="1825">
      <c r="A1825" s="7" t="n">
        <v>67780</v>
      </c>
      <c r="B1825" s="7" t="n">
        <v>865622</v>
      </c>
      <c r="C1825" s="7" t="n">
        <v>206747</v>
      </c>
      <c r="D1825" s="7" t="n">
        <v>195881</v>
      </c>
      <c r="E1825" s="8" t="n">
        <v>40715</v>
      </c>
      <c r="F1825" s="7" t="n">
        <v>4</v>
      </c>
      <c r="G1825" s="7" t="inlineStr">
        <is>
          <t>DH trimmed out a beef tenderloin for steaks, and left a pile of chunks -- a tad less than 1 pound.  I followed the recipe and simmered for about 2 1/2 hours, and it was still juicy, so let it simmer another 30 minutes without the lid, and served with mashed potatoes.  Since the cut was more tender than the usual beef cubes, this almost melted in your mouth !  Very tasty -- will save to do again.  Thanks for posting !</t>
        </is>
      </c>
    </row>
    <row r="1826">
      <c r="A1826" s="7" t="n">
        <v>42040</v>
      </c>
      <c r="B1826" s="7" t="n">
        <v>163050</v>
      </c>
      <c r="C1826" s="7" t="n">
        <v>421374</v>
      </c>
      <c r="D1826" s="7" t="n">
        <v>9506</v>
      </c>
      <c r="E1826" s="8" t="n">
        <v>39090</v>
      </c>
      <c r="F1826" s="7" t="n">
        <v>4</v>
      </c>
      <c r="G1826" s="7" t="inlineStr">
        <is>
          <t>Very very good...will be making this again in the future! The taco seasoning is great! Puts a kick into the food! Thanks for sharing!</t>
        </is>
      </c>
    </row>
    <row r="1827">
      <c r="A1827" s="7" t="n">
        <v>74793</v>
      </c>
      <c r="B1827" s="7" t="n">
        <v>104740</v>
      </c>
      <c r="C1827" s="7" t="n">
        <v>166642</v>
      </c>
      <c r="D1827" s="7" t="n">
        <v>234216</v>
      </c>
      <c r="E1827" s="8" t="n">
        <v>39258</v>
      </c>
      <c r="F1827" s="7" t="n">
        <v>5</v>
      </c>
      <c r="G1827" s="7" t="inlineStr">
        <is>
          <t>I absolutely love the sweet salsa because I love pineapple and mango! I marinated the pork overnight and it came out so moist and flavorful. The list of ingredients may be long but most are everything I usually have on hand. This is really an excellent meal to show off to friends and family.</t>
        </is>
      </c>
    </row>
    <row r="1828">
      <c r="A1828" s="7" t="n">
        <v>124943</v>
      </c>
      <c r="B1828" s="7" t="n">
        <v>344457</v>
      </c>
      <c r="C1828" s="7" t="n">
        <v>68884</v>
      </c>
      <c r="D1828" s="7" t="n">
        <v>222188</v>
      </c>
      <c r="E1828" s="8" t="n">
        <v>40540</v>
      </c>
      <c r="F1828" s="7" t="n">
        <v>3</v>
      </c>
      <c r="G1828" s="7" t="inlineStr">
        <is>
          <t>I guess I'm a detractor %u2014 I found this frosting TOO stiff and too sweet. I piped it on cupcakes. Not my favorite!</t>
        </is>
      </c>
    </row>
    <row r="1829">
      <c r="A1829" s="7" t="n">
        <v>7315</v>
      </c>
      <c r="B1829" s="7" t="n">
        <v>510059</v>
      </c>
      <c r="C1829" s="7" t="n">
        <v>633520</v>
      </c>
      <c r="D1829" s="7" t="n">
        <v>89207</v>
      </c>
      <c r="E1829" s="8" t="n">
        <v>39491</v>
      </c>
      <c r="F1829" s="7" t="n">
        <v>5</v>
      </c>
      <c r="G1829" s="7" t="inlineStr">
        <is>
          <t>FANTASTIC! I don't usually like chocolate icing so I loved tha fact that I could adjust the chocolatiness of this :P So besides the fact that I blew the motor on my hand mixeer making this I love it :D</t>
        </is>
      </c>
    </row>
    <row r="1830">
      <c r="A1830" s="7" t="n">
        <v>75415</v>
      </c>
      <c r="B1830" s="7" t="n">
        <v>571789</v>
      </c>
      <c r="C1830" s="7" t="n">
        <v>130819</v>
      </c>
      <c r="D1830" s="7" t="n">
        <v>133912</v>
      </c>
      <c r="E1830" s="8" t="n">
        <v>38934</v>
      </c>
      <c r="F1830" s="7" t="n">
        <v>5</v>
      </c>
      <c r="G1830" s="7" t="inlineStr">
        <is>
          <t xml:space="preserve">I was looking for some low carb breakfast foods and since I love cauliflower I just had to give this a try. As it turned out everyone  enjoyed it!  What a delicious way to start the day! Not only to start the day but makes for a satisfying light lunch as well. Love finding new ideas to be making for breakfast. Thank you Panda Rose. </t>
        </is>
      </c>
    </row>
    <row r="1831">
      <c r="A1831" s="7" t="n">
        <v>2054</v>
      </c>
      <c r="B1831" s="7" t="n">
        <v>971947</v>
      </c>
      <c r="C1831" s="7" t="n">
        <v>353394</v>
      </c>
      <c r="D1831" s="7" t="n">
        <v>140878</v>
      </c>
      <c r="E1831" s="8" t="n">
        <v>39749</v>
      </c>
      <c r="F1831" s="7" t="n">
        <v>5</v>
      </c>
      <c r="G1831" s="7" t="inlineStr">
        <is>
          <t>This was so tender!  I can't believe how great it turned out.  I will use less pepper next time (for the kids' sake).  I did add 2 T of worcestershire and loved it!  Thank you!  Quick and easy, a keeper!</t>
        </is>
      </c>
    </row>
    <row r="1832">
      <c r="A1832" s="7" t="n">
        <v>82289</v>
      </c>
      <c r="B1832" s="7" t="n">
        <v>210587</v>
      </c>
      <c r="C1832" s="7" t="n">
        <v>946205</v>
      </c>
      <c r="D1832" s="7" t="n">
        <v>88753</v>
      </c>
      <c r="E1832" s="8" t="n">
        <v>40063</v>
      </c>
      <c r="F1832" s="7" t="n">
        <v>5</v>
      </c>
      <c r="G1832" s="7" t="inlineStr">
        <is>
          <t>Excellent idea!  We've always diluted beef meatloaf with rolled oats and used cottage cheese in lasagna, so this sounded great from the start.  We used 1.5 cups of  "Uncle Sam" wheat/flax cereal plus 1 cup of rolled oats, and left out the nuts completely.  We used one small can tomato paste, plus a splash of spicy barbeque sauce and a splash of Worchestershire sauce, and a bit of brown sugar.  Dried minced onions replaced fresh.  We don't like the preservatives in most onion soup mixes, so we added pinches of salt, pepper, cayenne, onion powder and garlic powder to taste.  One last change was to reduce the oil by half to 2 tablespoons of good olive oil.  (Without the nuts, you do need to use a little oil.) We stored the uncooked mixture in a plastic container overnight in the refrigerator to really blend the flavors and soften the grains; the liquids from the cottage cheese and sauces absorbed beautifully.  We baked the mixture in a greased loaf pan for 30 minutes, then topped it with 2 tablespoons of brown sugar to make a slightly sweet "crust" during the last 30 minutes of baking.  After it rested for 15 minutes, we sliced the loaf and served it with a simple potato gratin and steamed asparagus.  Absolutely delicious!    And, it's almost even better cold on a sandwich.   We're trying to reduce fats and cholesterols as we add fiber to our diets, so this will definitely be a repeat dish.  Thanks for posting!</t>
        </is>
      </c>
    </row>
    <row r="1833">
      <c r="A1833" s="7" t="n">
        <v>57097</v>
      </c>
      <c r="B1833" s="7" t="n">
        <v>17197</v>
      </c>
      <c r="C1833" s="7" t="n">
        <v>2002259910</v>
      </c>
      <c r="D1833" s="7" t="n">
        <v>32124</v>
      </c>
      <c r="E1833" s="8" t="n">
        <v>43340</v>
      </c>
      <c r="F1833" s="7" t="n">
        <v>5</v>
      </c>
      <c r="G1833" s="7" t="inlineStr">
        <is>
          <t>Perfect medium salsa recipe. I doubled the batch since i had so many tomatoes. I also added more cilantro since we love the fresh flavor. I will be making this for a long time in the future.</t>
        </is>
      </c>
    </row>
    <row r="1834">
      <c r="A1834" s="7" t="n">
        <v>79756</v>
      </c>
      <c r="B1834" s="7" t="n">
        <v>111939</v>
      </c>
      <c r="C1834" s="7" t="n">
        <v>883208</v>
      </c>
      <c r="D1834" s="7" t="n">
        <v>81347</v>
      </c>
      <c r="E1834" s="8" t="n">
        <v>39635</v>
      </c>
      <c r="F1834" s="7" t="n">
        <v>5</v>
      </c>
      <c r="G1834" s="7" t="inlineStr">
        <is>
          <t>Fabulous and so easy to make my 4 year old and 7 year old helped me make it.  I substituted 3/4 cup of chocolate chips for the nuts and my friends at work loved it!</t>
        </is>
      </c>
    </row>
    <row r="1835">
      <c r="A1835" s="7" t="n">
        <v>27872</v>
      </c>
      <c r="B1835" s="7" t="n">
        <v>718722</v>
      </c>
      <c r="C1835" s="7" t="n">
        <v>148068</v>
      </c>
      <c r="D1835" s="7" t="n">
        <v>102506</v>
      </c>
      <c r="E1835" s="8" t="n">
        <v>38703</v>
      </c>
      <c r="F1835" s="7" t="n">
        <v>5</v>
      </c>
      <c r="G1835" s="7" t="inlineStr">
        <is>
          <t>This was awesome! We all enjoyed this yummy one dish meal. DH and DS are still raving.  And how easy to put together!  Next time I am going to use more seasoning and also some fresh baby spinach to make it more of a "Florentine".</t>
        </is>
      </c>
    </row>
    <row r="1836">
      <c r="A1836" s="7" t="n">
        <v>96475</v>
      </c>
      <c r="B1836" s="7" t="n">
        <v>506095</v>
      </c>
      <c r="C1836" s="7" t="n">
        <v>290499</v>
      </c>
      <c r="D1836" s="7" t="n">
        <v>111103</v>
      </c>
      <c r="E1836" s="8" t="n">
        <v>38958</v>
      </c>
      <c r="F1836" s="7" t="n">
        <v>4</v>
      </c>
      <c r="G1836" s="7" t="inlineStr">
        <is>
          <t>This took me like five minutes to put together!  I forgot the salt, but despite my total lack of muffin skills these turned out great.  Not rubbery like other fat free or egg free muffins/breads I have tried.  Good vegan, but I can also see them good with cheese.  Thought about leaving out the seasoning, but I'm glad I didn't.  I'll be taking these for lunch.  Oh, by the way, I used mostly whole wheat flour.  I'm thinking these would be good as drop biscuits, too.</t>
        </is>
      </c>
    </row>
    <row r="1837">
      <c r="A1837" t="n">
        <v>125720</v>
      </c>
      <c r="B1837" t="n">
        <v>105842</v>
      </c>
      <c r="C1837" t="n">
        <v>839492</v>
      </c>
      <c r="D1837" t="n">
        <v>175988</v>
      </c>
      <c r="E1837" s="1" t="n">
        <v>42502</v>
      </c>
      <c r="F1837" t="n">
        <v>5</v>
      </c>
      <c r="G1837" t="inlineStr">
        <is>
          <t>These were amazing! I didn't have parsley or allspice &amp;amp; substituted oregano for basil (personal preference). I made the recipe for the meatballs (stuffing each meatball with mozzarella) and browned them on the stovetop, added the wine to deglaze the pan and poured jarred pasta sauce over top, simmered covered for a few hours. So good, the meatballs were so tender (the cheese disappeared, I simmered them a few hours). I also added a few sweet Italian sausage links I had on hand to the pan for variety. Everyone ate it up. Served over Angel hair pasta with fresh shredded Parmesan Romano on top. Thanks for sharing, this will be a repeat for sure! Note: I took mozzarella cheese sticks and cut them into small cubes placing a cube inside each meatball before browning.</t>
        </is>
      </c>
    </row>
    <row r="1838" ht="390" customHeight="1">
      <c r="A1838" s="7" t="n">
        <v>90324</v>
      </c>
      <c r="B1838" s="7" t="n">
        <v>1065904</v>
      </c>
      <c r="C1838" s="7" t="n">
        <v>55128</v>
      </c>
      <c r="D1838" s="7" t="n">
        <v>13707</v>
      </c>
      <c r="E1838" s="8" t="n">
        <v>39460</v>
      </c>
      <c r="F1838" s="7" t="n">
        <v>5</v>
      </c>
      <c r="G1838" s="9" t="inlineStr">
        <is>
          <t>Yummy!!!  The family loved it. (And I didn't even get to marinate it long enough.) Will make this again.  (Going to try it with drumsticks!!!) MMMmmmmmmmmmmmmmm!!!_x000D_
Thanks</t>
        </is>
      </c>
    </row>
    <row r="1839">
      <c r="A1839" s="7" t="n">
        <v>119836</v>
      </c>
      <c r="B1839" s="7" t="n">
        <v>612191</v>
      </c>
      <c r="C1839" s="7" t="n">
        <v>286710</v>
      </c>
      <c r="D1839" s="7" t="n">
        <v>105102</v>
      </c>
      <c r="E1839" s="8" t="n">
        <v>39712</v>
      </c>
      <c r="F1839" s="7" t="n">
        <v>5</v>
      </c>
      <c r="G1839" s="7" t="inlineStr">
        <is>
          <t>very good ribs, I can say these are the best ribs I've ever made</t>
        </is>
      </c>
    </row>
    <row r="1840">
      <c r="A1840" s="7" t="n">
        <v>98584</v>
      </c>
      <c r="B1840" s="7" t="n">
        <v>544296</v>
      </c>
      <c r="C1840" s="7" t="n">
        <v>89420</v>
      </c>
      <c r="D1840" s="7" t="n">
        <v>52190</v>
      </c>
      <c r="E1840" s="8" t="n">
        <v>38007</v>
      </c>
      <c r="F1840" s="7" t="n">
        <v>5</v>
      </c>
      <c r="G1840" s="7" t="inlineStr">
        <is>
          <t>I can rate this without cooking it because this is how I fixed, what I call my own version, for a lot of years. It really is so good, and I am glad to see that it finds approval.</t>
        </is>
      </c>
    </row>
    <row r="1841">
      <c r="A1841" s="7" t="n">
        <v>118590</v>
      </c>
      <c r="B1841" s="7" t="n">
        <v>691129</v>
      </c>
      <c r="C1841" s="7" t="n">
        <v>2002114260</v>
      </c>
      <c r="D1841" s="7" t="n">
        <v>431399</v>
      </c>
      <c r="E1841" s="8" t="n">
        <v>43205</v>
      </c>
      <c r="F1841" s="7" t="n">
        <v>5</v>
      </c>
      <c r="G1841" s="7" t="inlineStr">
        <is>
          <t>They taste better if you put sprinkles in them</t>
        </is>
      </c>
    </row>
    <row r="1842">
      <c r="A1842" s="7" t="n">
        <v>93869</v>
      </c>
      <c r="B1842" s="7" t="n">
        <v>789631</v>
      </c>
      <c r="C1842" s="7" t="n">
        <v>153188</v>
      </c>
      <c r="D1842" s="7" t="n">
        <v>319082</v>
      </c>
      <c r="E1842" s="8" t="n">
        <v>40372</v>
      </c>
      <c r="F1842" s="7" t="n">
        <v>5</v>
      </c>
      <c r="G1842" s="7" t="inlineStr">
        <is>
          <t>This was amazing!  I followed the recipe to the T.  I do agree with Chef #646279 it was more a sauce texture, but it was so dippable and finger licking!  This will definitely be made again.  Thanks for a very good main course for our dinner tonight!</t>
        </is>
      </c>
    </row>
    <row r="1843">
      <c r="A1843" s="7" t="n">
        <v>98088</v>
      </c>
      <c r="B1843" s="7" t="n">
        <v>601638</v>
      </c>
      <c r="C1843" s="7" t="n">
        <v>280271</v>
      </c>
      <c r="D1843" s="7" t="n">
        <v>152471</v>
      </c>
      <c r="E1843" s="8" t="n">
        <v>40660</v>
      </c>
      <c r="F1843" s="7" t="n">
        <v>5</v>
      </c>
      <c r="G1843" s="7" t="inlineStr">
        <is>
          <t>Excellent potato dish. I made as posted. Cooking the potatoes in the oven gives them a nice crisp skin which I just love. Once the potatoes are cooked this comes together quickly. It is just delicious. Thanks for posting. :)</t>
        </is>
      </c>
    </row>
    <row r="1844">
      <c r="A1844" s="7" t="n">
        <v>41008</v>
      </c>
      <c r="B1844" s="7" t="n">
        <v>715601</v>
      </c>
      <c r="C1844" s="7" t="n">
        <v>125388</v>
      </c>
      <c r="D1844" s="7" t="n">
        <v>176519</v>
      </c>
      <c r="E1844" s="8" t="n">
        <v>40118</v>
      </c>
      <c r="F1844" s="7" t="n">
        <v>5</v>
      </c>
      <c r="G1844" s="7" t="inlineStr">
        <is>
          <t>Found this little gem while looking for easy ways to punch up eggs. I used salsa of medium heat, which was just right for us.  I did not add the green onion since the salsa used already had onion in it.   After 15 minutes of baking, the yolks of my extra-large eggs were firm; I would suggest checking the eggs after about 10 minutes.  I like my yolks to be firm, so it was just right for me.  Served with corn tortillas that I wrapped in foil and warmed alongside the eggs in the oven.</t>
        </is>
      </c>
    </row>
    <row r="1845">
      <c r="A1845" s="7" t="n">
        <v>34115</v>
      </c>
      <c r="B1845" s="7" t="n">
        <v>135464</v>
      </c>
      <c r="C1845" s="7" t="n">
        <v>337246</v>
      </c>
      <c r="D1845" s="7" t="n">
        <v>110507</v>
      </c>
      <c r="E1845" s="8" t="n">
        <v>40223</v>
      </c>
      <c r="F1845" s="7" t="n">
        <v>5</v>
      </c>
      <c r="G1845" s="7" t="inlineStr">
        <is>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is>
      </c>
    </row>
    <row r="1846">
      <c r="A1846" s="7" t="n">
        <v>8550</v>
      </c>
      <c r="B1846" s="7" t="n">
        <v>363075</v>
      </c>
      <c r="C1846" s="7" t="n">
        <v>43413</v>
      </c>
      <c r="D1846" s="7" t="n">
        <v>37547</v>
      </c>
      <c r="E1846" s="8" t="n">
        <v>40250</v>
      </c>
      <c r="F1846" s="7" t="n">
        <v>5</v>
      </c>
      <c r="G1846" s="7" t="inlineStr">
        <is>
          <t>A very good shortbread cookie..with the added sweetness of the jam. They taste great and look very pretty in the cookie jar and on the serving plate. Will definitely be making again and again.</t>
        </is>
      </c>
    </row>
    <row r="1847">
      <c r="A1847" s="7" t="n">
        <v>65441</v>
      </c>
      <c r="B1847" s="7" t="n">
        <v>481286</v>
      </c>
      <c r="C1847" s="7" t="n">
        <v>37449</v>
      </c>
      <c r="D1847" s="7" t="n">
        <v>321147</v>
      </c>
      <c r="E1847" s="8" t="n">
        <v>39691</v>
      </c>
      <c r="F1847" s="7" t="n">
        <v>5</v>
      </c>
      <c r="G1847" s="7" t="inlineStr">
        <is>
          <t>This was really yummy! I have separate bags of blueberries, strawberries and raspberries, so used some from each. Very refreshing on a 96* afternoon! Thanks V!</t>
        </is>
      </c>
    </row>
    <row r="1848">
      <c r="A1848" t="n">
        <v>21419</v>
      </c>
      <c r="B1848" t="n">
        <v>316615</v>
      </c>
      <c r="C1848" t="n">
        <v>131916</v>
      </c>
      <c r="D1848" t="n">
        <v>89267</v>
      </c>
      <c r="E1848" s="1" t="n">
        <v>38099</v>
      </c>
      <c r="F1848" t="n">
        <v>4</v>
      </c>
      <c r="G1848" t="inlineStr">
        <is>
          <t>Very good. Really is easy to put together. It's a keeper.</t>
        </is>
      </c>
    </row>
    <row r="1849">
      <c r="A1849" s="7" t="n">
        <v>29367</v>
      </c>
      <c r="B1849" s="7" t="n">
        <v>1044232</v>
      </c>
      <c r="C1849" s="7" t="n">
        <v>2948872</v>
      </c>
      <c r="D1849" s="7" t="n">
        <v>241667</v>
      </c>
      <c r="E1849" s="8" t="n">
        <v>41555</v>
      </c>
      <c r="F1849" s="7" t="n">
        <v>0</v>
      </c>
      <c r="G1849" s="7" t="inlineStr">
        <is>
          <t>Great starting point for me!  I sauted fresh chopped spinach in some garlic and olive oil, then added other ingredients.  (More cheese for me!)  Also made a quick and easy fresh marinara sauce.  Loved it.  Thinking next time maybe add crabmeat?</t>
        </is>
      </c>
    </row>
    <row r="1850">
      <c r="A1850" s="7" t="n">
        <v>43185</v>
      </c>
      <c r="B1850" s="7" t="n">
        <v>855605</v>
      </c>
      <c r="C1850" s="7" t="n">
        <v>169430</v>
      </c>
      <c r="D1850" s="7" t="n">
        <v>511486</v>
      </c>
      <c r="E1850" s="8" t="n">
        <v>41657</v>
      </c>
      <c r="F1850" s="7" t="n">
        <v>5</v>
      </c>
      <c r="G1850" s="7" t="inlineStr">
        <is>
          <t>DS is home for a few days so I did a Sat morning brunch that included these great hash browns. I didn&amp;#039;t have any green onions so I used red onion which helped with the color factor. The recipe worked very well in an old and well used cast iron skillet. It was a great hit with DS, he ate 3/4 of them, lol. Hub and I also enjoyed them very much.</t>
        </is>
      </c>
    </row>
    <row r="1851">
      <c r="A1851" s="7" t="n">
        <v>110644</v>
      </c>
      <c r="B1851" s="7" t="n">
        <v>62498</v>
      </c>
      <c r="C1851" s="7" t="n">
        <v>653438</v>
      </c>
      <c r="D1851" s="7" t="n">
        <v>452159</v>
      </c>
      <c r="E1851" s="8" t="n">
        <v>40645</v>
      </c>
      <c r="F1851" s="7" t="n">
        <v>5</v>
      </c>
      <c r="G1851" s="7" t="inlineStr">
        <is>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is>
      </c>
    </row>
    <row r="1852">
      <c r="A1852" s="7" t="n">
        <v>112482</v>
      </c>
      <c r="B1852" s="7" t="n">
        <v>337274</v>
      </c>
      <c r="C1852" s="7" t="n">
        <v>4470</v>
      </c>
      <c r="D1852" s="7" t="n">
        <v>385415</v>
      </c>
      <c r="E1852" s="8" t="n">
        <v>40081</v>
      </c>
      <c r="F1852" s="7" t="n">
        <v>5</v>
      </c>
      <c r="G1852" s="7" t="inlineStr">
        <is>
          <t>Great flavored salsa with a nice bite - Not too hot and it was perfect on a mushroom omelet -Double thanks Rita!  It is a winner</t>
        </is>
      </c>
    </row>
    <row r="1853">
      <c r="A1853" s="7" t="n">
        <v>96361</v>
      </c>
      <c r="B1853" s="7" t="n">
        <v>472661</v>
      </c>
      <c r="C1853" s="7" t="n">
        <v>120108</v>
      </c>
      <c r="D1853" s="7" t="n">
        <v>108364</v>
      </c>
      <c r="E1853" s="8" t="n">
        <v>40065</v>
      </c>
      <c r="F1853" s="7" t="n">
        <v>5</v>
      </c>
      <c r="G1853" s="7" t="inlineStr">
        <is>
          <t>Very good chicken. Sending recipe to friends because its that yummy.</t>
        </is>
      </c>
    </row>
    <row r="1854">
      <c r="A1854" s="7" t="n">
        <v>100937</v>
      </c>
      <c r="B1854" s="7" t="n">
        <v>775737</v>
      </c>
      <c r="C1854" s="7" t="n">
        <v>165217</v>
      </c>
      <c r="D1854" s="7" t="n">
        <v>22201</v>
      </c>
      <c r="E1854" s="8" t="n">
        <v>38273</v>
      </c>
      <c r="F1854" s="7" t="n">
        <v>0</v>
      </c>
      <c r="G1854" s="7" t="inlineStr">
        <is>
          <t>This recipe was created by Todd Wilbur. It is from his book entitled "Top Secret Recipes Lite" www.topsecretrecipes.com</t>
        </is>
      </c>
    </row>
    <row r="1855">
      <c r="A1855" s="7" t="n">
        <v>8462</v>
      </c>
      <c r="B1855" s="7" t="n">
        <v>388080</v>
      </c>
      <c r="C1855" s="7" t="n">
        <v>480935</v>
      </c>
      <c r="D1855" s="7" t="n">
        <v>29977</v>
      </c>
      <c r="E1855" s="8" t="n">
        <v>39915</v>
      </c>
      <c r="F1855" s="7" t="n">
        <v>5</v>
      </c>
      <c r="G1855" s="7" t="inlineStr">
        <is>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is>
      </c>
    </row>
    <row r="1856">
      <c r="A1856" s="7" t="n">
        <v>64247</v>
      </c>
      <c r="B1856" s="7" t="n">
        <v>804785</v>
      </c>
      <c r="C1856" s="7" t="n">
        <v>498271</v>
      </c>
      <c r="D1856" s="7" t="n">
        <v>309091</v>
      </c>
      <c r="E1856" s="8" t="n">
        <v>39741</v>
      </c>
      <c r="F1856" s="7" t="n">
        <v>5</v>
      </c>
      <c r="G1856" s="7" t="inlineStr">
        <is>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is>
      </c>
    </row>
    <row r="1857">
      <c r="A1857" s="7" t="n">
        <v>120807</v>
      </c>
      <c r="B1857" s="7" t="n">
        <v>1060345</v>
      </c>
      <c r="C1857" s="7" t="n">
        <v>1105991</v>
      </c>
      <c r="D1857" s="7" t="n">
        <v>364484</v>
      </c>
      <c r="E1857" s="8" t="n">
        <v>40035</v>
      </c>
      <c r="F1857" s="7" t="n">
        <v>5</v>
      </c>
      <c r="G1857" s="7" t="inlineStr">
        <is>
          <t>This is a KEEPER!  It's very simple to do and TASTES GREAT!  My little girl ate this, liked it alot and didn't complain once.  That's a really big compliment because she does not like meat usually.  I had to sub garlic cracker crumbs for the breadcrumbs because I was out and that was a very tasty sub.  Thanks Lainey!  Made for Aussie/NZ swap #31.</t>
        </is>
      </c>
    </row>
    <row r="1858">
      <c r="A1858" s="7" t="n">
        <v>30618</v>
      </c>
      <c r="B1858" s="7" t="n">
        <v>331841</v>
      </c>
      <c r="C1858" s="7" t="n">
        <v>1085836</v>
      </c>
      <c r="D1858" s="7" t="n">
        <v>232188</v>
      </c>
      <c r="E1858" s="8" t="n">
        <v>39948</v>
      </c>
      <c r="F1858" s="7" t="n">
        <v>5</v>
      </c>
      <c r="G1858" s="7" t="inlineStr">
        <is>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is>
      </c>
    </row>
    <row r="1859">
      <c r="A1859" s="7" t="n">
        <v>88792</v>
      </c>
      <c r="B1859" s="7" t="n">
        <v>1003545</v>
      </c>
      <c r="C1859" s="7" t="n">
        <v>74028</v>
      </c>
      <c r="D1859" s="7" t="n">
        <v>94226</v>
      </c>
      <c r="E1859" s="8" t="n">
        <v>38240</v>
      </c>
      <c r="F1859" s="7" t="n">
        <v>5</v>
      </c>
      <c r="G1859" s="7" t="inlineStr">
        <is>
          <t>Can't get any easier or tastier than this....I throw in chicken, fish, shrimp, beef, pork,,,,,whatever I have, and it's always delish.  Thanks for a good basic recipe!</t>
        </is>
      </c>
    </row>
    <row r="1860">
      <c r="A1860" s="7" t="n">
        <v>1542</v>
      </c>
      <c r="B1860" s="7" t="n">
        <v>1129402</v>
      </c>
      <c r="C1860" s="7" t="n">
        <v>605921</v>
      </c>
      <c r="D1860" s="7" t="n">
        <v>74640</v>
      </c>
      <c r="E1860" s="8" t="n">
        <v>39757</v>
      </c>
      <c r="F1860" s="7" t="n">
        <v>5</v>
      </c>
      <c r="G1860" s="7" t="inlineStr">
        <is>
          <t>Excellent! I baked it and added some breadcrumbs. It would taste great with some pineapple on the side to balance off the saltiness. I would definitely make it again.</t>
        </is>
      </c>
    </row>
    <row r="1861">
      <c r="A1861" s="7" t="n">
        <v>25316</v>
      </c>
      <c r="B1861" s="7" t="n">
        <v>593527</v>
      </c>
      <c r="C1861" s="7" t="n">
        <v>195918</v>
      </c>
      <c r="D1861" s="7" t="n">
        <v>41862</v>
      </c>
      <c r="E1861" s="8" t="n">
        <v>38706</v>
      </c>
      <c r="F1861" s="7" t="n">
        <v>0</v>
      </c>
      <c r="G1861" s="7" t="inlineStr">
        <is>
          <t>I havn't tried this recipe, but have tried others. They usually say bake at 325 degrees F for 15-20 minutes. I would try that then up the temperature if needed.</t>
        </is>
      </c>
    </row>
    <row r="1862">
      <c r="A1862" s="7" t="n">
        <v>75091</v>
      </c>
      <c r="B1862" s="7" t="n">
        <v>217754</v>
      </c>
      <c r="C1862" s="7" t="n">
        <v>2001217718</v>
      </c>
      <c r="D1862" s="7" t="n">
        <v>21688</v>
      </c>
      <c r="E1862" s="8" t="n">
        <v>42666</v>
      </c>
      <c r="F1862" s="7" t="n">
        <v>5</v>
      </c>
      <c r="G1862" s="7" t="inlineStr">
        <is>
          <t>I didn't know my family would like cabbage so much. While it is an excellent recipe on its own, my favorite version includes adding minced garlic and Worcestershire sauce then replacing the tomato sauce with can of Rotel tomatoes (tomatoes and green chilies). The added heat gave it a perfect punch perfect.</t>
        </is>
      </c>
    </row>
    <row r="1863">
      <c r="A1863" s="7" t="n">
        <v>88051</v>
      </c>
      <c r="B1863" s="7" t="n">
        <v>395651</v>
      </c>
      <c r="C1863" s="7" t="n">
        <v>1609858</v>
      </c>
      <c r="D1863" s="7" t="n">
        <v>295638</v>
      </c>
      <c r="E1863" s="8" t="n">
        <v>40666</v>
      </c>
      <c r="F1863" s="7" t="n">
        <v>3</v>
      </c>
      <c r="G1863" s="7" t="inlineStr">
        <is>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is>
      </c>
    </row>
    <row r="1864">
      <c r="A1864" s="7" t="n">
        <v>650</v>
      </c>
      <c r="B1864" s="7" t="n">
        <v>269599</v>
      </c>
      <c r="C1864" s="7" t="n">
        <v>893268</v>
      </c>
      <c r="D1864" s="7" t="n">
        <v>247543</v>
      </c>
      <c r="E1864" s="8" t="n">
        <v>39662</v>
      </c>
      <c r="F1864" s="7" t="n">
        <v>4</v>
      </c>
      <c r="G1864" s="7" t="inlineStr">
        <is>
          <t>I made it with Tofu instead of panir and it tasted very good.</t>
        </is>
      </c>
    </row>
    <row r="1865">
      <c r="A1865" t="n">
        <v>38459</v>
      </c>
      <c r="B1865" t="n">
        <v>514565</v>
      </c>
      <c r="C1865" t="n">
        <v>1107936</v>
      </c>
      <c r="D1865" t="n">
        <v>437455</v>
      </c>
      <c r="E1865" s="1" t="n">
        <v>42155</v>
      </c>
      <c r="F1865" t="n">
        <v>2</v>
      </c>
      <c r="G1865" t="inlineStr">
        <is>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is>
      </c>
    </row>
    <row r="1866">
      <c r="A1866" s="7" t="n">
        <v>91073</v>
      </c>
      <c r="B1866" s="7" t="n">
        <v>740886</v>
      </c>
      <c r="C1866" s="7" t="n">
        <v>51224</v>
      </c>
      <c r="D1866" s="7" t="n">
        <v>52186</v>
      </c>
      <c r="E1866" s="8" t="n">
        <v>37857</v>
      </c>
      <c r="F1866" s="7" t="n">
        <v>5</v>
      </c>
      <c r="G1866" s="7" t="inlineStr">
        <is>
          <t xml:space="preserve">Great dish to serve informally for guests along with a big tossed green salad and a bottle of wine.  The only changes I made were to add some chili powder, cilantro, and a tad of red pepper flakes.  Forgot to add the tortilla chips but offered them on the side along with some salsa.  Everyone went back for seconds.  From one Judy to another, thanks for sharing! </t>
        </is>
      </c>
    </row>
    <row r="1867">
      <c r="A1867" s="7" t="n">
        <v>106243</v>
      </c>
      <c r="B1867" s="7" t="n">
        <v>539720</v>
      </c>
      <c r="C1867" s="7" t="n">
        <v>446143</v>
      </c>
      <c r="D1867" s="7" t="n">
        <v>215919</v>
      </c>
      <c r="E1867" s="8" t="n">
        <v>39241</v>
      </c>
      <c r="F1867" s="7" t="n">
        <v>5</v>
      </c>
      <c r="G1867" s="7" t="inlineStr">
        <is>
          <t>Great recipe.  I didn't use crab because I hate it...so just used the cream cheese and onion.  I used non-fat cream cheese and sprayed them lightly with cooking spray.  So glad to have this recipe aside our Asian dishes!</t>
        </is>
      </c>
    </row>
    <row r="1868">
      <c r="A1868" t="n">
        <v>105812</v>
      </c>
      <c r="B1868" t="n">
        <v>62650</v>
      </c>
      <c r="C1868" t="n">
        <v>962970</v>
      </c>
      <c r="D1868" t="n">
        <v>326354</v>
      </c>
      <c r="E1868" s="1" t="n">
        <v>39737</v>
      </c>
      <c r="F1868" t="n">
        <v>4</v>
      </c>
      <c r="G1868" t="inlineStr">
        <is>
          <t>Yummy, a nice recipe lighter pumpkin taste than other recipes.</t>
        </is>
      </c>
    </row>
    <row r="1869">
      <c r="A1869" s="7" t="n">
        <v>84451</v>
      </c>
      <c r="B1869" s="7" t="n">
        <v>28469</v>
      </c>
      <c r="C1869" s="7" t="n">
        <v>226863</v>
      </c>
      <c r="D1869" s="7" t="n">
        <v>68609</v>
      </c>
      <c r="E1869" s="8" t="n">
        <v>40453</v>
      </c>
      <c r="F1869" s="7" t="n">
        <v>5</v>
      </c>
      <c r="G1869" s="7" t="inlineStr">
        <is>
          <t>I really loved this, but as other reviewers have stated, I felt the fish got lost under the topping.  My fish was on the thinner side....I'll use swordfish steak or something thicker next time. Overall, I loved the flavor combinations in this dish, and was very happy that I made it. I'd definitely reduce the onion and dice instead of slice it for ease of eating....for photos, the sliced is nice, but it's not easy to eat.   I used black olives, as I didn't have green on hand.  I also diced up fresh tomatoes.  This was a very beautiful dish, and I wouldn't hesitate to serve it at a dinner party.  Thanks for sharing your recipe!</t>
        </is>
      </c>
    </row>
    <row r="1870">
      <c r="A1870" s="7" t="n">
        <v>88166</v>
      </c>
      <c r="B1870" s="7" t="n">
        <v>885161</v>
      </c>
      <c r="C1870" s="7" t="n">
        <v>354675</v>
      </c>
      <c r="D1870" s="7" t="n">
        <v>281968</v>
      </c>
      <c r="E1870" s="8" t="n">
        <v>39791</v>
      </c>
      <c r="F1870" s="7" t="n">
        <v>5</v>
      </c>
      <c r="G1870" s="7" t="inlineStr">
        <is>
          <t>Perfectly elegant hit of chocolate, but not too much, just right.  I LOVE how easy this dessert is, but yet so decadent...you think there is fancy chocolate in it, not choc. chips!  Thanks so much for posting, this is my new go to dinner party dessert</t>
        </is>
      </c>
    </row>
    <row r="1871">
      <c r="A1871" s="7" t="n">
        <v>110712</v>
      </c>
      <c r="B1871" s="7" t="n">
        <v>75056</v>
      </c>
      <c r="C1871" s="7" t="n">
        <v>242766</v>
      </c>
      <c r="D1871" s="7" t="n">
        <v>169291</v>
      </c>
      <c r="E1871" s="8" t="n">
        <v>38875</v>
      </c>
      <c r="F1871" s="7" t="n">
        <v>5</v>
      </c>
      <c r="G1871" s="7" t="inlineStr">
        <is>
          <t>My family loved this chicken. I used a Franziskaner Hefe-Weisse Dunkel dark German beer and it worked really well in the marinade. The marinade was perfectly seasoned and flavored the meat perfectly. This recipe was a good choice for the Zaar World Tour 2006. Thanks for sharing.</t>
        </is>
      </c>
    </row>
    <row r="1872">
      <c r="A1872" s="7" t="n">
        <v>61098</v>
      </c>
      <c r="B1872" s="7" t="n">
        <v>674072</v>
      </c>
      <c r="C1872" s="7" t="n">
        <v>1167417</v>
      </c>
      <c r="D1872" s="7" t="n">
        <v>254770</v>
      </c>
      <c r="E1872" s="8" t="n">
        <v>39916</v>
      </c>
      <c r="F1872" s="7" t="n">
        <v>4</v>
      </c>
      <c r="G1872" s="7" t="inlineStr">
        <is>
          <t>The cake was very tasty and moist.  However, I would have preferred a different frosting.  Maybe just buttercream frosting.  My 11 year-old daughter made this all by herself for Chemistry Class.  This was a very easy recipe for her to make.</t>
        </is>
      </c>
    </row>
    <row r="1873">
      <c r="A1873" s="7" t="n">
        <v>71103</v>
      </c>
      <c r="B1873" s="7" t="n">
        <v>494998</v>
      </c>
      <c r="C1873" s="7" t="n">
        <v>103849</v>
      </c>
      <c r="D1873" s="7" t="n">
        <v>114052</v>
      </c>
      <c r="E1873" s="8" t="n">
        <v>40348</v>
      </c>
      <c r="F1873" s="7" t="n">
        <v>5</v>
      </c>
      <c r="G1873" s="7" t="inlineStr">
        <is>
          <t>Loved this.  Except for using a regular orange and adding cilantro, followed the recipe.   I didn't measure the ingredients, so I can't speak for the amounts, but the flavor was amazing!  Oh! and I couldn't find red jalapeno chiles, so used a green jalapeno.</t>
        </is>
      </c>
    </row>
    <row r="1874">
      <c r="A1874" s="7" t="n">
        <v>4184</v>
      </c>
      <c r="B1874" s="7" t="n">
        <v>828981</v>
      </c>
      <c r="C1874" s="7" t="n">
        <v>856858</v>
      </c>
      <c r="D1874" s="7" t="n">
        <v>454214</v>
      </c>
      <c r="E1874" s="8" t="n">
        <v>40744</v>
      </c>
      <c r="F1874" s="7" t="n">
        <v>5</v>
      </c>
      <c r="G1874" s="7" t="inlineStr">
        <is>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is>
      </c>
    </row>
    <row r="1875">
      <c r="A1875" t="n">
        <v>52648</v>
      </c>
      <c r="B1875" t="n">
        <v>977008</v>
      </c>
      <c r="C1875" t="n">
        <v>211184</v>
      </c>
      <c r="D1875" t="n">
        <v>428200</v>
      </c>
      <c r="E1875" s="1" t="n">
        <v>40354</v>
      </c>
      <c r="F1875" t="n">
        <v>4</v>
      </c>
      <c r="G1875" t="inlineStr">
        <is>
          <t>These are really quite good and something out of the ordinary. I didn't know what to expect with only 2 eggs as wet ingredients, but the finished texture is soft and chewy. I wonder if the beaten egg whites are what made the bars light and chewy? The graham crumbs add another layer of sweetness, almost honey like. This reminds me of something I would have found on my Grandma's cupboard. She always had simple yet tasty treats when we came to visit. I would make these again and not change a thing. After I added the mixture to the pan (it will be crumbly), I lightly patted the crumbs down with the bottom of a measuring cup to even the mixture out. I preferred these cooled and plain vs served with ice cream. Made for ZWT6- ZINGO!</t>
        </is>
      </c>
    </row>
    <row r="1876">
      <c r="A1876" s="7" t="n">
        <v>77374</v>
      </c>
      <c r="B1876" s="7" t="n">
        <v>935611</v>
      </c>
      <c r="C1876" s="7" t="n">
        <v>874561</v>
      </c>
      <c r="D1876" s="7" t="n">
        <v>151401</v>
      </c>
      <c r="E1876" s="8" t="n">
        <v>40161</v>
      </c>
      <c r="F1876" s="7" t="n">
        <v>5</v>
      </c>
      <c r="G1876" s="7" t="inlineStr">
        <is>
          <t>This soup was wonderful.  I wasn't sure if I would like it because I'm a definite meat eater but  I loved it and so did my DH.  It is very filling.  I also shared it with my brother and his family and they loved it too.  They got the recipe from me and are making it for themselves tonight.  I did make a few changes.  We can't handle things to spicy so I didn't put in the jalapeno pepper and I only put in a 1/4 tsp of cayenne pepper.  I used a regular can of corn and didn't drain it  and regular brown rice instead of instant.  I put it in after I let the soup start boiling and ended up simmering it for about an hour and 15 min until the rice was the tenderness we like.  Thank you so much for the recipe.  This is definitely going in to our regular rotation.</t>
        </is>
      </c>
    </row>
    <row r="1877">
      <c r="A1877" s="7" t="n">
        <v>16332</v>
      </c>
      <c r="B1877" s="7" t="n">
        <v>572228</v>
      </c>
      <c r="C1877" s="7" t="n">
        <v>1609858</v>
      </c>
      <c r="D1877" s="7" t="n">
        <v>133318</v>
      </c>
      <c r="E1877" s="8" t="n">
        <v>40603</v>
      </c>
      <c r="F1877" s="7" t="n">
        <v>4</v>
      </c>
      <c r="G1877" s="7" t="inlineStr">
        <is>
          <t>Had for supper Monday night with broccoli and brown rice.   Simple and tasty.   I only used 1/4 cup of honey, as that was all we had on hand, but it was good as is, and I wouldn't see a need to use the full 1/2 cup.   I also forgot to sprinkle on the sesame seeds and green onions, but would try at least the sesame seeds in the future.</t>
        </is>
      </c>
    </row>
    <row r="1878">
      <c r="A1878" s="7" t="n">
        <v>24204</v>
      </c>
      <c r="B1878" s="7" t="n">
        <v>213108</v>
      </c>
      <c r="C1878" s="7" t="n">
        <v>131021</v>
      </c>
      <c r="D1878" s="7" t="n">
        <v>35084</v>
      </c>
      <c r="E1878" s="8" t="n">
        <v>41167</v>
      </c>
      <c r="F1878" s="7" t="n">
        <v>5</v>
      </c>
      <c r="G1878" s="7" t="inlineStr">
        <is>
          <t>We took this to a church function and it was a hit. In fact, I only got a little sliver of it. I put a layer of chocolate fudge ice cream topping on the bottom and then drizzled some over the top too. It was rich and creamy and so easy to make. We will make this again. I did add a bit of the Cool Whip to the peanut butter mixture first to make it easier to stir. Then I added in the rest of the Cool Whip.</t>
        </is>
      </c>
    </row>
    <row r="1879">
      <c r="A1879" s="7" t="n">
        <v>68469</v>
      </c>
      <c r="B1879" s="7" t="n">
        <v>707281</v>
      </c>
      <c r="C1879" s="7" t="n">
        <v>1164020</v>
      </c>
      <c r="D1879" s="7" t="n">
        <v>265777</v>
      </c>
      <c r="E1879" s="8" t="n">
        <v>41994</v>
      </c>
      <c r="F1879" s="7" t="n">
        <v>5</v>
      </c>
      <c r="G1879" s="7" t="inlineStr">
        <is>
          <t>very good recipe. my family&amp;#039;s does not call for celery so i ommitted that but I&amp;#039;m sure it&amp;#039;s delicious with as well</t>
        </is>
      </c>
    </row>
    <row r="1880">
      <c r="A1880" s="7" t="n">
        <v>11905</v>
      </c>
      <c r="B1880" s="7" t="n">
        <v>189879</v>
      </c>
      <c r="C1880" s="7" t="n">
        <v>42681</v>
      </c>
      <c r="D1880" s="7" t="n">
        <v>17524</v>
      </c>
      <c r="E1880" s="8" t="n">
        <v>37409</v>
      </c>
      <c r="F1880" s="7" t="n">
        <v>2</v>
      </c>
      <c r="G1880" s="7" t="inlineStr">
        <is>
          <t>This is an easy recipe, I had all of the ingredients on hand.  However, it was BLAND!  I even added swiss cheese as suggested by another reviewer.  If I were desperate I might make this again, but I would probably add some mild green chilies or something to make it more flavorful.</t>
        </is>
      </c>
    </row>
    <row r="1881">
      <c r="A1881" t="n">
        <v>8800</v>
      </c>
      <c r="B1881" t="n">
        <v>434861</v>
      </c>
      <c r="C1881" t="n">
        <v>587675</v>
      </c>
      <c r="D1881" t="n">
        <v>34335</v>
      </c>
      <c r="E1881" s="1" t="n">
        <v>39825</v>
      </c>
      <c r="F1881" t="n">
        <v>5</v>
      </c>
      <c r="G1881" t="inlineStr">
        <is>
          <t>5 stars from start to finish. This was awesome, it tasted great and was even better the next night.  The only change I made was to eliminate the salt (never missed) and to adjust the recipe (I love Recipezaar) for the size of the package of tenderloin I had.  I was able to serve it along with some parsley red potatoes and steamed asparagus to my mother (on a diabetic and low sodium - she hates this part - diet), and she didnâ€™t even reach for the Mrs. Dash .  I wish all my cooking chores were this difficult.   Thanks ever so much MizzNezz</t>
        </is>
      </c>
    </row>
    <row r="1882">
      <c r="A1882" s="7" t="n">
        <v>91459</v>
      </c>
      <c r="B1882" s="7" t="n">
        <v>778496</v>
      </c>
      <c r="C1882" s="7" t="n">
        <v>2915952</v>
      </c>
      <c r="D1882" s="7" t="n">
        <v>108524</v>
      </c>
      <c r="E1882" s="8" t="n">
        <v>43177</v>
      </c>
      <c r="F1882" s="7" t="n">
        <v>0</v>
      </c>
      <c r="G1882" s="7" t="inlineStr">
        <is>
          <t>I make this often. It is delicious. I always use coconut rum. The pudding flavours can be exchanged. My family likes it with pistachio pudding. When I make the glaze I cook the rum in it. I prefer that to the raw alcohol taste Thanks for the recipe</t>
        </is>
      </c>
    </row>
    <row r="1883">
      <c r="A1883" s="7" t="n">
        <v>101471</v>
      </c>
      <c r="B1883" s="7" t="n">
        <v>896051</v>
      </c>
      <c r="C1883" s="7" t="n">
        <v>221044</v>
      </c>
      <c r="D1883" s="7" t="n">
        <v>215070</v>
      </c>
      <c r="E1883" s="8" t="n">
        <v>39231</v>
      </c>
      <c r="F1883" s="7" t="n">
        <v>5</v>
      </c>
      <c r="G1883" s="7" t="inlineStr">
        <is>
          <t>Awesome! Used 2 cups of EXTRA sharp cheddar and sprinkled in 1/2 tsp. cayenne pepper and topped with melted butter and parmesan before baking.  Also used melted butter instead of oil (blush). OH YUM! Thanks!</t>
        </is>
      </c>
    </row>
    <row r="1884" ht="390" customHeight="1">
      <c r="A1884" s="7" t="n">
        <v>54406</v>
      </c>
      <c r="B1884" s="7" t="n">
        <v>280387</v>
      </c>
      <c r="C1884" s="7" t="n">
        <v>607820</v>
      </c>
      <c r="D1884" s="7" t="n">
        <v>117523</v>
      </c>
      <c r="E1884" s="8" t="n">
        <v>39604</v>
      </c>
      <c r="F1884" s="7" t="n">
        <v>5</v>
      </c>
      <c r="G1884" s="9" t="inlineStr">
        <is>
          <t>UM-O.  These were very good.  Made these for Tastebud Tickling _x000D_
Travellers ZWT4. We steamed them and sauteed some.  They were fantastic both ways.  This recipe is a keeper.</t>
        </is>
      </c>
    </row>
    <row r="1885">
      <c r="A1885" s="7" t="n">
        <v>121059</v>
      </c>
      <c r="B1885" s="7" t="n">
        <v>212339</v>
      </c>
      <c r="C1885" s="7" t="n">
        <v>684840</v>
      </c>
      <c r="D1885" s="7" t="n">
        <v>104354</v>
      </c>
      <c r="E1885" s="8" t="n">
        <v>39499</v>
      </c>
      <c r="F1885" s="7" t="n">
        <v>5</v>
      </c>
      <c r="G1885" s="7" t="inlineStr">
        <is>
          <t>This is an outstanding pizza!!!</t>
        </is>
      </c>
    </row>
    <row r="1886">
      <c r="A1886" s="7" t="n">
        <v>123618</v>
      </c>
      <c r="B1886" s="7" t="n">
        <v>355309</v>
      </c>
      <c r="C1886" s="7" t="n">
        <v>2000791104</v>
      </c>
      <c r="D1886" s="7" t="n">
        <v>92096</v>
      </c>
      <c r="E1886" s="8" t="n">
        <v>42369</v>
      </c>
      <c r="F1886" s="7" t="n">
        <v>5</v>
      </c>
      <c r="G1886" s="7" t="inlineStr">
        <is>
          <t>PERFECT spaghetti sauce. I add twice the meatballs that match with this recipe so I added one more can of tomato puree to make more sauce, didn&amp;#039;t adjust any other ingredients and it turned out great!   This recipe is enough to hold double the meatballs but for my safety, I like to have a little more sauce.   This sauce is gold!!</t>
        </is>
      </c>
    </row>
    <row r="1887">
      <c r="A1887" s="7" t="n">
        <v>12823</v>
      </c>
      <c r="B1887" s="7" t="n">
        <v>810594</v>
      </c>
      <c r="C1887" s="7" t="n">
        <v>498271</v>
      </c>
      <c r="D1887" s="7" t="n">
        <v>352796</v>
      </c>
      <c r="E1887" s="8" t="n">
        <v>39931</v>
      </c>
      <c r="F1887" s="7" t="n">
        <v>5</v>
      </c>
      <c r="G1887" s="7" t="inlineStr">
        <is>
          <t>These sausages were really good!  Caramelizing the brown sugar and paprika gave a great rich flavor which was a perfect complement to the Guinness.  Really enjoyed this - thanks for posting the recipe!  Made for Spring PAC 2009</t>
        </is>
      </c>
    </row>
    <row r="1888">
      <c r="A1888" s="7" t="n">
        <v>14550</v>
      </c>
      <c r="B1888" s="7" t="n">
        <v>422863</v>
      </c>
      <c r="C1888" s="7" t="n">
        <v>358513</v>
      </c>
      <c r="D1888" s="7" t="n">
        <v>413122</v>
      </c>
      <c r="E1888" s="8" t="n">
        <v>40332</v>
      </c>
      <c r="F1888" s="7" t="n">
        <v>5</v>
      </c>
      <c r="G1888" s="7" t="inlineStr">
        <is>
          <t>We loved the flavor of these and very easy to throw together. I used rice vinegar and a chinese noodle that I think I let cook to long. Next time I will definately try it with the spagetti as I see now that it would hold up to the sauce better because of the peanut butter. I tossed in some veggies I had to use up that were steamed then flashed. My 2 year old loved the noodles. I switched out some Siracha for the Samba Olek just for more Thai flavor for the challange. Thanks Charmie another great recipe. Made for ZWT 6 The Countries of Asia Challange by a fellow Looney Spoon :)</t>
        </is>
      </c>
    </row>
    <row r="1889">
      <c r="A1889" s="7" t="n">
        <v>72916</v>
      </c>
      <c r="B1889" s="7" t="n">
        <v>936830</v>
      </c>
      <c r="C1889" s="7" t="n">
        <v>908623</v>
      </c>
      <c r="D1889" s="7" t="n">
        <v>200044</v>
      </c>
      <c r="E1889" s="8" t="n">
        <v>39755</v>
      </c>
      <c r="F1889" s="7" t="n">
        <v>5</v>
      </c>
      <c r="G1889" s="7" t="inlineStr">
        <is>
          <t>I made this for a work pot luck and got rave reviews.  I had people who don't cook asking for the recipe!  The only change I made was to through in a little shredded cheese at the end (because I was trying to use it before it went bad).  I have made it several times since and it's always great.</t>
        </is>
      </c>
    </row>
    <row r="1890">
      <c r="A1890" s="7" t="n">
        <v>122808</v>
      </c>
      <c r="B1890" s="7" t="n">
        <v>266360</v>
      </c>
      <c r="C1890" s="7" t="n">
        <v>2001019139</v>
      </c>
      <c r="D1890" s="7" t="n">
        <v>107786</v>
      </c>
      <c r="E1890" s="8" t="n">
        <v>43194</v>
      </c>
      <c r="F1890" s="7" t="n">
        <v>5</v>
      </c>
      <c r="G1890" s="7" t="inlineStr">
        <is>
          <t>Always my go to recipe for ribs. Never any leftovers, amazing!!!!!</t>
        </is>
      </c>
    </row>
    <row r="1891">
      <c r="A1891" s="7" t="n">
        <v>56681</v>
      </c>
      <c r="B1891" s="7" t="n">
        <v>698636</v>
      </c>
      <c r="C1891" s="7" t="n">
        <v>1178797</v>
      </c>
      <c r="D1891" s="7" t="n">
        <v>394518</v>
      </c>
      <c r="E1891" s="8" t="n">
        <v>40135</v>
      </c>
      <c r="F1891" s="7" t="n">
        <v>5</v>
      </c>
      <c r="G1891" s="7" t="inlineStr">
        <is>
          <t>These fries were delicious! Very flavorful because of the coriander. The fries baked up very well, but mine came out a little floppy, I think due to them being too long. When it came to the avocado dip, I didn't have cream cheese nor a jalapeno, but I did have a small can of diced chilies. The added juice helped to make it creamy. Overall, it's a great recipe and a keeper. My husband nearly ate all of them!</t>
        </is>
      </c>
    </row>
    <row r="1892">
      <c r="A1892" s="7" t="n">
        <v>16703</v>
      </c>
      <c r="B1892" s="7" t="n">
        <v>1055158</v>
      </c>
      <c r="C1892" s="7" t="n">
        <v>136997</v>
      </c>
      <c r="D1892" s="7" t="n">
        <v>301286</v>
      </c>
      <c r="E1892" s="8" t="n">
        <v>39979</v>
      </c>
      <c r="F1892" s="7" t="n">
        <v>5</v>
      </c>
      <c r="G1892" s="7" t="inlineStr">
        <is>
          <t>Delicious. I had to use macaroni instead of the suggested ditalini pasta. :)</t>
        </is>
      </c>
    </row>
    <row r="1893">
      <c r="A1893" s="7" t="n">
        <v>64566</v>
      </c>
      <c r="B1893" s="7" t="n">
        <v>1059117</v>
      </c>
      <c r="C1893" s="7" t="n">
        <v>1141504</v>
      </c>
      <c r="D1893" s="7" t="n">
        <v>82288</v>
      </c>
      <c r="E1893" s="8" t="n">
        <v>40300</v>
      </c>
      <c r="F1893" s="7" t="n">
        <v>5</v>
      </c>
      <c r="G1893" s="7" t="inlineStr">
        <is>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is>
      </c>
    </row>
    <row r="1894">
      <c r="A1894" s="7" t="n">
        <v>79255</v>
      </c>
      <c r="B1894" s="7" t="n">
        <v>1026794</v>
      </c>
      <c r="C1894" s="7" t="n">
        <v>52317</v>
      </c>
      <c r="D1894" s="7" t="n">
        <v>41201</v>
      </c>
      <c r="E1894" s="8" t="n">
        <v>40381</v>
      </c>
      <c r="F1894" s="7" t="n">
        <v>5</v>
      </c>
      <c r="G1894" s="7" t="inlineStr">
        <is>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is>
      </c>
    </row>
    <row r="1895">
      <c r="A1895" s="7" t="n">
        <v>110219</v>
      </c>
      <c r="B1895" s="7" t="n">
        <v>74610</v>
      </c>
      <c r="C1895" s="7" t="n">
        <v>49542</v>
      </c>
      <c r="D1895" s="7" t="n">
        <v>34943</v>
      </c>
      <c r="E1895" s="8" t="n">
        <v>38687</v>
      </c>
      <c r="F1895" s="7" t="n">
        <v>5</v>
      </c>
      <c r="G1895" s="7" t="inlineStr">
        <is>
          <t>A very good weeknight, comfort food dish!  I did add about 1/2 C chopped onions, extra mustard and about 1/2 C cheese which made it even more flavorful! Used egg noodles and, while it was good, I think elbows might hold up better with the thick sauce. Just for something to try, next time I may add the celery and onions to the butter in the pan and saute a few minutes before adding the flour, mustard and milk.  This will become a part of my regular menu.</t>
        </is>
      </c>
    </row>
    <row r="1896">
      <c r="A1896" s="7" t="n">
        <v>91146</v>
      </c>
      <c r="B1896" s="7" t="n">
        <v>1044760</v>
      </c>
      <c r="C1896" s="7" t="n">
        <v>29014</v>
      </c>
      <c r="D1896" s="7" t="n">
        <v>30323</v>
      </c>
      <c r="E1896" s="8" t="n">
        <v>38588</v>
      </c>
      <c r="F1896" s="7" t="n">
        <v>5</v>
      </c>
      <c r="G1896" s="7" t="inlineStr">
        <is>
          <t>We both loved this.  Super simple and a great way to fix pork steaks, which can be less than tender if not done properly.  I made the recipe exactly as posted, except to reduce portions for just the two of us.  Also, I applied the dry rub several hours before baking with excellent results.</t>
        </is>
      </c>
    </row>
    <row r="1897">
      <c r="A1897" s="7" t="n">
        <v>100438</v>
      </c>
      <c r="B1897" s="7" t="n">
        <v>997534</v>
      </c>
      <c r="C1897" s="7" t="n">
        <v>1344636</v>
      </c>
      <c r="D1897" s="7" t="n">
        <v>106529</v>
      </c>
      <c r="E1897" s="8" t="n">
        <v>40164</v>
      </c>
      <c r="F1897" s="7" t="n">
        <v>0</v>
      </c>
      <c r="G1897" s="7" t="inlineStr">
        <is>
          <t>Awesome!  The texture &amp; flavor are incredible, yet simple.  Found recipe thanks to my daughter needing a dish from our culture and she wanted cookies.  YUMMMMM! :) llt</t>
        </is>
      </c>
    </row>
    <row r="1898">
      <c r="A1898" s="7" t="n">
        <v>24242</v>
      </c>
      <c r="B1898" s="7" t="n">
        <v>761317</v>
      </c>
      <c r="C1898" s="7" t="n">
        <v>321999</v>
      </c>
      <c r="D1898" s="7" t="n">
        <v>160993</v>
      </c>
      <c r="E1898" s="8" t="n">
        <v>39744</v>
      </c>
      <c r="F1898" s="7" t="n">
        <v>3</v>
      </c>
      <c r="G1898" s="7" t="inlineStr">
        <is>
          <t>This is an interesting recipe.  It isn't reall a waffle and it isn't really french toast.  It is denser and heavier than a waffle, but doesn't really have the same texture as french toast either.  The taste is fine, with a slight hint of peanut butter.  The batter is really think and does make the bread difficult to work with since it was causing the bread to fall apart.  I served with jelly and powdered sugar.</t>
        </is>
      </c>
    </row>
    <row r="1899">
      <c r="A1899" s="7" t="n">
        <v>71747</v>
      </c>
      <c r="B1899" s="7" t="n">
        <v>820001</v>
      </c>
      <c r="C1899" s="7" t="n">
        <v>465056</v>
      </c>
      <c r="D1899" s="7" t="n">
        <v>454906</v>
      </c>
      <c r="E1899" s="8" t="n">
        <v>40691</v>
      </c>
      <c r="F1899" s="7" t="n">
        <v>4</v>
      </c>
      <c r="G1899" s="7" t="inlineStr">
        <is>
          <t>I really liked the sauce.The sliders were pretty good but the meat patties were falling apart.  Perhaps there was not enough fat in my choice of meats to hold together good.  Made for RSC 16.</t>
        </is>
      </c>
    </row>
    <row r="1900">
      <c r="A1900" s="7" t="n">
        <v>72984</v>
      </c>
      <c r="B1900" s="7" t="n">
        <v>191323</v>
      </c>
      <c r="C1900" s="7" t="n">
        <v>62264</v>
      </c>
      <c r="D1900" s="7" t="n">
        <v>351440</v>
      </c>
      <c r="E1900" s="8" t="n">
        <v>39840</v>
      </c>
      <c r="F1900" s="7" t="n">
        <v>5</v>
      </c>
      <c r="G1900" s="7" t="inlineStr">
        <is>
          <t>Wonderful recipe - I broke bad from my rule to roast, never boil, sweet taters to make this one. I used Costa Rico sweet potatoes &amp;, my oh my, this was delicious! I used canned sweet corn along with homemade chicken stock &amp; this was just right. Thanks for posting this healthy delicious satisfying soup. I will be making again to freeze &amp; bring when I travel for work. It's that good. Thanks again Kumquat the Cat's Friend!</t>
        </is>
      </c>
    </row>
    <row r="1901">
      <c r="A1901" s="7" t="n">
        <v>96888</v>
      </c>
      <c r="B1901" s="7" t="n">
        <v>910512</v>
      </c>
      <c r="C1901" s="7" t="n">
        <v>54885</v>
      </c>
      <c r="D1901" s="7" t="n">
        <v>26420</v>
      </c>
      <c r="E1901" s="8" t="n">
        <v>37954</v>
      </c>
      <c r="F1901" s="7" t="n">
        <v>5</v>
      </c>
      <c r="G1901" s="7" t="inlineStr">
        <is>
          <t>no more store bought for me. this was really yummy and so easy to make</t>
        </is>
      </c>
    </row>
    <row r="1902">
      <c r="A1902" s="7" t="n">
        <v>124175</v>
      </c>
      <c r="B1902" s="7" t="n">
        <v>300121</v>
      </c>
      <c r="C1902" s="7" t="n">
        <v>93006</v>
      </c>
      <c r="D1902" s="7" t="n">
        <v>97085</v>
      </c>
      <c r="E1902" s="8" t="n">
        <v>39360</v>
      </c>
      <c r="F1902" s="7" t="n">
        <v>5</v>
      </c>
      <c r="G1902" s="7" t="inlineStr">
        <is>
          <t>Perfecto!  Smooth, creamy, decadent - perfect on veggies.  A keeper,</t>
        </is>
      </c>
    </row>
    <row r="1903" ht="409.5" customHeight="1">
      <c r="A1903" s="7" t="n">
        <v>43452</v>
      </c>
      <c r="B1903" s="7" t="n">
        <v>814657</v>
      </c>
      <c r="C1903" s="7" t="n">
        <v>133933</v>
      </c>
      <c r="D1903" s="7" t="n">
        <v>49125</v>
      </c>
      <c r="E1903" s="8" t="n">
        <v>38083</v>
      </c>
      <c r="F1903" s="7" t="n">
        <v>5</v>
      </c>
      <c r="G1903" s="9" t="inlineStr">
        <is>
          <t xml:space="preserve">I was looking for a recipe to use up some leftover frozen corn (corn to me is usually so boring) and came up on this.  Since I also had some peppers, I thought I'd give it a try, and I'm very glad I did!  Definitely major comfort food, different and rich tasting (I agree, that carmelization makes it taste so great).  I ate the rest of my dinner and left the corn for last, and just savored it as long as I could.  I would serve this as easily as a side dish for company as I would for just any day I wanted a treat.  The colors are wonderful and it looks as good as it tastes.  I'm glad I found the recipe!  I'm even going to buy more corn tomorrow so I'm ready for next time!  It's a keeper!_x000D_
</t>
        </is>
      </c>
    </row>
    <row r="1904">
      <c r="A1904" s="7" t="n">
        <v>45835</v>
      </c>
      <c r="B1904" s="7" t="n">
        <v>39763</v>
      </c>
      <c r="C1904" s="7" t="n">
        <v>382071</v>
      </c>
      <c r="D1904" s="7" t="n">
        <v>195058</v>
      </c>
      <c r="E1904" s="8" t="n">
        <v>39170</v>
      </c>
      <c r="F1904" s="7" t="n">
        <v>4</v>
      </c>
      <c r="G1904" s="7" t="inlineStr">
        <is>
          <t>This is a very nice rice. I used Jasmine rice and only 3 cups of water. I also only cooked it 20 minutes once I put the lid on. I expected the spices to be stronger but it was very mild. I think it would be better made with chicken or vegetable broth in place of the water. I ate it with Chicken Curry and they went very well together. Thanks for the recipe! Made for Zaar Tag.</t>
        </is>
      </c>
    </row>
    <row r="1905">
      <c r="A1905" s="7" t="n">
        <v>103952</v>
      </c>
      <c r="B1905" s="7" t="n">
        <v>213431</v>
      </c>
      <c r="C1905" s="7" t="n">
        <v>280166</v>
      </c>
      <c r="D1905" s="7" t="n">
        <v>125633</v>
      </c>
      <c r="E1905" s="8" t="n">
        <v>39397</v>
      </c>
      <c r="F1905" s="7" t="n">
        <v>4</v>
      </c>
      <c r="G1905" s="7" t="inlineStr">
        <is>
          <t>This was very good.  My husband and son devoured it!  I used reduced fat products and will reduced the butter next time.  Thanks for posting this quick, easy and yummy dessert!</t>
        </is>
      </c>
    </row>
    <row r="1906">
      <c r="A1906" s="7" t="n">
        <v>47651</v>
      </c>
      <c r="B1906" s="7" t="n">
        <v>158391</v>
      </c>
      <c r="C1906" s="7" t="n">
        <v>40157</v>
      </c>
      <c r="D1906" s="7" t="n">
        <v>8701</v>
      </c>
      <c r="E1906" s="8" t="n">
        <v>37462</v>
      </c>
      <c r="F1906" s="7" t="n">
        <v>5</v>
      </c>
      <c r="G1906" s="7" t="inlineStr">
        <is>
          <t>Absolutely the very best ribs.  I'm so sure of them being a hit, I'm having Mom and Dad over for dinner and this will be the main course.  Thanks for your great recipe.</t>
        </is>
      </c>
    </row>
    <row r="1907">
      <c r="A1907" s="7" t="n">
        <v>34140</v>
      </c>
      <c r="B1907" s="7" t="n">
        <v>1076786</v>
      </c>
      <c r="C1907" s="7" t="n">
        <v>2002249853</v>
      </c>
      <c r="D1907" s="7" t="n">
        <v>80398</v>
      </c>
      <c r="E1907" s="8" t="n">
        <v>43362</v>
      </c>
      <c r="F1907" s="7" t="n">
        <v>0</v>
      </c>
      <c r="G1907" s="7" t="inlineStr">
        <is>
          <t>I am trying it for the first time tonight I've added a can of Rotel tomatoes to it. I hope it comes out as good as I'm thinking it will.</t>
        </is>
      </c>
    </row>
    <row r="1908">
      <c r="A1908" s="7" t="n">
        <v>78808</v>
      </c>
      <c r="B1908" s="7" t="n">
        <v>1089317</v>
      </c>
      <c r="C1908" s="7" t="n">
        <v>473393</v>
      </c>
      <c r="D1908" s="7" t="n">
        <v>51092</v>
      </c>
      <c r="E1908" s="8" t="n">
        <v>39169</v>
      </c>
      <c r="F1908" s="7" t="n">
        <v>4</v>
      </c>
      <c r="G1908" s="7" t="inlineStr">
        <is>
          <t>I used carrots and added cinnamon - it tasted a lot like pumpkin pie.</t>
        </is>
      </c>
    </row>
    <row r="1909">
      <c r="A1909" s="7" t="n">
        <v>43295</v>
      </c>
      <c r="B1909" s="7" t="n">
        <v>57705</v>
      </c>
      <c r="C1909" s="7" t="n">
        <v>1709320</v>
      </c>
      <c r="D1909" s="7" t="n">
        <v>117370</v>
      </c>
      <c r="E1909" s="8" t="n">
        <v>40471</v>
      </c>
      <c r="F1909" s="7" t="n">
        <v>0</v>
      </c>
      <c r="G1909" s="7" t="inlineStr">
        <is>
          <t>They're perfect!  I used three tablespoons of melted butter instead of vegetable oil. And added extra sugar as well!</t>
        </is>
      </c>
    </row>
    <row r="1910">
      <c r="A1910" s="7" t="n">
        <v>108161</v>
      </c>
      <c r="B1910" s="7" t="n">
        <v>974362</v>
      </c>
      <c r="C1910" s="7" t="n">
        <v>25177</v>
      </c>
      <c r="D1910" s="7" t="n">
        <v>42169</v>
      </c>
      <c r="E1910" s="8" t="n">
        <v>39379</v>
      </c>
      <c r="F1910" s="7" t="n">
        <v>5</v>
      </c>
      <c r="G1910" s="7" t="inlineStr">
        <is>
          <t>This was a delicious dish that we really enjoyed and so easy to make. I used 1 pound of extra large shrimp and panko bread crumbs. I marinated the shrimp in the olive oil and garlic for 2 hours. Just prior to putting it in the oven I sprinkled them with cajun seasoning and then drizzled the butter on them. Excellent! I will be making these often.</t>
        </is>
      </c>
    </row>
    <row r="1911">
      <c r="A1911" s="7" t="n">
        <v>118876</v>
      </c>
      <c r="B1911" s="7" t="n">
        <v>1024262</v>
      </c>
      <c r="C1911" s="7" t="n">
        <v>516818</v>
      </c>
      <c r="D1911" s="7" t="n">
        <v>111777</v>
      </c>
      <c r="E1911" s="8" t="n">
        <v>39344</v>
      </c>
      <c r="F1911" s="7" t="n">
        <v>5</v>
      </c>
      <c r="G1911" s="7" t="inlineStr">
        <is>
          <t>This was excellent.  My dh, dd, and I loved it.  I baked the chicken in the oven, and cut it into chunks.  I used a frozen vegetable mix of asparagus, corn and baby carrots.  This was great because I am not much of a pea person.  I also used half in half instead of milk.  We always have some on hand for our coffee. I also felt that this was very simple make. I will definitely be making this again.  Thanks</t>
        </is>
      </c>
    </row>
    <row r="1912">
      <c r="A1912" s="7" t="n">
        <v>52177</v>
      </c>
      <c r="B1912" s="7" t="n">
        <v>169030</v>
      </c>
      <c r="C1912" s="7" t="n">
        <v>891485</v>
      </c>
      <c r="D1912" s="7" t="n">
        <v>39047</v>
      </c>
      <c r="E1912" s="8" t="n">
        <v>39669</v>
      </c>
      <c r="F1912" s="7" t="n">
        <v>0</v>
      </c>
      <c r="G1912" s="7" t="inlineStr">
        <is>
          <t>This was very tasty and refreshing. I went a little too heavy on the oil, and am sure that without that they would have been even better! Good warm or cold.</t>
        </is>
      </c>
    </row>
    <row r="1913">
      <c r="A1913" s="7" t="n">
        <v>89544</v>
      </c>
      <c r="B1913" s="7" t="n">
        <v>712464</v>
      </c>
      <c r="C1913" s="7" t="n">
        <v>47907</v>
      </c>
      <c r="D1913" s="7" t="n">
        <v>311167</v>
      </c>
      <c r="E1913" s="8" t="n">
        <v>39920</v>
      </c>
      <c r="F1913" s="7" t="n">
        <v>5</v>
      </c>
      <c r="G1913" s="7" t="inlineStr">
        <is>
          <t>Wonderful muffins!  I really enjoyed them.  They were easy to make and baked up nicely.  Thanks for posting!  Made for PAC Spring 2009.</t>
        </is>
      </c>
    </row>
    <row r="1914">
      <c r="A1914" s="7" t="n">
        <v>6909</v>
      </c>
      <c r="B1914" s="7" t="n">
        <v>655378</v>
      </c>
      <c r="C1914" s="7" t="n">
        <v>385678</v>
      </c>
      <c r="D1914" s="7" t="n">
        <v>192052</v>
      </c>
      <c r="E1914" s="8" t="n">
        <v>39413</v>
      </c>
      <c r="F1914" s="7" t="n">
        <v>5</v>
      </c>
      <c r="G1914" s="7" t="inlineStr">
        <is>
          <t>Really yummy cinnamon toast!  I love easy and quick things for breakfast and this was both.  My kids loved it.  Thanks!</t>
        </is>
      </c>
    </row>
    <row r="1915">
      <c r="A1915" s="7" t="n">
        <v>112911</v>
      </c>
      <c r="B1915" s="7" t="n">
        <v>796505</v>
      </c>
      <c r="C1915" s="7" t="n">
        <v>1169937</v>
      </c>
      <c r="D1915" s="7" t="n">
        <v>337526</v>
      </c>
      <c r="E1915" s="8" t="n">
        <v>40023</v>
      </c>
      <c r="F1915" s="7" t="n">
        <v>5</v>
      </c>
      <c r="G1915" s="7" t="inlineStr">
        <is>
          <t>I usually just dice mango and avocado for salad.  It never occurred to me to throw them both in a blender.  Yummy, light refreshing dessert for summer with no added sugar.  Great for kids.</t>
        </is>
      </c>
    </row>
    <row r="1916">
      <c r="A1916" s="7" t="n">
        <v>52126</v>
      </c>
      <c r="B1916" s="7" t="n">
        <v>524995</v>
      </c>
      <c r="C1916" s="7" t="n">
        <v>904655</v>
      </c>
      <c r="D1916" s="7" t="n">
        <v>17398</v>
      </c>
      <c r="E1916" s="8" t="n">
        <v>40305</v>
      </c>
      <c r="F1916" s="7" t="n">
        <v>5</v>
      </c>
      <c r="G1916" s="7" t="inlineStr">
        <is>
          <t>Great recipe here folks!! I have made it many times now.. in fact making it again this evening.. only change that I have made is that i don't precook my broccoli.. i sautee it with the garlic and red pepper flakes..to get a little browning on the garlic and broccoli then add the chicken broth.. wonderful flavor!! spicy yet the heat can be controlled by how much red pepper flakes are added. Making this tonight with italian herb dressing injected chicken breast .. and thats dinner.. give it a go if you haven't yet.. you will be pleasantly suprised in how easy and tasty this recipe is!! 5 stars..</t>
        </is>
      </c>
    </row>
    <row r="1917">
      <c r="A1917" s="7" t="n">
        <v>105639</v>
      </c>
      <c r="B1917" s="7" t="n">
        <v>769879</v>
      </c>
      <c r="C1917" s="7" t="n">
        <v>133174</v>
      </c>
      <c r="D1917" s="7" t="n">
        <v>204131</v>
      </c>
      <c r="E1917" s="8" t="n">
        <v>39199</v>
      </c>
      <c r="F1917" s="7" t="n">
        <v>4</v>
      </c>
      <c r="G1917" s="7" t="inlineStr">
        <is>
          <t>This was made this morning and was ready at lunch time.  The only thing I changed was adding Splenda after the tea had brewed.  This tea is lightly sweet with a hint of mint.</t>
        </is>
      </c>
    </row>
    <row r="1918">
      <c r="A1918" s="7" t="n">
        <v>98098</v>
      </c>
      <c r="B1918" s="7" t="n">
        <v>528565</v>
      </c>
      <c r="C1918" s="7" t="n">
        <v>481018</v>
      </c>
      <c r="D1918" s="7" t="n">
        <v>376854</v>
      </c>
      <c r="E1918" s="8" t="n">
        <v>39201</v>
      </c>
      <c r="F1918" s="7" t="n">
        <v>5</v>
      </c>
      <c r="G1918" s="7" t="inlineStr">
        <is>
          <t>Very good. Everyone loved it. Didn't make it too spicy. May have been better spicier.</t>
        </is>
      </c>
    </row>
    <row r="1919">
      <c r="A1919" s="7" t="n">
        <v>96379</v>
      </c>
      <c r="B1919" s="7" t="n">
        <v>879806</v>
      </c>
      <c r="C1919" s="7" t="n">
        <v>369715</v>
      </c>
      <c r="D1919" s="7" t="n">
        <v>252134</v>
      </c>
      <c r="E1919" s="8" t="n">
        <v>39678</v>
      </c>
      <c r="F1919" s="7" t="n">
        <v>4</v>
      </c>
      <c r="G1919" s="7" t="inlineStr">
        <is>
          <t>This was good and easy to make. I followed the recipe as written other then I didn't add the parsley as I am not a fan. Good chili recipe.</t>
        </is>
      </c>
    </row>
    <row r="1920">
      <c r="A1920" s="7" t="n">
        <v>53249</v>
      </c>
      <c r="B1920" s="7" t="n">
        <v>534749</v>
      </c>
      <c r="C1920" s="7" t="n">
        <v>321879</v>
      </c>
      <c r="D1920" s="7" t="n">
        <v>113645</v>
      </c>
      <c r="E1920" s="8" t="n">
        <v>39280</v>
      </c>
      <c r="F1920" s="7" t="n">
        <v>5</v>
      </c>
      <c r="G1920" s="7" t="inlineStr">
        <is>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is>
      </c>
    </row>
    <row r="1921">
      <c r="A1921" s="7" t="n">
        <v>124217</v>
      </c>
      <c r="B1921" s="7" t="n">
        <v>780424</v>
      </c>
      <c r="C1921" s="7" t="n">
        <v>1007594</v>
      </c>
      <c r="D1921" s="7" t="n">
        <v>317411</v>
      </c>
      <c r="E1921" s="8" t="n">
        <v>39808</v>
      </c>
      <c r="F1921" s="7" t="n">
        <v>5</v>
      </c>
      <c r="G1921" s="7" t="inlineStr">
        <is>
          <t>out of all the beef spread recipes this one made the most sense and sounds great.I will try it today, thanks karen4</t>
        </is>
      </c>
    </row>
    <row r="1922">
      <c r="A1922" s="7" t="n">
        <v>43334</v>
      </c>
      <c r="B1922" s="7" t="n">
        <v>228196</v>
      </c>
      <c r="C1922" s="7" t="n">
        <v>1391107</v>
      </c>
      <c r="D1922" s="7" t="n">
        <v>29903</v>
      </c>
      <c r="E1922" s="8" t="n">
        <v>41190</v>
      </c>
      <c r="F1922" s="7" t="n">
        <v>4</v>
      </c>
      <c r="G1922" s="7" t="inlineStr">
        <is>
          <t>This needs to be made with fresh whipped cream .....not Cool Whip! Too many chemicals in that stuff and the taste is no where near what you achieve with fresh whipped cream. That was my substitution and the dessert was very tasty!</t>
        </is>
      </c>
    </row>
    <row r="1923">
      <c r="A1923" s="7" t="n">
        <v>108359</v>
      </c>
      <c r="B1923" s="7" t="n">
        <v>296071</v>
      </c>
      <c r="C1923" s="7" t="n">
        <v>921918</v>
      </c>
      <c r="D1923" s="7" t="n">
        <v>46922</v>
      </c>
      <c r="E1923" s="8" t="n">
        <v>41007</v>
      </c>
      <c r="F1923" s="7" t="n">
        <v>5</v>
      </c>
      <c r="G1923" s="7" t="inlineStr">
        <is>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is>
      </c>
    </row>
    <row r="1924">
      <c r="A1924" s="7" t="n">
        <v>125015</v>
      </c>
      <c r="B1924" s="7" t="n">
        <v>57048</v>
      </c>
      <c r="C1924" s="7" t="n">
        <v>308434</v>
      </c>
      <c r="D1924" s="7" t="n">
        <v>145773</v>
      </c>
      <c r="E1924" s="8" t="n">
        <v>40100</v>
      </c>
      <c r="F1924" s="7" t="n">
        <v>5</v>
      </c>
      <c r="G1924" s="7" t="inlineStr">
        <is>
          <t>I have been making these for a few years now.  Everyone loves them!  I was going to put in Zaar to get the nutritional facts...and here you are. Thank you so much for posting.</t>
        </is>
      </c>
    </row>
    <row r="1925">
      <c r="A1925" t="n">
        <v>69614</v>
      </c>
      <c r="B1925" t="n">
        <v>449978</v>
      </c>
      <c r="C1925" t="n">
        <v>266635</v>
      </c>
      <c r="D1925" t="n">
        <v>406807</v>
      </c>
      <c r="E1925" s="1" t="n">
        <v>41365</v>
      </c>
      <c r="F1925" t="n">
        <v>5</v>
      </c>
      <c r="G1925" t="inlineStr">
        <is>
          <t>This is a really nice all-purpose spice mix.  The only change that I made was to reduce the amount of onion powder.  This mix has a great aroma and I like the idea of combining the herbs with the earthy spices like chili powder and cumin.  Made for Spring PAC, March, 2013.</t>
        </is>
      </c>
    </row>
    <row r="1926">
      <c r="A1926" s="7" t="n">
        <v>40107</v>
      </c>
      <c r="B1926" s="7" t="n">
        <v>989973</v>
      </c>
      <c r="C1926" s="7" t="n">
        <v>178427</v>
      </c>
      <c r="D1926" s="7" t="n">
        <v>199743</v>
      </c>
      <c r="E1926" s="8" t="n">
        <v>41003</v>
      </c>
      <c r="F1926" s="7" t="n">
        <v>5</v>
      </c>
      <c r="G1926" s="7" t="inlineStr">
        <is>
          <t>I added a slash of almond flavored coffee creamer to this. I loved the spices used. I put peanut butter and maple syrup on mine. Super delicious and very easy to make. Thanks for sharing. Made for Spring PAC 2012.</t>
        </is>
      </c>
    </row>
    <row r="1927">
      <c r="A1927" s="7" t="n">
        <v>82908</v>
      </c>
      <c r="B1927" s="7" t="n">
        <v>951045</v>
      </c>
      <c r="C1927" s="7" t="n">
        <v>357938</v>
      </c>
      <c r="D1927" s="7" t="n">
        <v>387843</v>
      </c>
      <c r="E1927" s="8" t="n">
        <v>41275</v>
      </c>
      <c r="F1927" s="7" t="n">
        <v>1</v>
      </c>
      <c r="G1927" s="7" t="inlineStr">
        <is>
          <t>1 TABLESPOON of black pepper is too much.  I was looking for a similar recipe that I had tasted years ago and this was NOT it.  The pepper was so overbearing, could not eat it.</t>
        </is>
      </c>
    </row>
    <row r="1928">
      <c r="A1928" s="7" t="n">
        <v>59535</v>
      </c>
      <c r="B1928" s="7" t="n">
        <v>493561</v>
      </c>
      <c r="C1928" s="7" t="n">
        <v>512461</v>
      </c>
      <c r="D1928" s="7" t="n">
        <v>71373</v>
      </c>
      <c r="E1928" s="8" t="n">
        <v>39911</v>
      </c>
      <c r="F1928" s="7" t="n">
        <v>5</v>
      </c>
      <c r="G1928" s="7" t="inlineStr">
        <is>
          <t>This bread was soooo good. Very light. Probably the best bread we've made.</t>
        </is>
      </c>
    </row>
    <row r="1929">
      <c r="A1929" s="7" t="n">
        <v>80475</v>
      </c>
      <c r="B1929" s="7" t="n">
        <v>923348</v>
      </c>
      <c r="C1929" s="7" t="n">
        <v>156653</v>
      </c>
      <c r="D1929" s="7" t="n">
        <v>41489</v>
      </c>
      <c r="E1929" s="8" t="n">
        <v>38324</v>
      </c>
      <c r="F1929" s="7" t="n">
        <v>5</v>
      </c>
      <c r="G1929" s="7" t="inlineStr">
        <is>
          <t>MMMM...So good! I also added a little bit of cinnamon to the dry mixture just to tie the topping flavor to the scones. YUM!</t>
        </is>
      </c>
    </row>
    <row r="1930">
      <c r="A1930" s="7" t="n">
        <v>111455</v>
      </c>
      <c r="B1930" s="7" t="n">
        <v>1015975</v>
      </c>
      <c r="C1930" s="7" t="n">
        <v>280166</v>
      </c>
      <c r="D1930" s="7" t="n">
        <v>92022</v>
      </c>
      <c r="E1930" s="8" t="n">
        <v>39455</v>
      </c>
      <c r="F1930" s="7" t="n">
        <v>5</v>
      </c>
      <c r="G1930" s="7" t="inlineStr">
        <is>
          <t>These were exceptional!  I love tomatoes and these were a new way to prepare them.  Can't wait until summer!  Thanks for posting</t>
        </is>
      </c>
    </row>
    <row r="1931">
      <c r="A1931" s="7" t="n">
        <v>110848</v>
      </c>
      <c r="B1931" s="7" t="n">
        <v>486447</v>
      </c>
      <c r="C1931" s="7" t="n">
        <v>991523</v>
      </c>
      <c r="D1931" s="7" t="n">
        <v>59000</v>
      </c>
      <c r="E1931" s="8" t="n">
        <v>40254</v>
      </c>
      <c r="F1931" s="7" t="n">
        <v>5</v>
      </c>
      <c r="G1931" s="7" t="inlineStr">
        <is>
          <t>I have tried alot of banana bread/bar recipes and this is my favorite.  I used 2 8x8 baking pans and followed the recipe exactly.  My cooking time was a little longer but that is because of my oven.  This recipe is a keeper.  Thanks for a great recipe!</t>
        </is>
      </c>
    </row>
    <row r="1932" ht="409.5" customHeight="1">
      <c r="A1932" s="7" t="n">
        <v>4422</v>
      </c>
      <c r="B1932" s="7" t="n">
        <v>332831</v>
      </c>
      <c r="C1932" s="7" t="n">
        <v>58206</v>
      </c>
      <c r="D1932" s="7" t="n">
        <v>14834</v>
      </c>
      <c r="E1932" s="8" t="n">
        <v>37748</v>
      </c>
      <c r="F1932" s="7" t="n">
        <v>5</v>
      </c>
      <c r="G1932" s="9" t="inlineStr">
        <is>
          <t xml:space="preserve">Dear users of this recipe!_x000D_
&gt;PLEASE,NOTE! Too hot milk kills the yeast!&lt; _x000D_
Do NOT BOIL the yeast in the milk! _x000D_
The milk should be lukewarm (or fingerwarm) and the yeast will double itself nicely!_x000D_
Dry yeast can stand up to +45 C, _x000D_
but is fine already at +40C._x000D_
Fresh yeast needs even less warmth._x000D_
Body-warmth (+37C) is perfect but_x000D_
you can use cold milk. The rising takes longer though! Overnight in the fridge (big bowl) is a brilliant thing for Breakfast Buns!_x000D_
Good luck and have another try!_x000D_
It IS easy!_x000D_
Greetings from Sweden in May 2003_x000D_
Margareta_x000D_
 </t>
        </is>
      </c>
    </row>
    <row r="1933">
      <c r="A1933" s="7" t="n">
        <v>18955</v>
      </c>
      <c r="B1933" s="7" t="n">
        <v>1074422</v>
      </c>
      <c r="C1933" s="7" t="n">
        <v>653438</v>
      </c>
      <c r="D1933" s="7" t="n">
        <v>135350</v>
      </c>
      <c r="E1933" s="8" t="n">
        <v>40114</v>
      </c>
      <c r="F1933" s="7" t="n">
        <v>5</v>
      </c>
      <c r="G1933" s="7" t="inlineStr">
        <is>
          <t>Fixed this the other night when we went up to the cabin to close it up....I cut the recipe in half, added about another 1/4 cup of cream and added some garlic (we love garlic).  This was a delicious and creamy dish and one I definately will make again.  Served with a green salad.   Made for Alphabet Chef Tag 2009.</t>
        </is>
      </c>
    </row>
    <row r="1934">
      <c r="A1934" s="7" t="n">
        <v>12398</v>
      </c>
      <c r="B1934" s="7" t="n">
        <v>424292</v>
      </c>
      <c r="C1934" s="7" t="n">
        <v>222534</v>
      </c>
      <c r="D1934" s="7" t="n">
        <v>43824</v>
      </c>
      <c r="E1934" s="8" t="n">
        <v>38677</v>
      </c>
      <c r="F1934" s="7" t="n">
        <v>4</v>
      </c>
      <c r="G1934" s="7" t="inlineStr">
        <is>
          <t xml:space="preserve">Hungry for a coconut cream pie but looking for something easy, I found this recipe and it took only a few moments to put together (the only variant I used was to sprinkle some cinnamon on top for color and aroma).  Popped it in the over and then out to cool and found it fit the bill perfectly. Easy, coconut cream flavor without the fuss and my partner loved it too and she is not a big coconut fan. Thanks so much for sharing this with us. Sure to show up on a regular basis around here. </t>
        </is>
      </c>
    </row>
    <row r="1935">
      <c r="A1935" s="7" t="n">
        <v>101703</v>
      </c>
      <c r="B1935" s="7" t="n">
        <v>345026</v>
      </c>
      <c r="C1935" s="7" t="n">
        <v>632249</v>
      </c>
      <c r="D1935" s="7" t="n">
        <v>87356</v>
      </c>
      <c r="E1935" s="8" t="n">
        <v>40146</v>
      </c>
      <c r="F1935" s="7" t="n">
        <v>5</v>
      </c>
      <c r="G1935" s="7" t="inlineStr">
        <is>
          <t>What a great little coffee cake! I love that it is made the night before and then refrigerated because that just makes it even easier to serve guests the next day. The topping was really delicious too. The only change I would make is to the directions in step #1. I think it would be clearer if it said to mix the "topping" ingredients with a fork. (I assumed that this is what you meant so that's what I did.  I used a mixer to cream the shortening, sugar, etc.) This is going in my "favourites" book and will be made many more times. Thx so much Gerry!</t>
        </is>
      </c>
    </row>
    <row r="1936">
      <c r="A1936" s="7" t="n">
        <v>88676</v>
      </c>
      <c r="B1936" s="7" t="n">
        <v>680320</v>
      </c>
      <c r="C1936" s="7" t="n">
        <v>115178</v>
      </c>
      <c r="D1936" s="7" t="n">
        <v>59898</v>
      </c>
      <c r="E1936" s="8" t="n">
        <v>38009</v>
      </c>
      <c r="F1936" s="7" t="n">
        <v>4</v>
      </c>
      <c r="G1936" s="7" t="inlineStr">
        <is>
          <t>I attempted to make it the other day I had everything all ready in a bowl when I realized my feta had gone bad..but I substituted parmesan cheese and it was great, it reminded me of a creamy garlic dressing...Today I had the "real thing" I added feta and it was good, there wasnt all too much of a difference in the taste between using the feta and using parmesan, I think because the garlic is a powerful ingredient in this recipe. I am a garlic lover though. I halved the recipe.</t>
        </is>
      </c>
    </row>
    <row r="1937">
      <c r="A1937" s="7" t="n">
        <v>9977</v>
      </c>
      <c r="B1937" s="7" t="n">
        <v>921291</v>
      </c>
      <c r="C1937" s="7" t="n">
        <v>866963</v>
      </c>
      <c r="D1937" s="7" t="n">
        <v>68644</v>
      </c>
      <c r="E1937" s="8" t="n">
        <v>39833</v>
      </c>
      <c r="F1937" s="7" t="n">
        <v>4</v>
      </c>
      <c r="G1937" s="7" t="inlineStr">
        <is>
          <t>These were very good and juicy.  After the burgers were done I cut the kaiser rolls in half and dipped them in the melted butter/pan drippings and toasted them.  It was unnecessary to even use anything else (ketchup or mustard) on them.</t>
        </is>
      </c>
    </row>
    <row r="1938">
      <c r="A1938" t="n">
        <v>97052</v>
      </c>
      <c r="B1938" t="n">
        <v>597336</v>
      </c>
      <c r="C1938" t="n">
        <v>41654</v>
      </c>
      <c r="D1938" t="n">
        <v>130244</v>
      </c>
      <c r="E1938" s="1" t="n">
        <v>39201</v>
      </c>
      <c r="F1938" t="n">
        <v>5</v>
      </c>
      <c r="G1938" t="inlineStr">
        <is>
          <t>These are wonderful. I added a little red peper flake to the cream cheese with great results. Make half egg and bacon and half egg mushroom and spinach. They where super simple to make. I am going to have to try many more variations.</t>
        </is>
      </c>
    </row>
    <row r="1939">
      <c r="A1939" s="7" t="n">
        <v>19593</v>
      </c>
      <c r="B1939" s="7" t="n">
        <v>120112</v>
      </c>
      <c r="C1939" s="7" t="n">
        <v>85826</v>
      </c>
      <c r="D1939" s="7" t="n">
        <v>40125</v>
      </c>
      <c r="E1939" s="8" t="n">
        <v>39546</v>
      </c>
      <c r="F1939" s="7" t="n">
        <v>5</v>
      </c>
      <c r="G1939" s="7" t="inlineStr">
        <is>
          <t>Great one! We eat alot of brocolli, its my husband's favorite veggie. This brought freshness and delight to the whole thing! Thanks bunches.</t>
        </is>
      </c>
    </row>
    <row r="1940">
      <c r="A1940" s="7" t="n">
        <v>96370</v>
      </c>
      <c r="B1940" s="7" t="n">
        <v>556882</v>
      </c>
      <c r="C1940" s="7" t="n">
        <v>264017</v>
      </c>
      <c r="D1940" s="7" t="n">
        <v>325425</v>
      </c>
      <c r="E1940" s="8" t="n">
        <v>39732</v>
      </c>
      <c r="F1940" s="7" t="n">
        <v>5</v>
      </c>
      <c r="G1940" s="7" t="inlineStr">
        <is>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is>
      </c>
    </row>
    <row r="1941">
      <c r="A1941" s="7" t="n">
        <v>919</v>
      </c>
      <c r="B1941" s="7" t="n">
        <v>806005</v>
      </c>
      <c r="C1941" s="7" t="n">
        <v>103876</v>
      </c>
      <c r="D1941" s="7" t="n">
        <v>27742</v>
      </c>
      <c r="E1941" s="8" t="n">
        <v>39343</v>
      </c>
      <c r="F1941" s="7" t="n">
        <v>5</v>
      </c>
      <c r="G1941" s="7" t="inlineStr">
        <is>
          <t>This turned out really great!  I spooned it in a dish over spread cream cheese and it was delightful!  It took a little time to make it, but the flavor was worth the effort.</t>
        </is>
      </c>
    </row>
    <row r="1942">
      <c r="A1942" s="7" t="n">
        <v>89762</v>
      </c>
      <c r="B1942" s="7" t="n">
        <v>892559</v>
      </c>
      <c r="C1942" s="7" t="n">
        <v>374416</v>
      </c>
      <c r="D1942" s="7" t="n">
        <v>211001</v>
      </c>
      <c r="E1942" s="8" t="n">
        <v>39248</v>
      </c>
      <c r="F1942" s="7" t="n">
        <v>5</v>
      </c>
      <c r="G1942" s="7" t="inlineStr">
        <is>
          <t>Oh, French Tart, this was truly amazing.  How can a mixture of onion, spices, and wine not be delicious??  It tasted like French onion soup minus the broth.  As suggested, I used this with your Stir-Fried Savoy Cabbage recipe.  Thanks!</t>
        </is>
      </c>
    </row>
    <row r="1943">
      <c r="A1943" s="7" t="n">
        <v>125672</v>
      </c>
      <c r="B1943" s="7" t="n">
        <v>1069061</v>
      </c>
      <c r="C1943" s="7" t="n">
        <v>498271</v>
      </c>
      <c r="D1943" s="7" t="n">
        <v>486800</v>
      </c>
      <c r="E1943" s="8" t="n">
        <v>41310</v>
      </c>
      <c r="F1943" s="7" t="n">
        <v>5</v>
      </c>
      <c r="G1943" s="7" t="inlineStr">
        <is>
          <t>This is such a simple and easy recipe and it's not just good - it's terrific!  I made my own taco seasoning using recipe #244839.  The only change I made was actually cooking the chicken breast in the soup, then shredding it before serving.  Fix it and forget it and have a great and hearty meal waiting at the end of the day - thanks for sharing the recipe!</t>
        </is>
      </c>
    </row>
    <row r="1944">
      <c r="A1944" s="7" t="n">
        <v>23501</v>
      </c>
      <c r="B1944" s="7" t="n">
        <v>853801</v>
      </c>
      <c r="C1944" s="7" t="n">
        <v>29196</v>
      </c>
      <c r="D1944" s="7" t="n">
        <v>387869</v>
      </c>
      <c r="E1944" s="8" t="n">
        <v>40154</v>
      </c>
      <c r="F1944" s="7" t="n">
        <v>4</v>
      </c>
      <c r="G1944" s="7" t="inlineStr">
        <is>
          <t>We really enjoyed this although I'd cut back on the dill a bit and omit the lemon juice next time as there seemed to be enough tartness  with the capers and cornichons. A good grinding of pepper really lifted the salad too.</t>
        </is>
      </c>
    </row>
    <row r="1945" ht="409.5" customHeight="1">
      <c r="A1945" s="7" t="n">
        <v>79084</v>
      </c>
      <c r="B1945" s="7" t="n">
        <v>142316</v>
      </c>
      <c r="C1945" s="7" t="n">
        <v>270514</v>
      </c>
      <c r="D1945" s="7" t="n">
        <v>38435</v>
      </c>
      <c r="E1945" s="8" t="n">
        <v>40198</v>
      </c>
      <c r="F1945" s="7" t="n">
        <v>2</v>
      </c>
      <c r="G1945" s="9" t="inlineStr">
        <is>
          <t>Ice Cream turned out pretty good.  I doubled the ingredients but it
really didn't make too much.  Next time I think it would taste better if
you chopped the peaches rather that puree them..
Thanks!</t>
        </is>
      </c>
    </row>
    <row r="1946">
      <c r="A1946" s="7" t="n">
        <v>122574</v>
      </c>
      <c r="B1946" s="7" t="n">
        <v>242910</v>
      </c>
      <c r="C1946" s="7" t="n">
        <v>29820</v>
      </c>
      <c r="D1946" s="7" t="n">
        <v>17937</v>
      </c>
      <c r="E1946" s="8" t="n">
        <v>37298</v>
      </c>
      <c r="F1946" s="7" t="n">
        <v>5</v>
      </c>
      <c r="G1946" s="7" t="inlineStr">
        <is>
          <t>These are fantastic cookies.  The only thing I would add is a note saying not to stack these cookies as they will stick together.  Thank you for sharing this recipe.</t>
        </is>
      </c>
    </row>
    <row r="1947">
      <c r="A1947" s="7" t="n">
        <v>117411</v>
      </c>
      <c r="B1947" s="7" t="n">
        <v>563372</v>
      </c>
      <c r="C1947" s="7" t="n">
        <v>369715</v>
      </c>
      <c r="D1947" s="7" t="n">
        <v>408525</v>
      </c>
      <c r="E1947" s="8" t="n">
        <v>41238</v>
      </c>
      <c r="F1947" s="7" t="n">
        <v>2</v>
      </c>
      <c r="G1947" s="7" t="inlineStr">
        <is>
          <t>This was just OK for us. I used six chops but we thought the basil was really overpowering. I even used a whole can of chicken broth but that didn't seem to help. These were really dry for us too.</t>
        </is>
      </c>
    </row>
    <row r="1948">
      <c r="A1948" s="7" t="n">
        <v>116839</v>
      </c>
      <c r="B1948" s="7" t="n">
        <v>406642</v>
      </c>
      <c r="C1948" s="7" t="n">
        <v>1112848</v>
      </c>
      <c r="D1948" s="7" t="n">
        <v>495275</v>
      </c>
      <c r="E1948" s="8" t="n">
        <v>41322</v>
      </c>
      <c r="F1948" s="7" t="n">
        <v>5</v>
      </c>
      <c r="G1948" s="7" t="inlineStr">
        <is>
          <t>FABULOUS combo of ingredients</t>
        </is>
      </c>
    </row>
    <row r="1949">
      <c r="A1949" s="7" t="n">
        <v>43786</v>
      </c>
      <c r="B1949" s="7" t="n">
        <v>170646</v>
      </c>
      <c r="C1949" s="7" t="n">
        <v>108367</v>
      </c>
      <c r="D1949" s="7" t="n">
        <v>413424</v>
      </c>
      <c r="E1949" s="8" t="n">
        <v>40301</v>
      </c>
      <c r="F1949" s="7" t="n">
        <v>5</v>
      </c>
      <c r="G1949" s="7" t="inlineStr">
        <is>
          <t>You could change the name to "Died and gone to Heaven Banana Bread".  The best recipe I have ever tried for BB.  Try a slice with Druken Strawberries on top--bet you can't stop at one slice.  Thanks for the best BB recipe.</t>
        </is>
      </c>
    </row>
    <row r="1950" ht="409.5" customHeight="1">
      <c r="A1950" t="n">
        <v>112345</v>
      </c>
      <c r="B1950" t="n">
        <v>141577</v>
      </c>
      <c r="C1950" t="n">
        <v>431867</v>
      </c>
      <c r="D1950" t="n">
        <v>135874</v>
      </c>
      <c r="E1950" s="1" t="n">
        <v>39691</v>
      </c>
      <c r="F1950" t="n">
        <v>5</v>
      </c>
      <c r="G1950" s="2" t="inlineStr">
        <is>
          <t>Thanks so much for this recipe. I have been looking for ages for an easy bran muffin recipe, and this one is especially great because you can alter it in (I assume) so many ways. I made my own buttermilk by warming 1c semi skimmed milk and adding 2T lemon juice.  I also used 1t cinnamon    and 1t nutmeg and added chopped walnut and used 1/2 c white flour &amp; 1c wholemeal flour. Gorgeous!
I also will update when I try alternatives out as I think this would be great with apples &amp; molasses and I would like to try using apple sauce instead of the oil.</t>
        </is>
      </c>
    </row>
    <row r="1951">
      <c r="A1951" s="7" t="n">
        <v>50365</v>
      </c>
      <c r="B1951" s="7" t="n">
        <v>740792</v>
      </c>
      <c r="C1951" s="7" t="n">
        <v>2002160797</v>
      </c>
      <c r="D1951" s="7" t="n">
        <v>118545</v>
      </c>
      <c r="E1951" s="8" t="n">
        <v>43242</v>
      </c>
      <c r="F1951" s="7" t="n">
        <v>5</v>
      </c>
      <c r="G1951" s="7" t="inlineStr">
        <is>
          <t>My malva pudding turned out amazing! The only tweaks I made were reducing the sugar for the pudding, increasing the amount of flour to 200g and adding an extra spoon of apricot jam. The pudding was so moist and delicious, I will definitely use this recipe again and again!</t>
        </is>
      </c>
    </row>
    <row r="1952">
      <c r="A1952" s="7" t="n">
        <v>91272</v>
      </c>
      <c r="B1952" s="7" t="n">
        <v>31298</v>
      </c>
      <c r="C1952" s="7" t="n">
        <v>212391</v>
      </c>
      <c r="D1952" s="7" t="n">
        <v>8596</v>
      </c>
      <c r="E1952" s="8" t="n">
        <v>38501</v>
      </c>
      <c r="F1952" s="7" t="n">
        <v>5</v>
      </c>
      <c r="G1952" s="7" t="inlineStr">
        <is>
          <t>This was great!  Even after I messed it up...FIRST, I almost burnt the butter b/c my heat was too high (it started turning brown).  Then I didn't have a full pint of cream, so I replaced the last 1/4 c. with whole milk.  I used neuchatel cheese instead of cream cheese, which I discovered, does not melt.  So I had this big lump of neuchatel cheese covered in garlic powder.    Gross.  Anyway, I kept cooking in the hopes that the flavor would at least sink in, and the cheese did melt a tad bit, but I just removed the big lump when I was done and it still turned out fantastic!!  It was good for leftovers too, but it DEFINITELY should be eaten soon after being made.</t>
        </is>
      </c>
    </row>
    <row r="1953">
      <c r="A1953" s="7" t="n">
        <v>25039</v>
      </c>
      <c r="B1953" s="7" t="n">
        <v>445467</v>
      </c>
      <c r="C1953" s="7" t="n">
        <v>248420</v>
      </c>
      <c r="D1953" s="7" t="n">
        <v>63131</v>
      </c>
      <c r="E1953" s="8" t="n">
        <v>38663</v>
      </c>
      <c r="F1953" s="7" t="n">
        <v>5</v>
      </c>
      <c r="G1953" s="7" t="inlineStr">
        <is>
          <t>My fiance loved these.  He keeps asking me to make more.  I used grape nuts and some Kashi cereal that we had on hand.  Very good with chocolate chips.</t>
        </is>
      </c>
    </row>
    <row r="1954">
      <c r="A1954" s="7" t="n">
        <v>83442</v>
      </c>
      <c r="B1954" s="7" t="n">
        <v>962898</v>
      </c>
      <c r="C1954" s="7" t="n">
        <v>527886</v>
      </c>
      <c r="D1954" s="7" t="n">
        <v>63346</v>
      </c>
      <c r="E1954" s="8" t="n">
        <v>39774</v>
      </c>
      <c r="F1954" s="7" t="n">
        <v>3</v>
      </c>
      <c r="G1954" s="7" t="inlineStr">
        <is>
          <t>A pleasant cake to use up some beets. I substitute mashed banana for half of the oil, and reduce the sugar by 1/3, so it's a little more nutritious. A little more cinammon, or pumpkin spice, adds some subtle flavor, or chopped dried fruit for little falvor bursts. The batter is very pink, but that color goes away in baking. Shred the beets as fine as possible, to help them stay evenly dispersed through the batter.</t>
        </is>
      </c>
    </row>
    <row r="1955">
      <c r="A1955" s="7" t="n">
        <v>3123</v>
      </c>
      <c r="B1955" s="7" t="n">
        <v>1056814</v>
      </c>
      <c r="C1955" s="7" t="n">
        <v>540322</v>
      </c>
      <c r="D1955" s="7" t="n">
        <v>260314</v>
      </c>
      <c r="E1955" s="8" t="n">
        <v>39378</v>
      </c>
      <c r="F1955" s="7" t="n">
        <v>4</v>
      </c>
      <c r="G1955" s="7" t="inlineStr">
        <is>
          <t>We liked this one an awful lot. Needed to be careful not to overcook the cucumber so that it's still crisp, but it was delish! A definite keeper. Thanks, Jen!</t>
        </is>
      </c>
    </row>
    <row r="1956">
      <c r="A1956" t="n">
        <v>38285</v>
      </c>
      <c r="B1956" t="n">
        <v>645142</v>
      </c>
      <c r="C1956" t="n">
        <v>107135</v>
      </c>
      <c r="D1956" t="n">
        <v>153096</v>
      </c>
      <c r="E1956" s="1" t="n">
        <v>39047</v>
      </c>
      <c r="F1956" t="n">
        <v>5</v>
      </c>
      <c r="G1956" t="inlineStr">
        <is>
          <t>i liked this for brunch</t>
        </is>
      </c>
    </row>
    <row r="1957">
      <c r="A1957" s="7" t="n">
        <v>39554</v>
      </c>
      <c r="B1957" s="7" t="n">
        <v>722088</v>
      </c>
      <c r="C1957" s="7" t="n">
        <v>1352934</v>
      </c>
      <c r="D1957" s="7" t="n">
        <v>364764</v>
      </c>
      <c r="E1957" s="8" t="n">
        <v>40221</v>
      </c>
      <c r="F1957" s="7" t="n">
        <v>1</v>
      </c>
      <c r="G1957" s="7" t="inlineStr">
        <is>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is>
      </c>
    </row>
    <row r="1958">
      <c r="A1958" s="7" t="n">
        <v>108960</v>
      </c>
      <c r="B1958" s="7" t="n">
        <v>614582</v>
      </c>
      <c r="C1958" s="7" t="n">
        <v>233496</v>
      </c>
      <c r="D1958" s="7" t="n">
        <v>2560</v>
      </c>
      <c r="E1958" s="8" t="n">
        <v>38569</v>
      </c>
      <c r="F1958" s="7" t="n">
        <v>4</v>
      </c>
      <c r="G1958" s="7" t="inlineStr">
        <is>
          <t>Very easy and tastes great.  I used both green and red cabbage....very colorful!  I got lots of complements on it!</t>
        </is>
      </c>
    </row>
    <row r="1959">
      <c r="A1959" s="7" t="n">
        <v>35979</v>
      </c>
      <c r="B1959" s="7" t="n">
        <v>947133</v>
      </c>
      <c r="C1959" s="7" t="n">
        <v>844554</v>
      </c>
      <c r="D1959" s="7" t="n">
        <v>250232</v>
      </c>
      <c r="E1959" s="8" t="n">
        <v>40396</v>
      </c>
      <c r="F1959" s="7" t="n">
        <v>4</v>
      </c>
      <c r="G1959" s="7" t="inlineStr">
        <is>
          <t>These were very easy and good. Made for Zaar Cookbook Tag Game 2010.</t>
        </is>
      </c>
    </row>
    <row r="1960">
      <c r="A1960" s="7" t="n">
        <v>10173</v>
      </c>
      <c r="B1960" s="7" t="n">
        <v>425282</v>
      </c>
      <c r="C1960" s="7" t="n">
        <v>42720</v>
      </c>
      <c r="D1960" s="7" t="n">
        <v>23731</v>
      </c>
      <c r="E1960" s="8" t="n">
        <v>37752</v>
      </c>
      <c r="F1960" s="7" t="n">
        <v>5</v>
      </c>
      <c r="G1960" s="7" t="inlineStr">
        <is>
          <t>I love cheesecake and there are so many wonderful recipes out there for cheesecakes, but you just can't beat this one for quick and easy preparation. This makes a very good, basic cheesecake and in my opinion is delicious.  Our favorite topping is fresh strawberries, sliced and tossed with a small amount of sugar, then chilled until a natural syrup forms.  YUM!!!  Thanks for sharing, MizzNezz!</t>
        </is>
      </c>
    </row>
    <row r="1961">
      <c r="A1961" t="n">
        <v>77589</v>
      </c>
      <c r="B1961" t="n">
        <v>839015</v>
      </c>
      <c r="C1961" t="n">
        <v>223102</v>
      </c>
      <c r="D1961" t="n">
        <v>50126</v>
      </c>
      <c r="E1961" s="1" t="n">
        <v>39282</v>
      </c>
      <c r="F1961" t="n">
        <v>4</v>
      </c>
      <c r="G1961" t="inlineStr">
        <is>
          <t>This was a great recipe.  I even gave it my sister in law who is new at baking and she loved the consistency of the dough and the easy ingredients.  I halved the recipe once and it came out great!</t>
        </is>
      </c>
    </row>
    <row r="1962">
      <c r="A1962" s="7" t="n">
        <v>35752</v>
      </c>
      <c r="B1962" s="7" t="n">
        <v>466122</v>
      </c>
      <c r="C1962" s="7" t="n">
        <v>225021</v>
      </c>
      <c r="D1962" s="7" t="n">
        <v>120817</v>
      </c>
      <c r="E1962" s="8" t="n">
        <v>38870</v>
      </c>
      <c r="F1962" s="7" t="n">
        <v>5</v>
      </c>
      <c r="G1962" s="7" t="inlineStr">
        <is>
          <t>Sometimes the easiest recipes are the best! Make sure your mango is very ripe (but not overripe) and follow Kate's instructions to blend until frothy and you are in for a treat. I had this with half a cup of mango puree for breakfast and will mix me another one with the remaining mango puree tonight. Delicious!</t>
        </is>
      </c>
    </row>
    <row r="1963">
      <c r="A1963" s="7" t="n">
        <v>82453</v>
      </c>
      <c r="B1963" s="7" t="n">
        <v>643823</v>
      </c>
      <c r="C1963" s="7" t="n">
        <v>119466</v>
      </c>
      <c r="D1963" s="7" t="n">
        <v>97739</v>
      </c>
      <c r="E1963" s="8" t="n">
        <v>38848</v>
      </c>
      <c r="F1963" s="7" t="n">
        <v>5</v>
      </c>
      <c r="G1963" s="7" t="inlineStr">
        <is>
          <t>This was an easy, tasty treat--we enjoyed it on biscotti. I used reduced-fat cream cheese and will admit, I really didn't beat it much, but it worked out well anyway. :)  Thanks for posting!</t>
        </is>
      </c>
    </row>
    <row r="1964">
      <c r="A1964" s="7" t="n">
        <v>35182</v>
      </c>
      <c r="B1964" s="7" t="n">
        <v>786920</v>
      </c>
      <c r="C1964" s="7" t="n">
        <v>482812</v>
      </c>
      <c r="D1964" s="7" t="n">
        <v>223560</v>
      </c>
      <c r="E1964" s="8" t="n">
        <v>39195</v>
      </c>
      <c r="F1964" s="7" t="n">
        <v>5</v>
      </c>
      <c r="G1964" s="7" t="inlineStr">
        <is>
          <t>These were so good!  I left out the rosemary because I didn't have any, but I kept everything else the same.  When they first came out of the oven, I wasn't impressed, but after they cooled, the flavor really came through.  These are definitely my new favorite way to cook sweet potatoes!</t>
        </is>
      </c>
    </row>
    <row r="1965">
      <c r="A1965" s="7" t="n">
        <v>59673</v>
      </c>
      <c r="B1965" s="7" t="n">
        <v>50822</v>
      </c>
      <c r="C1965" s="7" t="n">
        <v>315565</v>
      </c>
      <c r="D1965" s="7" t="n">
        <v>151959</v>
      </c>
      <c r="E1965" s="8" t="n">
        <v>40205</v>
      </c>
      <c r="F1965" s="7" t="n">
        <v>5</v>
      </c>
      <c r="G1965" s="7" t="inlineStr">
        <is>
          <t>10 stars from the children .I added chopped herbs from the garden to the crumbs. DD had BBQ sauce with hers and DS had hommus - fantastic !!</t>
        </is>
      </c>
    </row>
    <row r="1966" ht="135" customHeight="1">
      <c r="A1966" s="7" t="n">
        <v>90413</v>
      </c>
      <c r="B1966" s="7" t="n">
        <v>837366</v>
      </c>
      <c r="C1966" s="7" t="n">
        <v>297417</v>
      </c>
      <c r="D1966" s="7" t="n">
        <v>155744</v>
      </c>
      <c r="E1966" s="8" t="n">
        <v>38775</v>
      </c>
      <c r="F1966" s="7" t="n">
        <v>5</v>
      </c>
      <c r="G1966" s="9" t="inlineStr">
        <is>
          <t xml:space="preserve">This is very good. _x000D_
A must for pizza lovers!! _x000D_
George Vreeland Hill </t>
        </is>
      </c>
    </row>
    <row r="1967">
      <c r="A1967" s="7" t="n">
        <v>8734</v>
      </c>
      <c r="B1967" s="7" t="n">
        <v>298416</v>
      </c>
      <c r="C1967" s="7" t="n">
        <v>2342167</v>
      </c>
      <c r="D1967" s="7" t="n">
        <v>99310</v>
      </c>
      <c r="E1967" s="8" t="n">
        <v>41115</v>
      </c>
      <c r="F1967" s="7" t="n">
        <v>5</v>
      </c>
      <c r="G1967" s="7" t="inlineStr">
        <is>
          <t>Mmmm, it was hard for the two of us not to eat the whole pot! I used finely minced lemongrass from the freezer section of a specialty store, 2-3 T. I added a green onion and 2T of Vidalia onion slivers with the garlic, skipped bamboo shoots and used a few carrot slivers with the peppers. I added a T or more of water with the Thai red curry paste to help the mixing consistency. After I added the coconut milk I decided against the fish sauce. The fragrance was just too beautiful to mess with. A bit of tamari worked well. The halibut was an excellent choice, and basil and cilantro is an important element. Jasmine brown rice was a good partner. Bravo, and thanks!!</t>
        </is>
      </c>
    </row>
    <row r="1968">
      <c r="A1968" s="7" t="n">
        <v>117676</v>
      </c>
      <c r="B1968" s="7" t="n">
        <v>176722</v>
      </c>
      <c r="C1968" s="7" t="n">
        <v>638867</v>
      </c>
      <c r="D1968" s="7" t="n">
        <v>94609</v>
      </c>
      <c r="E1968" s="8" t="n">
        <v>39578</v>
      </c>
      <c r="F1968" s="7" t="n">
        <v>5</v>
      </c>
      <c r="G1968" s="7" t="inlineStr">
        <is>
          <t>I love these cupcakes!  I have made them 3 times now for various occasions and they are always a big hit.  I have made them the proper size and also as minis and they are great either way.  I usually dust some powdered sugar on top for visual effect, but they are just as yummy plain.  Awesome recipe!</t>
        </is>
      </c>
    </row>
    <row r="1969">
      <c r="A1969" s="7" t="n">
        <v>22176</v>
      </c>
      <c r="B1969" s="7" t="n">
        <v>675283</v>
      </c>
      <c r="C1969" s="7" t="n">
        <v>2000131534</v>
      </c>
      <c r="D1969" s="7" t="n">
        <v>180001</v>
      </c>
      <c r="E1969" s="8" t="n">
        <v>43294</v>
      </c>
      <c r="F1969" s="7" t="n">
        <v>0</v>
      </c>
      <c r="G1969" s="7" t="inlineStr">
        <is>
          <t>Absolutely wonderful, I even started another batch since they turned out so good. Thank you for the recipe.</t>
        </is>
      </c>
    </row>
    <row r="1970" ht="90" customHeight="1">
      <c r="A1970" s="7" t="n">
        <v>30548</v>
      </c>
      <c r="B1970" s="7" t="n">
        <v>823820</v>
      </c>
      <c r="C1970" s="7" t="n">
        <v>25319</v>
      </c>
      <c r="D1970" s="7" t="n">
        <v>78814</v>
      </c>
      <c r="E1970" s="8" t="n">
        <v>38382</v>
      </c>
      <c r="F1970" s="7" t="n">
        <v>5</v>
      </c>
      <c r="G1970" s="9" t="inlineStr">
        <is>
          <t>Oh so good!_x000D_
_x000D_
I will be making this lots!</t>
        </is>
      </c>
    </row>
    <row r="1971" ht="315" customHeight="1">
      <c r="A1971" s="7" t="n">
        <v>59094</v>
      </c>
      <c r="B1971" s="7" t="n">
        <v>39017</v>
      </c>
      <c r="C1971" s="7" t="n">
        <v>288218</v>
      </c>
      <c r="D1971" s="7" t="n">
        <v>170022</v>
      </c>
      <c r="E1971" s="8" t="n">
        <v>38907</v>
      </c>
      <c r="F1971" s="7" t="n">
        <v>5</v>
      </c>
      <c r="G1971" s="9" t="inlineStr">
        <is>
          <t xml:space="preserve">Just perfect!!! Loved it! I made half of it and we eat it at once!!! _x000D_
I baked it for 60 minutes and they came out perfect. Thanks for such a great cake Charmie777!!! </t>
        </is>
      </c>
    </row>
    <row r="1972">
      <c r="A1972" s="7" t="n">
        <v>8499</v>
      </c>
      <c r="B1972" s="7" t="n">
        <v>140524</v>
      </c>
      <c r="C1972" s="7" t="n">
        <v>490142</v>
      </c>
      <c r="D1972" s="7" t="n">
        <v>61816</v>
      </c>
      <c r="E1972" s="8" t="n">
        <v>41026</v>
      </c>
      <c r="F1972" s="7" t="n">
        <v>5</v>
      </c>
      <c r="G1972" s="7" t="inlineStr">
        <is>
          <t>What an easy and delicious recipe!  The focaccia was so light and flavorful!  Thank you for sharing!</t>
        </is>
      </c>
    </row>
    <row r="1973">
      <c r="A1973" s="7" t="n">
        <v>75966</v>
      </c>
      <c r="B1973" s="7" t="n">
        <v>429463</v>
      </c>
      <c r="C1973" s="7" t="n">
        <v>242729</v>
      </c>
      <c r="D1973" s="7" t="n">
        <v>407268</v>
      </c>
      <c r="E1973" s="8" t="n">
        <v>40211</v>
      </c>
      <c r="F1973" s="7" t="n">
        <v>0</v>
      </c>
      <c r="G1973" s="7" t="inlineStr">
        <is>
          <t>I can't award stars yet Jan as I had to make these with courgettes, no aubergines in the shops right now! I made a full batch and put most of them in the freezer for later; I tried a couple of meatballs in a baguette for a luncheon sarnie and the feta, lemon and mint was a fabulous additon. I plan to make these again as soon as I can get some aubergines and award stars then, as well as take photos. Made for Make my recipe in the Aus/NZ forum, thanks for tempting me with this recipe, I will be back!! FT:-)</t>
        </is>
      </c>
    </row>
    <row r="1974">
      <c r="A1974" s="7" t="n">
        <v>69618</v>
      </c>
      <c r="B1974" s="7" t="n">
        <v>373942</v>
      </c>
      <c r="C1974" s="7" t="n">
        <v>233583</v>
      </c>
      <c r="D1974" s="7" t="n">
        <v>380912</v>
      </c>
      <c r="E1974" s="8" t="n">
        <v>40472</v>
      </c>
      <c r="F1974" s="7" t="n">
        <v>5</v>
      </c>
      <c r="G1974" s="7" t="inlineStr">
        <is>
          <t>This is great!!!  I used a white chardonay for the wine as I had that sitting here calling my name. I used the jumbo shrimp that my DH bought for the recipe it was so good and farafalle pasta. It just gathered the flavors all around it and looked beautiful plated.  garnished with fresh parsley and lemon wedges.  everything came together quickly and no one would think it is so easy to put together. Great recipe.  Made for THINK PINK October 2010</t>
        </is>
      </c>
    </row>
    <row r="1975">
      <c r="A1975" s="7" t="n">
        <v>1694</v>
      </c>
      <c r="B1975" s="7" t="n">
        <v>946329</v>
      </c>
      <c r="C1975" s="7" t="n">
        <v>356713</v>
      </c>
      <c r="D1975" s="7" t="n">
        <v>48490</v>
      </c>
      <c r="E1975" s="8" t="n">
        <v>39425</v>
      </c>
      <c r="F1975" s="7" t="n">
        <v>5</v>
      </c>
      <c r="G1975" s="7" t="inlineStr">
        <is>
          <t>brought this to a family gathering and it went over really well. I thought it looked really nice after I rolled it in chocolate chips.  Served with graham sticks and cinnamom cookies. I will be making this again for sure, probably for New Years Eve!!</t>
        </is>
      </c>
    </row>
    <row r="1976">
      <c r="A1976" s="7" t="n">
        <v>10089</v>
      </c>
      <c r="B1976" s="7" t="n">
        <v>245540</v>
      </c>
      <c r="C1976" s="7" t="n">
        <v>14664</v>
      </c>
      <c r="D1976" s="7" t="n">
        <v>32576</v>
      </c>
      <c r="E1976" s="8" t="n">
        <v>37692</v>
      </c>
      <c r="F1976" s="7" t="n">
        <v>5</v>
      </c>
      <c r="G1976" s="7" t="inlineStr">
        <is>
          <t>Well Dana, I'm with your daughter, cause I just loved this recipe. No one ingredient overpowered the other. Just a nice blend of flavors. This was delicious and I plan on making this a lot this summer when company with chidren come visiting. Very simple and easy to make. Thank you Dana.  Chuck</t>
        </is>
      </c>
    </row>
    <row r="1977">
      <c r="A1977" s="7" t="n">
        <v>69046</v>
      </c>
      <c r="B1977" s="7" t="n">
        <v>1094938</v>
      </c>
      <c r="C1977" s="7" t="n">
        <v>29166</v>
      </c>
      <c r="D1977" s="7" t="n">
        <v>53404</v>
      </c>
      <c r="E1977" s="8" t="n">
        <v>37693</v>
      </c>
      <c r="F1977" s="7" t="n">
        <v>5</v>
      </c>
      <c r="G1977" s="7" t="inlineStr">
        <is>
          <t>Thanks Nat! This is a really delicious stew.  Thick and filling -leftovers were good too!</t>
        </is>
      </c>
    </row>
    <row r="1978">
      <c r="A1978" s="7" t="n">
        <v>126044</v>
      </c>
      <c r="B1978" s="7" t="n">
        <v>869468</v>
      </c>
      <c r="C1978" s="7" t="n">
        <v>269480</v>
      </c>
      <c r="D1978" s="7" t="n">
        <v>315107</v>
      </c>
      <c r="E1978" s="8" t="n">
        <v>39677</v>
      </c>
      <c r="F1978" s="7" t="n">
        <v>5</v>
      </c>
      <c r="G1978" s="7" t="inlineStr">
        <is>
          <t>Great Peach Ice Cream! At first I used 4 fresh peaches, 1/2c packed sugar plus 6 sugar sub sachets,processed and tasted it and it was too sweet.Looking back at the recipe,realized it was asking for 4 cups of peaches and not 4 pieces.Ugh,opened some canned peaches,froze them for an hour along with the mix then processed them again.30 mins wasn't enough to freeze them,neither was an hour so I froze them overnight and checked it in the morning.Voila!Perfect taste with  fruit tidbits in it.I'm glad I didn't add more sugar in it as I'm watching it and it is already sweet and I'll probably use more sugar sub next time and less brown one so I wouldn't have to feel guilty much about eating this delightful dessert.But that's just for my own health preference.Thanks!</t>
        </is>
      </c>
    </row>
    <row r="1979">
      <c r="A1979" s="7" t="n">
        <v>67820</v>
      </c>
      <c r="B1979" s="7" t="n">
        <v>291859</v>
      </c>
      <c r="C1979" s="7" t="n">
        <v>2896662</v>
      </c>
      <c r="D1979" s="7" t="n">
        <v>49202</v>
      </c>
      <c r="E1979" s="8" t="n">
        <v>41975</v>
      </c>
      <c r="F1979" s="7" t="n">
        <v>5</v>
      </c>
      <c r="G1979" s="7" t="inlineStr">
        <is>
          <t>I made this and OMG!!!! Seriously so good!!!!! My kids loved it and my husband who is not a big cheese fan just raved about how good these are!!! This recipe is a KEEPER!</t>
        </is>
      </c>
    </row>
    <row r="1980">
      <c r="A1980" s="7" t="n">
        <v>15625</v>
      </c>
      <c r="B1980" s="7" t="n">
        <v>841015</v>
      </c>
      <c r="C1980" s="7" t="n">
        <v>852331</v>
      </c>
      <c r="D1980" s="7" t="n">
        <v>353087</v>
      </c>
      <c r="E1980" s="8" t="n">
        <v>39927</v>
      </c>
      <c r="F1980" s="7" t="n">
        <v>4</v>
      </c>
      <c r="G1980" s="7" t="inlineStr">
        <is>
          <t>Had this last night and it was great.</t>
        </is>
      </c>
    </row>
    <row r="1981">
      <c r="A1981" s="7" t="n">
        <v>47908</v>
      </c>
      <c r="B1981" s="7" t="n">
        <v>605677</v>
      </c>
      <c r="C1981" s="7" t="n">
        <v>39835</v>
      </c>
      <c r="D1981" s="7" t="n">
        <v>89629</v>
      </c>
      <c r="E1981" s="8" t="n">
        <v>38116</v>
      </c>
      <c r="F1981" s="7" t="n">
        <v>4</v>
      </c>
      <c r="G1981" s="7" t="inlineStr">
        <is>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is>
      </c>
    </row>
    <row r="1982" ht="360" customHeight="1">
      <c r="A1982" s="7" t="n">
        <v>4790</v>
      </c>
      <c r="B1982" s="7" t="n">
        <v>386040</v>
      </c>
      <c r="C1982" s="7" t="n">
        <v>150281</v>
      </c>
      <c r="D1982" s="7" t="n">
        <v>201257</v>
      </c>
      <c r="E1982" s="8" t="n">
        <v>39235</v>
      </c>
      <c r="F1982" s="7" t="n">
        <v>5</v>
      </c>
      <c r="G1982" s="9" t="inlineStr">
        <is>
          <t>I loved these green beans, makes a very nice change of pace. I love the lemony flavor, perfect for summer. Highly recommended!_x000D_
Added to my cookbook, tribute to Amy for ZWT3.</t>
        </is>
      </c>
    </row>
    <row r="1983">
      <c r="A1983" s="7" t="n">
        <v>20487</v>
      </c>
      <c r="B1983" s="7" t="n">
        <v>262448</v>
      </c>
      <c r="C1983" s="7" t="n">
        <v>1347760</v>
      </c>
      <c r="D1983" s="7" t="n">
        <v>349212</v>
      </c>
      <c r="E1983" s="8" t="n">
        <v>40167</v>
      </c>
      <c r="F1983" s="7" t="n">
        <v>5</v>
      </c>
      <c r="G1983" s="7" t="inlineStr">
        <is>
          <t>This is one of my favorite dishes! Very fresh and delicious.</t>
        </is>
      </c>
    </row>
    <row r="1984">
      <c r="A1984" s="7" t="n">
        <v>75170</v>
      </c>
      <c r="B1984" s="7" t="n">
        <v>312929</v>
      </c>
      <c r="C1984" s="7" t="n">
        <v>1107608</v>
      </c>
      <c r="D1984" s="7" t="n">
        <v>124259</v>
      </c>
      <c r="E1984" s="8" t="n">
        <v>39978</v>
      </c>
      <c r="F1984" s="7" t="n">
        <v>5</v>
      </c>
      <c r="G1984" s="7" t="inlineStr">
        <is>
          <t>This was an absolutely amazing pie, really lovely!  My filling overflowed a bit but it came out gorgeous.  We probably used half as much rhubarb as it called for (we picked it from the yard and had only about 2 cups worth of diced to work with after harvesting).  But the balance for us was perfect.  Great instructions and the topping is AMAZING - will definitely use it again in future pie recipes.</t>
        </is>
      </c>
    </row>
    <row r="1985">
      <c r="A1985" s="7" t="n">
        <v>92962</v>
      </c>
      <c r="B1985" s="7" t="n">
        <v>803514</v>
      </c>
      <c r="C1985" s="7" t="n">
        <v>164610</v>
      </c>
      <c r="D1985" s="7" t="n">
        <v>272182</v>
      </c>
      <c r="E1985" s="8" t="n">
        <v>39471</v>
      </c>
      <c r="F1985" s="7" t="n">
        <v>4</v>
      </c>
      <c r="G1985" s="7" t="inlineStr">
        <is>
          <t>Nice recipe, Jules!  It looks like I'm first to review it.  I just used 2 fillets, but kept the rest of the ignreds approx. the same amounts as listed.  As you suggested, I did adjust the spices a bit.  I used the 1tsp each oregano and basil, 1/2 tsp salt, and 1/4 tsp cayenne pepper, but dropped the chili powder down to 1 tsp,  For the butter I used approx 3 tbsp Smart Balance Spread with Flaxseed Oil with the 1/2 cup lemon juice.  Along with the spices listed I added nearly 1/2 tsp garlic powder.  Spices are probably enough to cover more than 3 fillets, maybe even enough for 6, even without the 1/2 tsp garlic powder I added, I didn't use all of it.  I covered my glass casserole dish 15 mins of the baking time, uncovered the last 15 mins.  My bf said "Mmm, pretty good" at his first bite.  We both agreed that 2 tsp of chili powder might have put this over the edge of what we prefer in heat, so I'm glad I halved that.  Great recipe, very easy.  Thank you. :)</t>
        </is>
      </c>
    </row>
    <row r="1986">
      <c r="A1986" s="7" t="n">
        <v>96565</v>
      </c>
      <c r="B1986" s="7" t="n">
        <v>1012317</v>
      </c>
      <c r="C1986" s="7" t="n">
        <v>871963</v>
      </c>
      <c r="D1986" s="7" t="n">
        <v>309195</v>
      </c>
      <c r="E1986" s="8" t="n">
        <v>39629</v>
      </c>
      <c r="F1986" s="7" t="n">
        <v>5</v>
      </c>
      <c r="G1986" s="7" t="inlineStr">
        <is>
          <t>I made this only using 1lb of burger (it was all that wasn't frozen at the time) and the recipe turned out perfectly!  It was very easy to make and very JUICY!!  My husband liked it too.</t>
        </is>
      </c>
    </row>
    <row r="1987">
      <c r="A1987" s="7" t="n">
        <v>43177</v>
      </c>
      <c r="B1987" s="7" t="n">
        <v>651977</v>
      </c>
      <c r="C1987" s="7" t="n">
        <v>107651</v>
      </c>
      <c r="D1987" s="7" t="n">
        <v>70814</v>
      </c>
      <c r="E1987" s="8" t="n">
        <v>39662</v>
      </c>
      <c r="F1987" s="7" t="n">
        <v>4</v>
      </c>
      <c r="G1987" s="7" t="inlineStr">
        <is>
          <t>A nice breakfast muffin, not too sweet! I sprinkled the tops with some red-coloured sugar before I baked them. We ate the muffins  while they were still warm, loved the crunch of the macadamia nuts, great with a cup of coffee!</t>
        </is>
      </c>
    </row>
    <row r="1988">
      <c r="A1988" s="7" t="n">
        <v>87312</v>
      </c>
      <c r="B1988" s="7" t="n">
        <v>168657</v>
      </c>
      <c r="C1988" s="7" t="n">
        <v>746803</v>
      </c>
      <c r="D1988" s="7" t="n">
        <v>289349</v>
      </c>
      <c r="E1988" s="8" t="n">
        <v>39550</v>
      </c>
      <c r="F1988" s="7" t="n">
        <v>0</v>
      </c>
      <c r="G1988" s="7" t="inlineStr">
        <is>
          <t>I made these for my girlfriend and her nine children for breakfast on the morning they were relocating house up to the mountains (I doubled the mixture).  I kept a couple for myself and they were very moist and soft, and a very pretty hue.  Will be making them again.</t>
        </is>
      </c>
    </row>
    <row r="1989">
      <c r="A1989" s="7" t="n">
        <v>4175</v>
      </c>
      <c r="B1989" s="7" t="n">
        <v>474809</v>
      </c>
      <c r="C1989" s="7" t="n">
        <v>176615</v>
      </c>
      <c r="D1989" s="7" t="n">
        <v>113362</v>
      </c>
      <c r="E1989" s="8" t="n">
        <v>39230</v>
      </c>
      <c r="F1989" s="7" t="n">
        <v>4</v>
      </c>
      <c r="G1989" s="7" t="inlineStr">
        <is>
          <t>My kids really enjoyed these. A simple muffin with a hint of cinnamon. Mine were a tad rubbery which I suspect was from overbeating. Next time I'd let the ice cream melt before adding the flour. Used recipe #5274 with good results. Thanks for sharing!</t>
        </is>
      </c>
    </row>
    <row r="1990">
      <c r="A1990" s="7" t="n">
        <v>119619</v>
      </c>
      <c r="B1990" s="7" t="n">
        <v>406334</v>
      </c>
      <c r="C1990" s="7" t="n">
        <v>262090</v>
      </c>
      <c r="D1990" s="7" t="n">
        <v>24175</v>
      </c>
      <c r="E1990" s="8" t="n">
        <v>39236</v>
      </c>
      <c r="F1990" s="7" t="n">
        <v>5</v>
      </c>
      <c r="G1990" s="7" t="inlineStr">
        <is>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is>
      </c>
    </row>
    <row r="1991">
      <c r="A1991" s="7" t="n">
        <v>39028</v>
      </c>
      <c r="B1991" s="7" t="n">
        <v>449565</v>
      </c>
      <c r="C1991" s="7" t="n">
        <v>934824</v>
      </c>
      <c r="D1991" s="7" t="n">
        <v>218237</v>
      </c>
      <c r="E1991" s="8" t="n">
        <v>39812</v>
      </c>
      <c r="F1991" s="7" t="n">
        <v>5</v>
      </c>
      <c r="G1991" s="7" t="inlineStr">
        <is>
          <t>I made this recipe for Christmas.  The only thing I did different was cook it in the oven for 3 hours, the ham did not fit in my crock pot.</t>
        </is>
      </c>
    </row>
    <row r="1992">
      <c r="A1992" s="7" t="n">
        <v>70758</v>
      </c>
      <c r="B1992" s="7" t="n">
        <v>310866</v>
      </c>
      <c r="C1992" s="7" t="n">
        <v>281399</v>
      </c>
      <c r="D1992" s="7" t="n">
        <v>113385</v>
      </c>
      <c r="E1992" s="8" t="n">
        <v>39199</v>
      </c>
      <c r="F1992" s="7" t="n">
        <v>5</v>
      </c>
      <c r="G1992" s="7" t="inlineStr">
        <is>
          <t>Simple and easy to make. Thick and creamy I added hot sauce and garlic, we enjoyed this with fresh crusty bread. I had some leftover I added some basil and cooked pasta topped with toasted pine nuts made a wonderful pasta sauce as well. Thanks for sharing this recipe, one I will make again!</t>
        </is>
      </c>
    </row>
    <row r="1993">
      <c r="A1993" s="7" t="n">
        <v>78581</v>
      </c>
      <c r="B1993" s="7" t="n">
        <v>379333</v>
      </c>
      <c r="C1993" s="7" t="n">
        <v>549669</v>
      </c>
      <c r="D1993" s="7" t="n">
        <v>149348</v>
      </c>
      <c r="E1993" s="8" t="n">
        <v>39353</v>
      </c>
      <c r="F1993" s="7" t="n">
        <v>0</v>
      </c>
      <c r="G1993" s="7" t="inlineStr">
        <is>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is>
      </c>
    </row>
    <row r="1994">
      <c r="A1994" s="7" t="n">
        <v>114965</v>
      </c>
      <c r="B1994" s="7" t="n">
        <v>344526</v>
      </c>
      <c r="C1994" s="7" t="n">
        <v>1524432</v>
      </c>
      <c r="D1994" s="7" t="n">
        <v>222188</v>
      </c>
      <c r="E1994" s="8" t="n">
        <v>41381</v>
      </c>
      <c r="F1994" s="7" t="n">
        <v>5</v>
      </c>
      <c r="G1994" s="7" t="inlineStr">
        <is>
          <t>Delicious! I substituted milk for cream (I&amp;#039;m naughty like that!) and this came out amazing. I did have to add a bit more cream then the recipe states.... but that was to be expected. Thanks for sharing!</t>
        </is>
      </c>
    </row>
    <row r="1995">
      <c r="A1995" s="7" t="n">
        <v>90912</v>
      </c>
      <c r="B1995" s="7" t="n">
        <v>262340</v>
      </c>
      <c r="C1995" s="7" t="n">
        <v>297544</v>
      </c>
      <c r="D1995" s="7" t="n">
        <v>66782</v>
      </c>
      <c r="E1995" s="8" t="n">
        <v>39017</v>
      </c>
      <c r="F1995" s="7" t="n">
        <v>5</v>
      </c>
      <c r="G1995" s="7" t="inlineStr">
        <is>
          <t>I wasn't sure about this dip at first because I test tasted it straight away after making it and it was very very lime flavored. I let the dip rest for 5 hours and it was absolutly wonderful with the shrimp. I loved it! Thanks so much!</t>
        </is>
      </c>
    </row>
    <row r="1996">
      <c r="A1996" s="7" t="n">
        <v>39100</v>
      </c>
      <c r="B1996" s="7" t="n">
        <v>10524</v>
      </c>
      <c r="C1996" s="7" t="n">
        <v>1802447792</v>
      </c>
      <c r="D1996" s="7" t="n">
        <v>500068</v>
      </c>
      <c r="E1996" s="8" t="n">
        <v>41672</v>
      </c>
      <c r="F1996" s="7" t="n">
        <v>4</v>
      </c>
      <c r="G1996" s="7" t="inlineStr">
        <is>
          <t>Very good dip but NOT at all like Montana&amp;#039;s dip. Seems similar to the Lone Star restaurant&amp;#039;s dip but I haven&amp;#039;t had that in over a year so I can&amp;#039;t be sure. There are no Cajun spices in Montana&amp;#039;s dip and no cheddar. At least, not in Canada. Still a good dip though. Just a little kick to it but you could easily add more hot sauce or experiment with varieties.</t>
        </is>
      </c>
    </row>
    <row r="1997" ht="409.5" customHeight="1">
      <c r="A1997" s="7" t="n">
        <v>49813</v>
      </c>
      <c r="B1997" s="7" t="n">
        <v>32854</v>
      </c>
      <c r="C1997" s="7" t="n">
        <v>27442</v>
      </c>
      <c r="D1997" s="7" t="n">
        <v>30234</v>
      </c>
      <c r="E1997" s="8" t="n">
        <v>37481</v>
      </c>
      <c r="F1997" s="7" t="n">
        <v>5</v>
      </c>
      <c r="G1997" s="9" t="inlineStr">
        <is>
          <t>Another recipe to add to by breakfast repertoire.  The tabasco gives this a little added zing - not too much, just a hint.  Very easy to make._x000D_
As a vatiation, I buttered (very lightly) the bottom of the bread slices when I placed them in a pan.  I also tried using grated swiss cheese, just a litle tastier than cheddar.  A very interesting mix.</t>
        </is>
      </c>
    </row>
    <row r="1998">
      <c r="A1998" s="7" t="n">
        <v>108956</v>
      </c>
      <c r="B1998" s="7" t="n">
        <v>132149</v>
      </c>
      <c r="C1998" s="7" t="n">
        <v>2549237</v>
      </c>
      <c r="D1998" s="7" t="n">
        <v>100179</v>
      </c>
      <c r="E1998" s="8" t="n">
        <v>41380</v>
      </c>
      <c r="F1998" s="7" t="n">
        <v>5</v>
      </c>
      <c r="G1998" s="7" t="inlineStr">
        <is>
          <t>This recipe was easy to put together, although I had to make two batches, my first batch I wasn&amp;#039;t sure what temperature to cook it at because of the &amp;quot;moderate oven&amp;quot; phrasing, so I cooked it a 200&amp;deg;F for the 1 1/4 hours and then turned the oven up.  The second batch I called my SIL in London and she told me to bake it at 400&amp;deg;F and that should be better.  I need them to be done in a hurry, so I made 18 cupcakes with the batter and cooked them for 35 minutes.  They came out perfect and they taste great.  The only change I made to the batter was to use regular raisins becase I could not find sultana.  Thanks for a delicious dessert Catherine!  Made for Spring 2013 PAC.</t>
        </is>
      </c>
    </row>
    <row r="1999">
      <c r="A1999" s="7" t="n">
        <v>103838</v>
      </c>
      <c r="B1999" s="7" t="n">
        <v>442468</v>
      </c>
      <c r="C1999" s="7" t="n">
        <v>71324</v>
      </c>
      <c r="D1999" s="7" t="n">
        <v>115912</v>
      </c>
      <c r="E1999" s="8" t="n">
        <v>38558</v>
      </c>
      <c r="F1999" s="7" t="n">
        <v>4</v>
      </c>
      <c r="G1999" s="7" t="inlineStr">
        <is>
          <t>This is tart and refreshing! I squeezed half a lime, which gave me 1/2 oz fresh lime juice and I decided to try with that amount rather than doubeling it. I'm glad I did, because otherwise I think it would have been to tart for my taste. I know the whole point of this is to be a virgin version of a cocktail, but I can imagine it would be quite nice with vodka or rum ;)! Thanks for sharing, Marg!</t>
        </is>
      </c>
    </row>
    <row r="2000">
      <c r="A2000" s="7" t="n">
        <v>39204</v>
      </c>
      <c r="B2000" s="7" t="n">
        <v>637825</v>
      </c>
      <c r="C2000" s="7" t="n">
        <v>135470</v>
      </c>
      <c r="D2000" s="7" t="n">
        <v>48169</v>
      </c>
      <c r="E2000" s="8" t="n">
        <v>40500</v>
      </c>
      <c r="F2000" s="7" t="n">
        <v>5</v>
      </c>
      <c r="G2000" s="7" t="inlineStr">
        <is>
          <t>This was simple and delicious. Following other's posts I too chopped the stems with extra garlic and sprinkled around the caps. I drizzeled with a combination of butter and EVOO. The one thing the recipe doesn't list is seasoning, a sprinkle of Kosher salt and [epper made a huge difference in the flavor. I don't know how much butter other's are using, but I didn't have any left in the dish to dip into.  I also removed the foil at the end for about 10 minutes. Made for "Eating Well in the Photo Forum" Nov 2010</t>
        </is>
      </c>
    </row>
    <row r="2001">
      <c r="A2001" s="7" t="n">
        <v>48672</v>
      </c>
      <c r="B2001" s="7" t="n">
        <v>944377</v>
      </c>
      <c r="C2001" s="7" t="n">
        <v>185142</v>
      </c>
      <c r="D2001" s="7" t="n">
        <v>80612</v>
      </c>
      <c r="E2001" s="8" t="n">
        <v>38418</v>
      </c>
      <c r="F2001" s="7" t="n">
        <v>0</v>
      </c>
      <c r="G2001" s="7" t="inlineStr">
        <is>
          <t>different</t>
        </is>
      </c>
    </row>
    <row r="2002">
      <c r="A2002" s="7" t="n">
        <v>111282</v>
      </c>
      <c r="B2002" s="7" t="n">
        <v>815646</v>
      </c>
      <c r="C2002" s="7" t="n">
        <v>373495</v>
      </c>
      <c r="D2002" s="7" t="n">
        <v>89177</v>
      </c>
      <c r="E2002" s="8" t="n">
        <v>40212</v>
      </c>
      <c r="F2002" s="7" t="n">
        <v>5</v>
      </c>
      <c r="G2002" s="7" t="inlineStr">
        <is>
          <t>Holy Moly, this soup is fantastic.  I mean, really fantastic.  I skipped the jalepeno and did a small can of green chiles instead (I prefer the flavor).  I used yellow &amp; orange pepper, and added some chicken.  Served with quesadillas.  This is an excellent soup.</t>
        </is>
      </c>
    </row>
    <row r="2003">
      <c r="A2003" s="7" t="n">
        <v>55759</v>
      </c>
      <c r="B2003" s="7" t="n">
        <v>967253</v>
      </c>
      <c r="C2003" s="7" t="n">
        <v>186487</v>
      </c>
      <c r="D2003" s="7" t="n">
        <v>107925</v>
      </c>
      <c r="E2003" s="8" t="n">
        <v>38495</v>
      </c>
      <c r="F2003" s="7" t="n">
        <v>5</v>
      </c>
      <c r="G2003" s="7" t="inlineStr">
        <is>
          <t>This was very nice.  I messed with the proportions, which made it probably blander than otherwise (used two eggs even though the rest of the ingredients were halved, and used only about a stick of butter).  Not a huge pate fan myself in general, but my husband likes it a lot and has been using it as a sandwich spread all week.  Thanks!  (I normally don't rate recipes that I've changed substantially, but this one has no other ratings and deserves some stars!)</t>
        </is>
      </c>
    </row>
    <row r="2004">
      <c r="A2004" s="7" t="n">
        <v>37361</v>
      </c>
      <c r="B2004" s="7" t="n">
        <v>508394</v>
      </c>
      <c r="C2004" s="7" t="n">
        <v>52262</v>
      </c>
      <c r="D2004" s="7" t="n">
        <v>124413</v>
      </c>
      <c r="E2004" s="8" t="n">
        <v>41461</v>
      </c>
      <c r="F2004" s="7" t="n">
        <v>5</v>
      </c>
      <c r="G2004" s="7" t="inlineStr">
        <is>
          <t>Worked like a charm! Used white vinegar!</t>
        </is>
      </c>
    </row>
    <row r="2005">
      <c r="A2005" s="7" t="n">
        <v>43783</v>
      </c>
      <c r="B2005" s="7" t="n">
        <v>477974</v>
      </c>
      <c r="C2005" s="7" t="n">
        <v>479072</v>
      </c>
      <c r="D2005" s="7" t="n">
        <v>159073</v>
      </c>
      <c r="E2005" s="8" t="n">
        <v>41208</v>
      </c>
      <c r="F2005" s="7" t="n">
        <v>5</v>
      </c>
      <c r="G2005" s="7" t="inlineStr">
        <is>
          <t>YUM! Being a cheese lover, I took Lori's idea nd used the whole 8 oz. of cream cheese. I also uesd shredded chicken that I have on hand from recipe #188329. I also used 2 cloves of garlic and a bit more cumin. mmmm, the house smelled so good. I put 1/2 the enchiladas in one dish and froze the other 1/2.&lt;br/&gt;I like things spicy so I put some additional salsa verde and a hot garlic sauce on top. Very good! Thank you.&lt;br/&gt;&lt;br/&gt;Can I rate this again? This is a go constant go to love love love recipe. I put in a batch of the frozen ones tonight, easy!!!!! Thanks again!</t>
        </is>
      </c>
    </row>
    <row r="2006" ht="409.5" customHeight="1">
      <c r="A2006" s="7" t="n">
        <v>60287</v>
      </c>
      <c r="B2006" s="7" t="n">
        <v>472164</v>
      </c>
      <c r="C2006" s="7" t="n">
        <v>436104</v>
      </c>
      <c r="D2006" s="7" t="n">
        <v>181035</v>
      </c>
      <c r="E2006" s="8" t="n">
        <v>39115</v>
      </c>
      <c r="F2006" s="7" t="n">
        <v>4</v>
      </c>
      <c r="G2006" s="9" t="inlineStr">
        <is>
          <t xml:space="preserve">The "Cajun" way is not the only way to make a good gumbo 'OldFrenchCajun'. I think that you are forgetting the other Southern states here that have other ways of doing it. My wife made this up for us and we love it. It's easy enough to make and has great flavor. Thanks for posting. 
</t>
        </is>
      </c>
    </row>
    <row r="2007">
      <c r="A2007" s="7" t="n">
        <v>56815</v>
      </c>
      <c r="B2007" s="7" t="n">
        <v>574401</v>
      </c>
      <c r="C2007" s="7" t="n">
        <v>1850267</v>
      </c>
      <c r="D2007" s="7" t="n">
        <v>13320</v>
      </c>
      <c r="E2007" s="8" t="n">
        <v>40612</v>
      </c>
      <c r="F2007" s="7" t="n">
        <v>5</v>
      </c>
      <c r="G2007" s="7" t="inlineStr">
        <is>
          <t>We could not stop eating these.  We kept saying "just one more!".  I had to remove the shrimp due to food allergies, and they were still delicious (even without sauce).  I added in a bit of finely chopped broccoli and increased the pork by 1/2 a pound.  Next time I will try to find a soy sauce replacement for the pork mix so my daughter can enjoy them (another confirmed food allergy, sigh).</t>
        </is>
      </c>
    </row>
    <row r="2008">
      <c r="A2008" s="7" t="n">
        <v>87474</v>
      </c>
      <c r="B2008" s="7" t="n">
        <v>3717</v>
      </c>
      <c r="C2008" s="7" t="n">
        <v>274139</v>
      </c>
      <c r="D2008" s="7" t="n">
        <v>171002</v>
      </c>
      <c r="E2008" s="8" t="n">
        <v>39978</v>
      </c>
      <c r="F2008" s="7" t="n">
        <v>5</v>
      </c>
      <c r="G2008" s="7" t="inlineStr">
        <is>
          <t>This was so good, at 9:00 at night I had to yell at the boys to not eat anymore (they each had 4 chops for dinner) so Dad could have for lunch.  Went out and bought more pork chops, marinated them then froze so we can have anytime without waiting a day!</t>
        </is>
      </c>
    </row>
    <row r="2009">
      <c r="A2009" s="7" t="n">
        <v>55448</v>
      </c>
      <c r="B2009" s="7" t="n">
        <v>859038</v>
      </c>
      <c r="C2009" s="7" t="n">
        <v>560491</v>
      </c>
      <c r="D2009" s="7" t="n">
        <v>315972</v>
      </c>
      <c r="E2009" s="8" t="n">
        <v>41220</v>
      </c>
      <c r="F2009" s="7" t="n">
        <v>5</v>
      </c>
      <c r="G2009" s="7" t="inlineStr">
        <is>
          <t>This is so good!  I used honey roasted turkey, alfalfa sprouts and dried rosemary.  The fresh basil was a great addition, and in my opinion everything is better with avocado!  Made for Fall 2012 PAC.</t>
        </is>
      </c>
    </row>
    <row r="2010">
      <c r="A2010" s="7" t="n">
        <v>11891</v>
      </c>
      <c r="B2010" s="7" t="n">
        <v>3680</v>
      </c>
      <c r="C2010" s="7" t="n">
        <v>319738</v>
      </c>
      <c r="D2010" s="7" t="n">
        <v>171002</v>
      </c>
      <c r="E2010" s="8" t="n">
        <v>38937</v>
      </c>
      <c r="F2010" s="7" t="n">
        <v>4</v>
      </c>
      <c r="G2010" s="7" t="inlineStr">
        <is>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is>
      </c>
    </row>
    <row r="2011" ht="345" customHeight="1">
      <c r="A2011" s="7" t="n">
        <v>122123</v>
      </c>
      <c r="B2011" s="7" t="n">
        <v>904268</v>
      </c>
      <c r="C2011" s="7" t="n">
        <v>1381638</v>
      </c>
      <c r="D2011" s="7" t="n">
        <v>106832</v>
      </c>
      <c r="E2011" s="8" t="n">
        <v>40154</v>
      </c>
      <c r="F2011" s="7" t="n">
        <v>5</v>
      </c>
      <c r="G2011" s="9" t="inlineStr">
        <is>
          <t>I used this on some tilapia fillets before throwing them on the George Foreman grill.
They turned out quite tasty with a good kick of lemon and herb zest.</t>
        </is>
      </c>
    </row>
    <row r="2012">
      <c r="A2012" s="7" t="n">
        <v>115293</v>
      </c>
      <c r="B2012" s="7" t="n">
        <v>642586</v>
      </c>
      <c r="C2012" s="7" t="n">
        <v>250440</v>
      </c>
      <c r="D2012" s="7" t="n">
        <v>35988</v>
      </c>
      <c r="E2012" s="8" t="n">
        <v>39130</v>
      </c>
      <c r="F2012" s="7" t="n">
        <v>5</v>
      </c>
      <c r="G2012" s="7" t="inlineStr">
        <is>
          <t>This was a great quick weeknight meal.  I needed to add additional broth because the one box of broth was not quite enough.  That was my fault.  I also added about 1/2 lb of cleaned shrimp at the same time that I added the fresh spinach.  Served with garlic toast for a great meal.  Thanks!  I'll be making this one again.  Maybe I'll add some mushrooms the next time.</t>
        </is>
      </c>
    </row>
    <row r="2013" ht="285" customHeight="1">
      <c r="A2013" s="7" t="n">
        <v>98706</v>
      </c>
      <c r="B2013" s="7" t="n">
        <v>549798</v>
      </c>
      <c r="C2013" s="7" t="n">
        <v>248621</v>
      </c>
      <c r="D2013" s="7" t="n">
        <v>71998</v>
      </c>
      <c r="E2013" s="8" t="n">
        <v>38642</v>
      </c>
      <c r="F2013" s="7" t="n">
        <v>3</v>
      </c>
      <c r="G2013" s="9" t="inlineStr">
        <is>
          <t>We had this for dessert last night. None of us were impressed with the taste or texture._x000D_
But it sure did make the kitchen smell good.</t>
        </is>
      </c>
    </row>
    <row r="2014">
      <c r="A2014" s="7" t="n">
        <v>12161</v>
      </c>
      <c r="B2014" s="7" t="n">
        <v>358170</v>
      </c>
      <c r="C2014" s="7" t="n">
        <v>124416</v>
      </c>
      <c r="D2014" s="7" t="n">
        <v>24217</v>
      </c>
      <c r="E2014" s="8" t="n">
        <v>38934</v>
      </c>
      <c r="F2014" s="7" t="n">
        <v>5</v>
      </c>
      <c r="G2014" s="7" t="inlineStr">
        <is>
          <t>Hey Richard-NYC...you know what...this IS good!  And so simple; it's a good make-ahead dish.  Only change:  I used roasted garlic instant potatoes and a mix of cheeses, very good.  Thanks for posting.</t>
        </is>
      </c>
    </row>
    <row r="2015">
      <c r="A2015" s="7" t="n">
        <v>51035</v>
      </c>
      <c r="B2015" s="7" t="n">
        <v>344577</v>
      </c>
      <c r="C2015" s="7" t="n">
        <v>2000454496</v>
      </c>
      <c r="D2015" s="7" t="n">
        <v>222188</v>
      </c>
      <c r="E2015" s="8" t="n">
        <v>42252</v>
      </c>
      <c r="F2015" s="7" t="n">
        <v>4</v>
      </c>
      <c r="G2015" s="7" t="inlineStr">
        <is>
          <t>This was one of my favorite recipes but I will say it was a little too buttery but that&amp;#039;s an easy fix! Make sure to add the vanilla or else it won&amp;#039;t taste as good. Add a little extra sugar too and it will be amazing!</t>
        </is>
      </c>
    </row>
    <row r="2016">
      <c r="A2016" s="7" t="n">
        <v>99044</v>
      </c>
      <c r="B2016" s="7" t="n">
        <v>161017</v>
      </c>
      <c r="C2016" s="7" t="n">
        <v>56919</v>
      </c>
      <c r="D2016" s="7" t="n">
        <v>85201</v>
      </c>
      <c r="E2016" s="8" t="n">
        <v>38441</v>
      </c>
      <c r="F2016" s="7" t="n">
        <v>4</v>
      </c>
      <c r="G2016" s="7" t="inlineStr">
        <is>
          <t xml:space="preserve">These are rich and tasty little suckers.  I've never seen a stuffed jalapeno recipe where they are boiled before baking so I was intrigued.  I was afraid they would turn out too limp but they held up just fine.  I reduced the recipe by half and used regular cheddar and reduced fat cream cheese.  These are surprisingly mild so anyone who doesn't like spicy stuff there is no need to fear these -- in fact I wish they had had a bit more heat to them.  These are a healthier alternative to many stuffed peppers as they aren't breaded (which is good for low carbers like me) and aren't deep fried.  Easy, rich and delicious.  Thanks Cher! </t>
        </is>
      </c>
    </row>
    <row r="2017">
      <c r="A2017" s="7" t="n">
        <v>333</v>
      </c>
      <c r="B2017" s="7" t="n">
        <v>210599</v>
      </c>
      <c r="C2017" s="7" t="n">
        <v>1878015</v>
      </c>
      <c r="D2017" s="7" t="n">
        <v>88753</v>
      </c>
      <c r="E2017" s="8" t="n">
        <v>40652</v>
      </c>
      <c r="F2017" s="7" t="n">
        <v>5</v>
      </c>
      <c r="G2017" s="7" t="inlineStr">
        <is>
          <t>delicious.  even my 14 yr old carnivore nephew had seconds.  i substituted 1 tbsp of olive oil and a small can (10 oz?) tomato paste for the 1/4 c veg oil, used fat free cottage cheese, used bran flakes rather than corn flakes, and added some extra onion, about 1/3 c total.&lt;br/&gt;i will definitely make this again.</t>
        </is>
      </c>
    </row>
    <row r="2018">
      <c r="A2018" s="7" t="n">
        <v>117961</v>
      </c>
      <c r="B2018" s="7" t="n">
        <v>1108771</v>
      </c>
      <c r="C2018" s="7" t="n">
        <v>282215</v>
      </c>
      <c r="D2018" s="7" t="n">
        <v>30358</v>
      </c>
      <c r="E2018" s="8" t="n">
        <v>39484</v>
      </c>
      <c r="F2018" s="7" t="n">
        <v>5</v>
      </c>
      <c r="G2018" s="7" t="inlineStr">
        <is>
          <t>Thank you! Thank you! :)</t>
        </is>
      </c>
    </row>
    <row r="2019">
      <c r="A2019" s="7" t="n">
        <v>115596</v>
      </c>
      <c r="B2019" s="7" t="n">
        <v>302841</v>
      </c>
      <c r="C2019" s="7" t="n">
        <v>46731</v>
      </c>
      <c r="D2019" s="7" t="n">
        <v>31120</v>
      </c>
      <c r="E2019" s="8" t="n">
        <v>37529</v>
      </c>
      <c r="F2019" s="7" t="n">
        <v>5</v>
      </c>
      <c r="G2019" s="7" t="inlineStr">
        <is>
          <t>I made this at a Scout Camporee and, as one of the Scouts said, "This is awesome!" Great flavor, easy to make.</t>
        </is>
      </c>
    </row>
    <row r="2020">
      <c r="A2020" s="7" t="n">
        <v>114050</v>
      </c>
      <c r="B2020" s="7" t="n">
        <v>136605</v>
      </c>
      <c r="C2020" s="7" t="n">
        <v>21841</v>
      </c>
      <c r="D2020" s="7" t="n">
        <v>44888</v>
      </c>
      <c r="E2020" s="8" t="n">
        <v>37991</v>
      </c>
      <c r="F2020" s="7" t="n">
        <v>5</v>
      </c>
      <c r="G2020" s="7" t="inlineStr">
        <is>
          <t>Great recipe.  Easy to prepare.  Served with ranch dip and veggie tray.   Everyone requested he recipe.</t>
        </is>
      </c>
    </row>
    <row r="2021">
      <c r="A2021" s="7" t="n">
        <v>34616</v>
      </c>
      <c r="B2021" s="7" t="n">
        <v>607945</v>
      </c>
      <c r="C2021" s="7" t="n">
        <v>424138</v>
      </c>
      <c r="D2021" s="7" t="n">
        <v>64659</v>
      </c>
      <c r="E2021" s="8" t="n">
        <v>39112</v>
      </c>
      <c r="F2021" s="7" t="n">
        <v>5</v>
      </c>
      <c r="G2021" s="7" t="inlineStr">
        <is>
          <t>These are sooo good and easy to make.  I made medium size cakes (the size of crab cakes) and serve them with beans &amp; rice. Wonderful!</t>
        </is>
      </c>
    </row>
    <row r="2022">
      <c r="A2022" s="7" t="n">
        <v>75119</v>
      </c>
      <c r="B2022" s="7" t="n">
        <v>69601</v>
      </c>
      <c r="C2022" s="7" t="n">
        <v>129201</v>
      </c>
      <c r="D2022" s="7" t="n">
        <v>121580</v>
      </c>
      <c r="E2022" s="8" t="n">
        <v>38788</v>
      </c>
      <c r="F2022" s="7" t="n">
        <v>5</v>
      </c>
      <c r="G2022" s="7" t="inlineStr">
        <is>
          <t>This is a wonderfully tasty burger recipe! I followed the directions (used chicken breast which I whizzed in the food processor) but just had to add some chopped fresh coriander to the burger mix. Wonderful flavours and so easy to make.  The minted cucumbers were a great crunchy addition ( I used a splash of balsamic and an equal splash of olive oil for the dressing. I served these with chunky potato wedges and satay sauce.  Thanks Gayla for a yummy recipe!</t>
        </is>
      </c>
    </row>
    <row r="2023">
      <c r="A2023" s="7" t="n">
        <v>40669</v>
      </c>
      <c r="B2023" s="7" t="n">
        <v>968539</v>
      </c>
      <c r="C2023" s="7" t="n">
        <v>199213</v>
      </c>
      <c r="D2023" s="7" t="n">
        <v>174274</v>
      </c>
      <c r="E2023" s="8" t="n">
        <v>38899</v>
      </c>
      <c r="F2023" s="7" t="n">
        <v>4</v>
      </c>
      <c r="G2023" s="7" t="inlineStr">
        <is>
          <t>Had all the right stuff, it was good but little to much coconut taste. Will try again with all regular rum, Like the melon liqueur</t>
        </is>
      </c>
    </row>
    <row r="2024">
      <c r="A2024" s="7" t="n">
        <v>82234</v>
      </c>
      <c r="B2024" s="7" t="n">
        <v>343997</v>
      </c>
      <c r="C2024" s="7" t="n">
        <v>1823125</v>
      </c>
      <c r="D2024" s="7" t="n">
        <v>341801</v>
      </c>
      <c r="E2024" s="8" t="n">
        <v>40792</v>
      </c>
      <c r="F2024" s="7" t="n">
        <v>5</v>
      </c>
      <c r="G2024" s="7" t="inlineStr">
        <is>
          <t>This was amazing! Loved it so much! I am not a fan of deviled eggs at all but this recipe was great. Thanks for your post.</t>
        </is>
      </c>
    </row>
    <row r="2025">
      <c r="A2025" s="7" t="n">
        <v>93639</v>
      </c>
      <c r="B2025" s="7" t="n">
        <v>923707</v>
      </c>
      <c r="C2025" s="7" t="n">
        <v>52282</v>
      </c>
      <c r="D2025" s="7" t="n">
        <v>254617</v>
      </c>
      <c r="E2025" s="8" t="n">
        <v>39416</v>
      </c>
      <c r="F2025" s="7" t="n">
        <v>4</v>
      </c>
      <c r="G2025" s="7" t="inlineStr">
        <is>
          <t>quick and easy, this was a great way to use up extra turkey gravy. i also threw in some grated carrots , sneak those veggies in.</t>
        </is>
      </c>
    </row>
    <row r="2026">
      <c r="A2026" s="7" t="n">
        <v>116286</v>
      </c>
      <c r="B2026" s="7" t="n">
        <v>745117</v>
      </c>
      <c r="C2026" s="7" t="n">
        <v>400708</v>
      </c>
      <c r="D2026" s="7" t="n">
        <v>320583</v>
      </c>
      <c r="E2026" s="8" t="n">
        <v>39704</v>
      </c>
      <c r="F2026" s="7" t="n">
        <v>4</v>
      </c>
      <c r="G2026" s="7" t="inlineStr">
        <is>
          <t>Made this for PAC Fall 08 and had for lunch today - I really like veggie sandwiches and this is a really nice one.  I did cut the amount in half as there's only me here at the time and it still made a LOT.  Love the combination of flavors.  I think I the next time I'll try toasting the bread, topping it w/some of the cheese and just grilling it long enough to melt.  Very nice and unusual sandwich that I really enjoyed.</t>
        </is>
      </c>
    </row>
    <row r="2027">
      <c r="A2027" s="7" t="n">
        <v>35950</v>
      </c>
      <c r="B2027" s="7" t="n">
        <v>900310</v>
      </c>
      <c r="C2027" s="7" t="n">
        <v>343981</v>
      </c>
      <c r="D2027" s="7" t="n">
        <v>157458</v>
      </c>
      <c r="E2027" s="8" t="n">
        <v>39967</v>
      </c>
      <c r="F2027" s="7" t="n">
        <v>4</v>
      </c>
      <c r="G2027" s="7" t="inlineStr">
        <is>
          <t>Yummy, easy recipe that the kids like.  Thanks for posting it!</t>
        </is>
      </c>
    </row>
    <row r="2028">
      <c r="A2028" s="7" t="n">
        <v>79459</v>
      </c>
      <c r="B2028" s="7" t="n">
        <v>95902</v>
      </c>
      <c r="C2028" s="7" t="n">
        <v>315986</v>
      </c>
      <c r="D2028" s="7" t="n">
        <v>126623</v>
      </c>
      <c r="E2028" s="8" t="n">
        <v>39149</v>
      </c>
      <c r="F2028" s="7" t="n">
        <v>4</v>
      </c>
      <c r="G2028" s="7" t="inlineStr">
        <is>
          <t>It was a good homestyle-type meal.  Very worth it because of cost and ease to make.  We will have it again!</t>
        </is>
      </c>
    </row>
    <row r="2029">
      <c r="A2029" s="7" t="n">
        <v>90331</v>
      </c>
      <c r="B2029" s="7" t="n">
        <v>397094</v>
      </c>
      <c r="C2029" s="7" t="n">
        <v>364211</v>
      </c>
      <c r="D2029" s="7" t="n">
        <v>233189</v>
      </c>
      <c r="E2029" s="8" t="n">
        <v>40918</v>
      </c>
      <c r="F2029" s="7" t="n">
        <v>5</v>
      </c>
      <c r="G2029" s="7" t="inlineStr">
        <is>
          <t>Very good dipping sauce.  It was raw tasting when first prepared so I covered it and refrigerated for a couple of days.  What a difference letting it sit made!  Thanks for posting Random Rachel.</t>
        </is>
      </c>
    </row>
    <row r="2030">
      <c r="A2030" s="7" t="n">
        <v>99381</v>
      </c>
      <c r="B2030" s="7" t="n">
        <v>147619</v>
      </c>
      <c r="C2030" s="7" t="n">
        <v>35526</v>
      </c>
      <c r="D2030" s="7" t="n">
        <v>17874</v>
      </c>
      <c r="E2030" s="8" t="n">
        <v>37550</v>
      </c>
      <c r="F2030" s="7" t="n">
        <v>5</v>
      </c>
      <c r="G2030" s="7" t="inlineStr">
        <is>
          <t>I covered the top with a ton and a half of cracked black pepper.  Gave it another little kick.  VERY GOOD.  This will be one of the things I take to parties this year.  Thanks Bev!</t>
        </is>
      </c>
    </row>
    <row r="2031">
      <c r="A2031" s="7" t="n">
        <v>29509</v>
      </c>
      <c r="B2031" s="7" t="n">
        <v>940052</v>
      </c>
      <c r="C2031" s="7" t="n">
        <v>242484</v>
      </c>
      <c r="D2031" s="7" t="n">
        <v>47195</v>
      </c>
      <c r="E2031" s="8" t="n">
        <v>39872</v>
      </c>
      <c r="F2031" s="7" t="n">
        <v>0</v>
      </c>
      <c r="G2031" s="7" t="inlineStr">
        <is>
          <t>I'm not going to rate theis because obviously with all the 5 star ratings, this must be a great recipe.  it must have been my technique that didn't work.  I think I had better stick to buying my chips from good ol' Lays!</t>
        </is>
      </c>
    </row>
    <row r="2032">
      <c r="A2032" s="7" t="n">
        <v>99825</v>
      </c>
      <c r="B2032" s="7" t="n">
        <v>476859</v>
      </c>
      <c r="C2032" s="7" t="n">
        <v>2001828875</v>
      </c>
      <c r="D2032" s="7" t="n">
        <v>196713</v>
      </c>
      <c r="E2032" s="8" t="n">
        <v>43067</v>
      </c>
      <c r="F2032" s="7" t="n">
        <v>5</v>
      </c>
      <c r="G2032" s="7" t="inlineStr">
        <is>
          <t>These are super moist and so easy to make. I don't usually use buttermilk but rather use vinegar in regular milk. They are great to have on hand and especially good for breakfast brunch. I've been making these for years, and now our grandchildren love them...minus the raisons.</t>
        </is>
      </c>
    </row>
    <row r="2033">
      <c r="A2033" t="n">
        <v>66453</v>
      </c>
      <c r="B2033" t="n">
        <v>108368</v>
      </c>
      <c r="C2033" t="n">
        <v>1058196</v>
      </c>
      <c r="D2033" t="n">
        <v>128741</v>
      </c>
      <c r="E2033" s="1" t="n">
        <v>40348</v>
      </c>
      <c r="F2033" t="n">
        <v>5</v>
      </c>
      <c r="G2033" t="inlineStr">
        <is>
          <t>a great recipe. I tried it for my hubby who is trying to lose some weight. very low in calories and simple to make. thanks, it was great.</t>
        </is>
      </c>
    </row>
    <row r="2034">
      <c r="A2034" t="n">
        <v>106468</v>
      </c>
      <c r="B2034" t="n">
        <v>87516</v>
      </c>
      <c r="C2034" t="n">
        <v>418179</v>
      </c>
      <c r="D2034" t="n">
        <v>19859</v>
      </c>
      <c r="E2034" s="1" t="n">
        <v>42043</v>
      </c>
      <c r="F2034" t="n">
        <v>5</v>
      </c>
      <c r="G2034" t="inlineStr">
        <is>
          <t>This was very good. I didn&amp;#039;t have mushrooms, so I used a drained can of artichoke hearts, and it worked really well. I will be making this again.</t>
        </is>
      </c>
    </row>
    <row r="2035">
      <c r="A2035" t="n">
        <v>53180</v>
      </c>
      <c r="B2035" t="n">
        <v>715929</v>
      </c>
      <c r="C2035" t="n">
        <v>172369</v>
      </c>
      <c r="D2035" t="n">
        <v>59148</v>
      </c>
      <c r="E2035" s="1" t="n">
        <v>38753</v>
      </c>
      <c r="F2035" t="n">
        <v>5</v>
      </c>
      <c r="G2035" t="inlineStr">
        <is>
          <t>I could give this more than 5 stars. This was a big hit for my superbowl party. Thanks for a great recipe.</t>
        </is>
      </c>
    </row>
    <row r="2036">
      <c r="A2036" s="7" t="n">
        <v>18523</v>
      </c>
      <c r="B2036" s="7" t="n">
        <v>945112</v>
      </c>
      <c r="C2036" s="7" t="n">
        <v>357461</v>
      </c>
      <c r="D2036" s="7" t="n">
        <v>82731</v>
      </c>
      <c r="E2036" s="8" t="n">
        <v>39438</v>
      </c>
      <c r="F2036" s="7" t="n">
        <v>5</v>
      </c>
      <c r="G2036" s="7" t="inlineStr">
        <is>
          <t>This worked out just fine.  I was looking for a recipe that made a smaller quantity, and this one fit the bill.  You can also substitute powdered egg whites with equal success (just follow the packaging directions for reconstitution).</t>
        </is>
      </c>
    </row>
    <row r="2037">
      <c r="A2037" s="7" t="n">
        <v>18497</v>
      </c>
      <c r="B2037" s="7" t="n">
        <v>700149</v>
      </c>
      <c r="C2037" s="7" t="n">
        <v>135470</v>
      </c>
      <c r="D2037" s="7" t="n">
        <v>423165</v>
      </c>
      <c r="E2037" s="8" t="n">
        <v>40576</v>
      </c>
      <c r="F2037" s="7" t="n">
        <v>5</v>
      </c>
      <c r="G2037" s="7" t="inlineStr">
        <is>
          <t>Maybe not the most suitable drink for Groundhog's Day supper when it's supposed go be below freezing tonight, but so tasty and it makes you dream of summer. I loved the tartness of the fresh lime and cranberry, I didn't have cranberry juice soda, so I mixed cranberry juice and lime seltzer. Made for Best of 2010 Tag</t>
        </is>
      </c>
    </row>
    <row r="2038">
      <c r="A2038" s="7" t="n">
        <v>67012</v>
      </c>
      <c r="B2038" s="7" t="n">
        <v>335826</v>
      </c>
      <c r="C2038" s="7" t="n">
        <v>1394209</v>
      </c>
      <c r="D2038" s="7" t="n">
        <v>180953</v>
      </c>
      <c r="E2038" s="8" t="n">
        <v>40134</v>
      </c>
      <c r="F2038" s="7" t="n">
        <v>5</v>
      </c>
      <c r="G2038" s="7" t="inlineStr">
        <is>
          <t>Wonderful! Even the kids love it.</t>
        </is>
      </c>
    </row>
    <row r="2039">
      <c r="A2039" s="7" t="n">
        <v>67056</v>
      </c>
      <c r="B2039" s="7" t="n">
        <v>162491</v>
      </c>
      <c r="C2039" s="7" t="n">
        <v>106797</v>
      </c>
      <c r="D2039" s="7" t="n">
        <v>227166</v>
      </c>
      <c r="E2039" s="8" t="n">
        <v>39808</v>
      </c>
      <c r="F2039" s="7" t="n">
        <v>5</v>
      </c>
      <c r="G2039" s="7" t="inlineStr">
        <is>
          <t>perfection</t>
        </is>
      </c>
    </row>
    <row r="2040">
      <c r="A2040" s="7" t="n">
        <v>78452</v>
      </c>
      <c r="B2040" s="7" t="n">
        <v>905022</v>
      </c>
      <c r="C2040" s="7" t="n">
        <v>68884</v>
      </c>
      <c r="D2040" s="7" t="n">
        <v>167741</v>
      </c>
      <c r="E2040" s="8" t="n">
        <v>39482</v>
      </c>
      <c r="F2040" s="7" t="n">
        <v>5</v>
      </c>
      <c r="G2040" s="7" t="inlineStr">
        <is>
          <t>This is very, very flavorful. I enjoyed this at a friend's house, and he followed the recipe exactly. The white wine/chicken broth really add a lot of flavor to the vegetables. It does, however, make at least 6 and likely 8 full servings.</t>
        </is>
      </c>
    </row>
    <row r="2041">
      <c r="A2041" s="7" t="n">
        <v>112084</v>
      </c>
      <c r="B2041" s="7" t="n">
        <v>660525</v>
      </c>
      <c r="C2041" s="7" t="n">
        <v>231198</v>
      </c>
      <c r="D2041" s="7" t="n">
        <v>214051</v>
      </c>
      <c r="E2041" s="8" t="n">
        <v>39369</v>
      </c>
      <c r="F2041" s="7" t="n">
        <v>5</v>
      </c>
      <c r="G2041" s="7" t="inlineStr">
        <is>
          <t>Yum!  I made these for my boss's birthday.  She's a scone freak, and lover of Starbuck's, so I know she'll love these!  (Of course, I had to sample one for quality assurance and they passed inspection!)  Thanks for posting!!!</t>
        </is>
      </c>
    </row>
    <row r="2042">
      <c r="A2042" s="7" t="n">
        <v>27473</v>
      </c>
      <c r="B2042" s="7" t="n">
        <v>820447</v>
      </c>
      <c r="C2042" s="7" t="n">
        <v>166636</v>
      </c>
      <c r="D2042" s="7" t="n">
        <v>194466</v>
      </c>
      <c r="E2042" s="8" t="n">
        <v>39279</v>
      </c>
      <c r="F2042" s="7" t="n">
        <v>5</v>
      </c>
      <c r="G2042" s="7" t="inlineStr">
        <is>
          <t>There are not enough stars to rate this dish!  I have never been so excited about a recipe - it is so delicious that the next time I make it I will just have this for my dinner!  I "lightened" it up with 98% fat free soup, trans-fat free margarine, low salt chicken boullion, and fat free cheddar and my husband, who hates "diet stuff", and who has also never been a fan of green bean casserole, loved it!  Thanks so much for this - the old standard casserole recipe will never be used again in this house!</t>
        </is>
      </c>
    </row>
    <row r="2043">
      <c r="A2043" s="7" t="n">
        <v>85731</v>
      </c>
      <c r="B2043" s="7" t="n">
        <v>348912</v>
      </c>
      <c r="C2043" s="7" t="n">
        <v>755421</v>
      </c>
      <c r="D2043" s="7" t="n">
        <v>50719</v>
      </c>
      <c r="E2043" s="8" t="n">
        <v>40789</v>
      </c>
      <c r="F2043" s="7" t="n">
        <v>5</v>
      </c>
      <c r="G2043" s="7" t="inlineStr">
        <is>
          <t>My boyfriend loves blueberry muffins so I made these for him yesterday. They were a huge hit! I am not a huge muffin fan in general because so many recipes turn out dry or tasteless. These were so moist and sweet without going overboard! I didn't sprinkle sugar/nutmeg on the tops because he dislikes nutmeg, but they were obviously still great. Also, I filled the muffin cups to the brims and the recipe made exactly 18 muffins. So, yeah... this is a keeper! Next time I am going to experiment a little because he asked if "they come in blueberry/banana flavor" lol</t>
        </is>
      </c>
    </row>
    <row r="2044">
      <c r="A2044" s="7" t="n">
        <v>44546</v>
      </c>
      <c r="B2044" s="7" t="n">
        <v>1084155</v>
      </c>
      <c r="C2044" s="7" t="n">
        <v>590909</v>
      </c>
      <c r="D2044" s="7" t="n">
        <v>212404</v>
      </c>
      <c r="E2044" s="8" t="n">
        <v>39510</v>
      </c>
      <c r="F2044" s="7" t="n">
        <v>5</v>
      </c>
      <c r="G2044" s="7" t="inlineStr">
        <is>
          <t>Quick and easy !! I have 5 meat eating men in my house and they loved it!! Thanks for sharing it's a GREAT recipe!</t>
        </is>
      </c>
    </row>
    <row r="2045" ht="409.5" customHeight="1">
      <c r="A2045" s="7" t="n">
        <v>102792</v>
      </c>
      <c r="B2045" s="7" t="n">
        <v>845500</v>
      </c>
      <c r="C2045" s="7" t="n">
        <v>209603</v>
      </c>
      <c r="D2045" s="7" t="n">
        <v>81319</v>
      </c>
      <c r="E2045" s="8" t="n">
        <v>39293</v>
      </c>
      <c r="F2045" s="7" t="n">
        <v>3</v>
      </c>
      <c r="G2045" s="9" t="inlineStr">
        <is>
          <t>these were good i didnt get 12 though and the 10 i got were small. i thought there was too much spinich and next time will use more egg, less spinich. also next time i will microwave my peppers and onion a minute or so to cook them a little since they were still rawish. its hard to tell how much salt to put in when you cant taste the uncooked product, i may have  needed more.. i used a mixture of cheddar and some italian cheese chunks that were really good with the spinich and i added a bunch of fresh chopped herbs from my garden. the versitality of these is unlimitied and i am excited to try them again with new ideas.. 
this is a great way to make eggs more portable! i found that these are not good frozen and reheated as they turn a bit watery. they are much better the first day. i ended up throwing a lot away because i thought you could freeze them.</t>
        </is>
      </c>
    </row>
    <row r="2046">
      <c r="A2046" s="7" t="n">
        <v>52327</v>
      </c>
      <c r="B2046" s="7" t="n">
        <v>53200</v>
      </c>
      <c r="C2046" s="7" t="n">
        <v>110875</v>
      </c>
      <c r="D2046" s="7" t="n">
        <v>78055</v>
      </c>
      <c r="E2046" s="8" t="n">
        <v>38035</v>
      </c>
      <c r="F2046" s="7" t="n">
        <v>5</v>
      </c>
      <c r="G2046" s="7" t="inlineStr">
        <is>
          <t xml:space="preserve">This is a great recipy.  I altered it a bit.  I had some spicy sliced pepperoni (left over from pizza we made), and it was to spicy for my kids so I chopped up about 1/2 cup.  I also finely chopped up some green pepper and mushroom (combined 1/2 cup).  I realized I only had about 3/4 cup of chedder grated, so I added parmesan cheese to equal 1 cup with the chedder. Then I added about 1/2 tsp. of chilli powder and a pinch of cayanne.  Boy it was awsome. </t>
        </is>
      </c>
    </row>
    <row r="2047">
      <c r="A2047" s="7" t="n">
        <v>59664</v>
      </c>
      <c r="B2047" s="7" t="n">
        <v>251484</v>
      </c>
      <c r="C2047" s="7" t="n">
        <v>75473</v>
      </c>
      <c r="D2047" s="7" t="n">
        <v>22227</v>
      </c>
      <c r="E2047" s="8" t="n">
        <v>38792</v>
      </c>
      <c r="F2047" s="7" t="n">
        <v>3</v>
      </c>
      <c r="G2047" s="7" t="inlineStr">
        <is>
          <t>This recipe was easy to make, but my family did not like the gravy at all.  I think the poultry seasoning gives it an odd taste.  We were hoping for something like KFC's white gravy, and this was not it.  I will try it again, but will definitely leave the poultry seasoning out.</t>
        </is>
      </c>
    </row>
    <row r="2048">
      <c r="A2048" s="7" t="n">
        <v>79502</v>
      </c>
      <c r="B2048" s="7" t="n">
        <v>979596</v>
      </c>
      <c r="C2048" s="7" t="n">
        <v>2001265796</v>
      </c>
      <c r="D2048" s="7" t="n">
        <v>376934</v>
      </c>
      <c r="E2048" s="8" t="n">
        <v>42697</v>
      </c>
      <c r="F2048" s="7" t="n">
        <v>0</v>
      </c>
      <c r="G2048" s="7" t="inlineStr">
        <is>
          <t>Use only Heinz beans? Nonsense! Van Camps are comparable in taste and make a quite tasty substitute. Use whatever bean is most readily available. I like to top mine with shredded cheese. The melting cheese of your choice will do.</t>
        </is>
      </c>
    </row>
    <row r="2049">
      <c r="A2049" s="7" t="n">
        <v>32284</v>
      </c>
      <c r="B2049" s="7" t="n">
        <v>836770</v>
      </c>
      <c r="C2049" s="7" t="n">
        <v>283251</v>
      </c>
      <c r="D2049" s="7" t="n">
        <v>19324</v>
      </c>
      <c r="E2049" s="8" t="n">
        <v>39554</v>
      </c>
      <c r="F2049" s="7" t="n">
        <v>3</v>
      </c>
      <c r="G2049" s="7" t="inlineStr">
        <is>
          <t>This was good. DH thought it was just "okay". I accidentally doubled the amount of butter for the topping. I agree with the previous reviewer that peaches IN the batter would be better.</t>
        </is>
      </c>
    </row>
    <row r="2050" ht="409.5" customHeight="1">
      <c r="A2050" s="7" t="n">
        <v>84012</v>
      </c>
      <c r="B2050" s="7" t="n">
        <v>12</v>
      </c>
      <c r="C2050" s="7" t="n">
        <v>468945</v>
      </c>
      <c r="D2050" s="7" t="n">
        <v>134728</v>
      </c>
      <c r="E2050" s="8" t="n">
        <v>39498</v>
      </c>
      <c r="F2050" s="7" t="n">
        <v>0</v>
      </c>
      <c r="G2050" s="9" t="inlineStr">
        <is>
          <t>Made my own buttermilk w/ vinegar and milk.  Used defrosted fresh skinless/boneless chicken fillets.  3 lbs._x000D_
This mix is extremely flavorful and its light .  I didnt do the bbq thing, but while I cooked homemade to go w/ this I put the chicken in the oven to keep warm and served bbq dipping sauce.  10 stars from my kids !</t>
        </is>
      </c>
    </row>
    <row r="2051">
      <c r="A2051" s="7" t="n">
        <v>79773</v>
      </c>
      <c r="B2051" s="7" t="n">
        <v>75673</v>
      </c>
      <c r="C2051" s="7" t="n">
        <v>49414</v>
      </c>
      <c r="D2051" s="7" t="n">
        <v>31351</v>
      </c>
      <c r="E2051" s="8" t="n">
        <v>38725</v>
      </c>
      <c r="F2051" s="7" t="n">
        <v>5</v>
      </c>
      <c r="G2051" s="7" t="inlineStr">
        <is>
          <t>Delicious!  I used 1 can cr. of mushroom, 1 can cr. of chicken,  a whole can evap. milk and some minced onion.  I forgot the cheese, but it turned out so well that it wasn't even missed!  Made some white rice and had enough sauce for leftovers!  My daughter has a cold and hasn't had an appetite today, but even she gobbled it up!  Thanks!  Yum!!</t>
        </is>
      </c>
    </row>
    <row r="2052">
      <c r="A2052" s="7" t="n">
        <v>78368</v>
      </c>
      <c r="B2052" s="7" t="n">
        <v>217127</v>
      </c>
      <c r="C2052" s="7" t="n">
        <v>1819194</v>
      </c>
      <c r="D2052" s="7" t="n">
        <v>175364</v>
      </c>
      <c r="E2052" s="8" t="n">
        <v>40580</v>
      </c>
      <c r="F2052" s="7" t="n">
        <v>5</v>
      </c>
      <c r="G2052" s="7" t="inlineStr">
        <is>
          <t>Great basic dressing!  I substituted 1/4 cup Splenda, no-fat mayo with olive oil, skim milk to lower the sweetness.  Great with combinations of red, green and napa cabbage.  Presentation: throw on a handful of caraway with flax seed.   A non-vegetable friend will eat this, as well as children! I am serving pulled pork sandwiches; this will be a topping or a side for the Super Bowl Party today!</t>
        </is>
      </c>
    </row>
    <row r="2053">
      <c r="A2053" s="7" t="n">
        <v>121088</v>
      </c>
      <c r="B2053" s="7" t="n">
        <v>100346</v>
      </c>
      <c r="C2053" s="7" t="n">
        <v>519391</v>
      </c>
      <c r="D2053" s="7" t="n">
        <v>255200</v>
      </c>
      <c r="E2053" s="8" t="n">
        <v>39370</v>
      </c>
      <c r="F2053" s="7" t="n">
        <v>4</v>
      </c>
      <c r="G2053" s="7" t="inlineStr">
        <is>
          <t>I really enjoyed this.  I left out the bell pepper and added a clove of crushed garlic.  I served it with a loaf of french bread; perfect for dipping.</t>
        </is>
      </c>
    </row>
    <row r="2054">
      <c r="A2054" s="7" t="n">
        <v>103347</v>
      </c>
      <c r="B2054" s="7" t="n">
        <v>297965</v>
      </c>
      <c r="C2054" s="7" t="n">
        <v>250031</v>
      </c>
      <c r="D2054" s="7" t="n">
        <v>200244</v>
      </c>
      <c r="E2054" s="8" t="n">
        <v>41207</v>
      </c>
      <c r="F2054" s="7" t="n">
        <v>5</v>
      </c>
      <c r="G2054" s="7" t="inlineStr">
        <is>
          <t>Loved it! Followed the recipe as written, used unseasoned panko breadcrumbs. We will definitely be having this again.</t>
        </is>
      </c>
    </row>
    <row r="2055">
      <c r="A2055" s="7" t="n">
        <v>40391</v>
      </c>
      <c r="B2055" s="7" t="n">
        <v>54216</v>
      </c>
      <c r="C2055" s="7" t="n">
        <v>290069</v>
      </c>
      <c r="D2055" s="7" t="n">
        <v>78193</v>
      </c>
      <c r="E2055" s="8" t="n">
        <v>38756</v>
      </c>
      <c r="F2055" s="7" t="n">
        <v>5</v>
      </c>
      <c r="G2055" s="7" t="inlineStr">
        <is>
          <t>Loved this. Very spicy and delicious.  I didn't add all of the curry powder or it would have blown my head off (perhaps curry powder is spicier here in the UK) and I substituted some of the potatoes for sweet potatoes.  Will definitely make this again and again.</t>
        </is>
      </c>
    </row>
    <row r="2056">
      <c r="A2056" s="7" t="n">
        <v>58637</v>
      </c>
      <c r="B2056" s="7" t="n">
        <v>233467</v>
      </c>
      <c r="C2056" s="7" t="n">
        <v>353659</v>
      </c>
      <c r="D2056" s="7" t="n">
        <v>30489</v>
      </c>
      <c r="E2056" s="8" t="n">
        <v>39407</v>
      </c>
      <c r="F2056" s="7" t="n">
        <v>5</v>
      </c>
      <c r="G2056" s="7" t="inlineStr">
        <is>
          <t>Everyone loved it!!!  I did add a bit more tabasco though... about 1 tsp total. thanks!!!!!!</t>
        </is>
      </c>
    </row>
    <row r="2057">
      <c r="A2057" s="7" t="n">
        <v>99427</v>
      </c>
      <c r="B2057" s="7" t="n">
        <v>270633</v>
      </c>
      <c r="C2057" s="7" t="n">
        <v>354675</v>
      </c>
      <c r="D2057" s="7" t="n">
        <v>155801</v>
      </c>
      <c r="E2057" s="8" t="n">
        <v>41326</v>
      </c>
      <c r="F2057" s="7" t="n">
        <v>5</v>
      </c>
      <c r="G2057" s="7" t="inlineStr">
        <is>
          <t>I LOVED this coffee cake and I don't normally like fruit mixed with chocolate. It was so good! More like a rich cookie or a bar...which is fine with me because it's perfect for breakfast, dessert and a midnight snack!</t>
        </is>
      </c>
    </row>
    <row r="2058">
      <c r="A2058" s="7" t="n">
        <v>113882</v>
      </c>
      <c r="B2058" s="7" t="n">
        <v>673574</v>
      </c>
      <c r="C2058" s="7" t="n">
        <v>189500</v>
      </c>
      <c r="D2058" s="7" t="n">
        <v>55974</v>
      </c>
      <c r="E2058" s="8" t="n">
        <v>38726</v>
      </c>
      <c r="F2058" s="7" t="n">
        <v>5</v>
      </c>
      <c r="G2058" s="7" t="inlineStr">
        <is>
          <t>I made a loaf of this wonderful bread earlier today, practically stood by the ABM waiting for it to come out!  The only change made was that I had to use Golden Syrup in place of Molasses (as I didnt have any).  I used normal oats.  The loaf rose beautifully in the pan, and it has a lovely texture.  I plan to make this bread (and other healthy ones too) for my kids lunchbox sandwiches, I am trying to get them on healthier foods and cutting out the processed breads.  Thank you Barb, your recipe is an absolute winner with me :)</t>
        </is>
      </c>
    </row>
    <row r="2059" ht="409.5" customHeight="1">
      <c r="A2059" s="7" t="n">
        <v>3166</v>
      </c>
      <c r="B2059" s="7" t="n">
        <v>1031286</v>
      </c>
      <c r="C2059" s="7" t="n">
        <v>927301</v>
      </c>
      <c r="D2059" s="7" t="n">
        <v>126014</v>
      </c>
      <c r="E2059" s="8" t="n">
        <v>39851</v>
      </c>
      <c r="F2059" s="7" t="n">
        <v>4</v>
      </c>
      <c r="G2059" s="9" t="inlineStr">
        <is>
          <t>yummy, very sticky, but manageable. only makes about 6-7 smallish mochi, so if you've bothered to make a kilo/2lbs of red bean paste, you're going to need to multipy the recipe considerably!! also, i only needed to stir the dough for about 30 seconds til the lumps were gone.
i only microwaved for 2.5 minutes and kneaded the dough for 2 minutes (wrap the ziploc bag containing the hot dough in a towel to  be able to start kneading straight away). greased scissors or knife is a MUST.
also, i filled mine with homemade red bean paste (pretty good); others with flaked, roasted almonds and brown sugar, then rolled the balls in toasted sesame seeds... REALLY good!
nice recipe, but quite a lot of work. the great thing is it's cheap, fun, and you probably already have the ingredients at home :)</t>
        </is>
      </c>
    </row>
    <row r="2060">
      <c r="A2060" s="7" t="n">
        <v>40232</v>
      </c>
      <c r="B2060" s="7" t="n">
        <v>312931</v>
      </c>
      <c r="C2060" s="7" t="n">
        <v>59163</v>
      </c>
      <c r="D2060" s="7" t="n">
        <v>124259</v>
      </c>
      <c r="E2060" s="8" t="n">
        <v>40322</v>
      </c>
      <c r="F2060" s="7" t="n">
        <v>5</v>
      </c>
      <c r="G2060" s="7" t="inlineStr">
        <is>
          <t>Fabulous pie, easy to make and so very delicious.  This is a definate keeper, I"ve already made it a second time.</t>
        </is>
      </c>
    </row>
    <row r="2061">
      <c r="A2061" s="7" t="n">
        <v>1491</v>
      </c>
      <c r="B2061" s="7" t="n">
        <v>481935</v>
      </c>
      <c r="C2061" s="7" t="n">
        <v>4470</v>
      </c>
      <c r="D2061" s="7" t="n">
        <v>317938</v>
      </c>
      <c r="E2061" s="8" t="n">
        <v>39683</v>
      </c>
      <c r="F2061" s="7" t="n">
        <v>4</v>
      </c>
      <c r="G2061" s="7" t="inlineStr">
        <is>
          <t>I had this Frappuccino at a friend's home as dessert after a super dinner - it hit the spot. Looked gorgeous topped with whipped cream and a few fresh blueberries. It could have been a little thicker I suggest no milk or cut bac ka bit on the coffee.  However the coffee gives that lovely mellow flavor so I think perhaps the milk should go.  Hope you get lots of reviews cause this is a winner of a recipe</t>
        </is>
      </c>
    </row>
    <row r="2062">
      <c r="A2062" s="7" t="n">
        <v>19194</v>
      </c>
      <c r="B2062" s="7" t="n">
        <v>7087</v>
      </c>
      <c r="C2062" s="7" t="n">
        <v>318235</v>
      </c>
      <c r="D2062" s="7" t="n">
        <v>352253</v>
      </c>
      <c r="E2062" s="8" t="n">
        <v>40281</v>
      </c>
      <c r="F2062" s="7" t="n">
        <v>4</v>
      </c>
      <c r="G2062" s="7" t="inlineStr">
        <is>
          <t>These were very good and very flavorful. I used whiting fish filets which were a good match. I really liked them paired with the Green Goddess Sauce. Thank you!</t>
        </is>
      </c>
    </row>
    <row r="2063">
      <c r="A2063" s="7" t="n">
        <v>10266</v>
      </c>
      <c r="B2063" s="7" t="n">
        <v>248119</v>
      </c>
      <c r="C2063" s="7" t="n">
        <v>158131</v>
      </c>
      <c r="D2063" s="7" t="n">
        <v>36538</v>
      </c>
      <c r="E2063" s="8" t="n">
        <v>38281</v>
      </c>
      <c r="F2063" s="7" t="n">
        <v>4</v>
      </c>
      <c r="G2063" s="7" t="inlineStr">
        <is>
          <t>Great and easy recipe to make, the pork chops were tender but the gravy was bland tasting and didn't have much flavor. The next time I will add a few more spices to enhance the flavor of the gravy. Otherwise very good recipe. Thanks for sharing.</t>
        </is>
      </c>
    </row>
    <row r="2064">
      <c r="A2064" t="n">
        <v>116588</v>
      </c>
      <c r="B2064" t="n">
        <v>1072986</v>
      </c>
      <c r="C2064" t="n">
        <v>212268</v>
      </c>
      <c r="D2064" t="n">
        <v>58976</v>
      </c>
      <c r="E2064" s="1" t="n">
        <v>40057</v>
      </c>
      <c r="F2064" t="n">
        <v>3</v>
      </c>
      <c r="G2064" t="inlineStr">
        <is>
          <t>I loved this but my family didn't.  Maybe it was the texture or it could have been the Velvetta.  Saw that someone used pepper jack, maybe they would like that better.  They are weird about cheese.</t>
        </is>
      </c>
    </row>
    <row r="2065" ht="409.5" customHeight="1">
      <c r="A2065" s="7" t="n">
        <v>126279</v>
      </c>
      <c r="B2065" s="7" t="n">
        <v>789329</v>
      </c>
      <c r="C2065" s="7" t="n">
        <v>288639</v>
      </c>
      <c r="D2065" s="7" t="n">
        <v>33102</v>
      </c>
      <c r="E2065" s="8" t="n">
        <v>38805</v>
      </c>
      <c r="F2065" s="7" t="n">
        <v>0</v>
      </c>
      <c r="G2065" s="9" t="inlineStr">
        <is>
          <t xml:space="preserve">Just a comment, since I DO make a decent Jambalaya myself and this is a pretty standard recipe._x000D_
_x000D_
About the name of the recipe:  Anytime you add tomatoes to the Jambalaya it makes it "Creole" rather than Cajun..._x000D_
_x000D_
Note:  Try it with brown rice sometime!!  _x000D_
  _x000D_
</t>
        </is>
      </c>
    </row>
    <row r="2066">
      <c r="A2066" s="7" t="n">
        <v>62439</v>
      </c>
      <c r="B2066" s="7" t="n">
        <v>462679</v>
      </c>
      <c r="C2066" s="7" t="n">
        <v>171063</v>
      </c>
      <c r="D2066" s="7" t="n">
        <v>142524</v>
      </c>
      <c r="E2066" s="8" t="n">
        <v>39942</v>
      </c>
      <c r="F2066" s="7" t="n">
        <v>5</v>
      </c>
      <c r="G2066" s="7" t="inlineStr">
        <is>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is>
      </c>
    </row>
    <row r="2067">
      <c r="A2067" s="7" t="n">
        <v>82678</v>
      </c>
      <c r="B2067" s="7" t="n">
        <v>773302</v>
      </c>
      <c r="C2067" s="7" t="n">
        <v>1166993</v>
      </c>
      <c r="D2067" s="7" t="n">
        <v>150485</v>
      </c>
      <c r="E2067" s="8" t="n">
        <v>40593</v>
      </c>
      <c r="F2067" s="7" t="n">
        <v>5</v>
      </c>
      <c r="G2067" s="7" t="inlineStr">
        <is>
          <t>I LOVED these Cabbage Rolls!! They were exactly that tomato/sour taste I was looking for... perfect. My sister came over for dinner and she loved them just as much. I made just as written for the exception of the cabbage, I just simmered in salted water untill softened without a problem. One cup of cooked rice. Also doubled the sauce for these and used close to one cup of sauerkraut. The sauerkraut made the dish for me. Baked for 3 hours in a 13X9 and one smaller pan. This was my frist time making Cabbage Rolls and I'm so glad I chose this recipe! :)</t>
        </is>
      </c>
    </row>
    <row r="2068">
      <c r="A2068" s="7" t="n">
        <v>41230</v>
      </c>
      <c r="B2068" s="7" t="n">
        <v>1040762</v>
      </c>
      <c r="C2068" s="7" t="n">
        <v>2001706411</v>
      </c>
      <c r="D2068" s="7" t="n">
        <v>61755</v>
      </c>
      <c r="E2068" s="8" t="n">
        <v>42986</v>
      </c>
      <c r="F2068" s="7" t="n">
        <v>0</v>
      </c>
      <c r="G2068" s="7" t="inlineStr">
        <is>
          <t>This was great dessert.. next time will use less sugar/ cinnamon as was little tooooo sweet.. but still loved it</t>
        </is>
      </c>
    </row>
    <row r="2069">
      <c r="A2069" s="7" t="n">
        <v>72602</v>
      </c>
      <c r="B2069" s="7" t="n">
        <v>91906</v>
      </c>
      <c r="C2069" s="7" t="n">
        <v>1802958753</v>
      </c>
      <c r="D2069" s="7" t="n">
        <v>154154</v>
      </c>
      <c r="E2069" s="8" t="n">
        <v>41856</v>
      </c>
      <c r="F2069" s="7" t="n">
        <v>5</v>
      </c>
      <c r="G2069" s="7" t="inlineStr">
        <is>
          <t>very nice.love the peels.will make again</t>
        </is>
      </c>
    </row>
    <row r="2070">
      <c r="A2070" s="7" t="n">
        <v>116000</v>
      </c>
      <c r="B2070" s="7" t="n">
        <v>471260</v>
      </c>
      <c r="C2070" s="7" t="n">
        <v>315084</v>
      </c>
      <c r="D2070" s="7" t="n">
        <v>309011</v>
      </c>
      <c r="E2070" s="8" t="n">
        <v>39766</v>
      </c>
      <c r="F2070" s="7" t="n">
        <v>5</v>
      </c>
      <c r="G2070" s="7" t="inlineStr">
        <is>
          <t>We have been enjoying these little gems for years.  I often use ham or bacon or sausage even hamburger once or twice. To really tempt your taste buds try them with pepperjack cheese instead of cheddar. :) My daughter loves them with mayo on them instead of butter. We have it down to a science using microwave to heat the meat up, and cook the eggs and assemble when muffins are toasted.  Total yummmmmmm.</t>
        </is>
      </c>
    </row>
    <row r="2071">
      <c r="A2071" s="7" t="n">
        <v>22409</v>
      </c>
      <c r="B2071" s="7" t="n">
        <v>979148</v>
      </c>
      <c r="C2071" s="7" t="n">
        <v>469021</v>
      </c>
      <c r="D2071" s="7" t="n">
        <v>234770</v>
      </c>
      <c r="E2071" s="8" t="n">
        <v>39260</v>
      </c>
      <c r="F2071" s="7" t="n">
        <v>5</v>
      </c>
      <c r="G2071" s="7" t="inlineStr">
        <is>
          <t>Yummy!  These were great.  Note:  This recipe really makes enough for 4 servings.</t>
        </is>
      </c>
    </row>
    <row r="2072">
      <c r="A2072" s="7" t="n">
        <v>39080</v>
      </c>
      <c r="B2072" s="7" t="n">
        <v>295907</v>
      </c>
      <c r="C2072" s="7" t="n">
        <v>316717</v>
      </c>
      <c r="D2072" s="7" t="n">
        <v>46922</v>
      </c>
      <c r="E2072" s="8" t="n">
        <v>39530</v>
      </c>
      <c r="F2072" s="7" t="n">
        <v>5</v>
      </c>
      <c r="G2072" s="7" t="inlineStr">
        <is>
          <t>halfed the recipe since i ended up buying only a 9 lb. fully cooked spiral cut ham. i just reheated it as directed in the directions which was 350 for 1 hr. turned out delicious!!! picky husband raved and raved and picky son who doesn't eat ham asked for 3rds. thanks for sharing!</t>
        </is>
      </c>
    </row>
    <row r="2073">
      <c r="A2073" s="7" t="n">
        <v>115039</v>
      </c>
      <c r="B2073" s="7" t="n">
        <v>175618</v>
      </c>
      <c r="C2073" s="7" t="n">
        <v>231054</v>
      </c>
      <c r="D2073" s="7" t="n">
        <v>85719</v>
      </c>
      <c r="E2073" s="8" t="n">
        <v>38893</v>
      </c>
      <c r="F2073" s="7" t="n">
        <v>4</v>
      </c>
      <c r="G2073" s="7" t="inlineStr">
        <is>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is>
      </c>
    </row>
    <row r="2074">
      <c r="A2074" t="n">
        <v>44607</v>
      </c>
      <c r="B2074" t="n">
        <v>63292</v>
      </c>
      <c r="C2074" t="n">
        <v>654460</v>
      </c>
      <c r="D2074" t="n">
        <v>204228</v>
      </c>
      <c r="E2074" s="1" t="n">
        <v>42313</v>
      </c>
      <c r="F2074" t="n">
        <v>5</v>
      </c>
      <c r="G2074" t="inlineStr">
        <is>
          <t>Great recipe. Made this last night with the following changes; used a 9 x 9 metal baking pan, lined with non-stick foil (since too lazy to scrub the dish).  Doubled the the amount of garlic powder (since we are garlic lovers), added 1 teaspoon of dried minced garlic, 1 teaspoon old bay seasoning and one tablespoon dried dill.  Served it over rice, with a side of fried zucchini.  The leftovers were still yummy today!  Thank you so much for sharing this wonderful recipe with us all.</t>
        </is>
      </c>
    </row>
    <row r="2075">
      <c r="A2075" s="7" t="n">
        <v>23149</v>
      </c>
      <c r="B2075" s="7" t="n">
        <v>130796</v>
      </c>
      <c r="C2075" s="7" t="n">
        <v>1058097</v>
      </c>
      <c r="D2075" s="7" t="n">
        <v>414808</v>
      </c>
      <c r="E2075" s="8" t="n">
        <v>40645</v>
      </c>
      <c r="F2075" s="7" t="n">
        <v>5</v>
      </c>
      <c r="G2075" s="7" t="inlineStr">
        <is>
          <t>Simple and tasty!  I wouldn't have thought to add cumin to eggs, but the flavors work very well together.  Thanks for posting!</t>
        </is>
      </c>
    </row>
    <row r="2076">
      <c r="A2076" s="7" t="n">
        <v>40242</v>
      </c>
      <c r="B2076" s="7" t="n">
        <v>656477</v>
      </c>
      <c r="C2076" s="7" t="n">
        <v>248263</v>
      </c>
      <c r="D2076" s="7" t="n">
        <v>27208</v>
      </c>
      <c r="E2076" s="8" t="n">
        <v>39071</v>
      </c>
      <c r="F2076" s="7" t="n">
        <v>4</v>
      </c>
      <c r="G2076" s="7" t="inlineStr">
        <is>
          <t>I made this for dinner the other night and used a full pkg of each of the seasonings to a 3 pound rump roast, plus I added 1/2 an onion, baby carrots, and 1 potato cut up.  I added more water than called for (probably about 1 1/2 cups) because it seemed like it needed that much in the crock pot.  I cooked on high for 5 hours because I forgot to put it in early enough.  Taste was great, I think.  I, too, noticed the unappealing color of the roast.  I even turned it over half-way through the cooking time, and that helped a bit, but next time I think I would brown the roast in a frying pan before adding it to the crockpot (and I would put it on low to cook longer -- it wasn't as tender as it could have been).  But the simplicity and taste of this recipe was great IMHO.</t>
        </is>
      </c>
    </row>
    <row r="2077">
      <c r="A2077" s="7" t="n">
        <v>92329</v>
      </c>
      <c r="B2077" s="7" t="n">
        <v>314210</v>
      </c>
      <c r="C2077" s="7" t="n">
        <v>690173</v>
      </c>
      <c r="D2077" s="7" t="n">
        <v>235767</v>
      </c>
      <c r="E2077" s="8" t="n">
        <v>39944</v>
      </c>
      <c r="F2077" s="7" t="n">
        <v>5</v>
      </c>
      <c r="G2077" s="7" t="inlineStr">
        <is>
          <t>This was really yummy! I made exactly as recommended, and everyone at the Mother's Day BBQ was raving. The cooking directions do seem a little odd, but they worked, and resulted in a very creamy cheesecake. I will definitely make it again!</t>
        </is>
      </c>
    </row>
    <row r="2078">
      <c r="A2078" s="7" t="n">
        <v>15254</v>
      </c>
      <c r="B2078" s="7" t="n">
        <v>793540</v>
      </c>
      <c r="C2078" s="7" t="n">
        <v>545717</v>
      </c>
      <c r="D2078" s="7" t="n">
        <v>276517</v>
      </c>
      <c r="E2078" s="8" t="n">
        <v>39608</v>
      </c>
      <c r="F2078" s="7" t="n">
        <v>5</v>
      </c>
      <c r="G2078" s="7" t="inlineStr">
        <is>
          <t>These taste SO fresh. Love the idea and will prepare for our annual Halloween party. Thank you for this great recipe.</t>
        </is>
      </c>
    </row>
    <row r="2079" ht="409.5" customHeight="1">
      <c r="A2079" s="7" t="n">
        <v>46855</v>
      </c>
      <c r="B2079" s="7" t="n">
        <v>468824</v>
      </c>
      <c r="C2079" s="7" t="n">
        <v>315870</v>
      </c>
      <c r="D2079" s="7" t="n">
        <v>180227</v>
      </c>
      <c r="E2079" s="8" t="n">
        <v>39321</v>
      </c>
      <c r="F2079" s="7" t="n">
        <v>5</v>
      </c>
      <c r="G2079" s="9" t="inlineStr">
        <is>
          <t>Wow! Judging by the ingredients, I thought this recipe would be "okay," but boy, was I in for a surprise!  No more fussing around with the conventional methods of making lasagna!  This was so easy (which I'm all for) and soooo tasty!!!  It freezes well, which is another plus!  Thanks so much for sharing this "keeper", Japan Bound!_x000D_
Rosie28</t>
        </is>
      </c>
    </row>
    <row r="2080">
      <c r="A2080" s="7" t="n">
        <v>107209</v>
      </c>
      <c r="B2080" s="7" t="n">
        <v>1059085</v>
      </c>
      <c r="C2080" s="7" t="n">
        <v>98919</v>
      </c>
      <c r="D2080" s="7" t="n">
        <v>82288</v>
      </c>
      <c r="E2080" s="8" t="n">
        <v>38846</v>
      </c>
      <c r="F2080" s="7" t="n">
        <v>5</v>
      </c>
      <c r="G2080" s="7" t="inlineStr">
        <is>
          <t>I am going to rate this recipe even tho I changed the recipe.  The roux was great, added the vegies but omitted the corn and most of the seasonings and used Creole Seasoning instead.  Also used 1-28oz. can of tomatoes and boiled a chicken.  After boiling, I cut up in chunks and quickly browned in a small amount of oil on high. I then added the chicken to the gumbo. Also I cut up another onion and browned, added it, then browned a few sliced fresh mushrooms, then added it to the pot.  I used about 4 c. of okra (frozen, slightly defrosted, then sliced). I followed most of Barb's techniques in how she prepared everything.  I loved it even before adding the chicken and will probably make some this summer without any meat and freeze it.  My husbands mother was cajun and I love trying new recipes.  This one was a winner! Thanks for sharing Barb!  This is a keeper.</t>
        </is>
      </c>
    </row>
    <row r="2081">
      <c r="A2081" s="7" t="n">
        <v>45055</v>
      </c>
      <c r="B2081" s="7" t="n">
        <v>995035</v>
      </c>
      <c r="C2081" s="7" t="n">
        <v>463858</v>
      </c>
      <c r="D2081" s="7" t="n">
        <v>208190</v>
      </c>
      <c r="E2081" s="8" t="n">
        <v>39629</v>
      </c>
      <c r="F2081" s="7" t="n">
        <v>5</v>
      </c>
      <c r="G2081" s="7" t="inlineStr">
        <is>
          <t>Delicious and simple recipe!  This will go into the keeper file for sure.  I had with crackers and on bruschetta.  I made it with canned ripe olives, but will definitely use kalamatas next time--I think it would be even better.  Made and reviewed for ZWT4.  Thanks for posting.</t>
        </is>
      </c>
    </row>
    <row r="2082" ht="375" customHeight="1">
      <c r="A2082" s="7" t="n">
        <v>20513</v>
      </c>
      <c r="B2082" s="7" t="n">
        <v>470080</v>
      </c>
      <c r="C2082" s="7" t="n">
        <v>112864</v>
      </c>
      <c r="D2082" s="7" t="n">
        <v>336397</v>
      </c>
      <c r="E2082" s="8" t="n">
        <v>40036</v>
      </c>
      <c r="F2082" s="7" t="n">
        <v>4</v>
      </c>
      <c r="G2082" s="9" t="inlineStr">
        <is>
          <t>Very good broccoli recipe.  A little more work than having it steamed, but nice flavor balance in the sauce.  A good accompaniment to an Asian meal.  I'll make this again!
Diane</t>
        </is>
      </c>
    </row>
    <row r="2083">
      <c r="A2083" s="7" t="n">
        <v>87267</v>
      </c>
      <c r="B2083" s="7" t="n">
        <v>946342</v>
      </c>
      <c r="C2083" s="7" t="n">
        <v>717914</v>
      </c>
      <c r="D2083" s="7" t="n">
        <v>48490</v>
      </c>
      <c r="E2083" s="8" t="n">
        <v>40168</v>
      </c>
      <c r="F2083" s="7" t="n">
        <v>5</v>
      </c>
      <c r="G2083" s="7" t="inlineStr">
        <is>
          <t>I made this for Dhs family and everyone liked it. My 6 yr old said it was like eating frosting,lol. I did have a little bit of a challenge with it being kinda soft and not wanting to make a great ball but it was still yummy. I may try and beat it a little less next time and see if that helps. I am making it this week for my family christmas.</t>
        </is>
      </c>
    </row>
    <row r="2084">
      <c r="A2084" s="7" t="n">
        <v>44934</v>
      </c>
      <c r="B2084" s="7" t="n">
        <v>530424</v>
      </c>
      <c r="C2084" s="7" t="n">
        <v>357929</v>
      </c>
      <c r="D2084" s="7" t="n">
        <v>161219</v>
      </c>
      <c r="E2084" s="8" t="n">
        <v>39468</v>
      </c>
      <c r="F2084" s="7" t="n">
        <v>5</v>
      </c>
      <c r="G2084" s="7" t="inlineStr">
        <is>
          <t>Yum!!!  I was invited to a potluck with a Balkan theme, and didn't know where to start!  This bread was a hit. Both taste and presentation were 5 stars.  And since it so easily mixed up in the bread machine, I will definitely try this again.  It's a keeper!</t>
        </is>
      </c>
    </row>
    <row r="2085">
      <c r="A2085" s="7" t="n">
        <v>36949</v>
      </c>
      <c r="B2085" s="7" t="n">
        <v>394431</v>
      </c>
      <c r="C2085" s="7" t="n">
        <v>1250563</v>
      </c>
      <c r="D2085" s="7" t="n">
        <v>116054</v>
      </c>
      <c r="E2085" s="8" t="n">
        <v>39943</v>
      </c>
      <c r="F2085" s="7" t="n">
        <v>5</v>
      </c>
      <c r="G2085" s="7" t="inlineStr">
        <is>
          <t>I loved everything about this dish!  The fresh tomatoes, basil and mozzarella are what make the dish.  I recommend making the couscous prior to beginning any other prep work so the couscous has adequate time to cool before combining the ingredients.  I appreciate that this dish can be made in advance and kept in the refrigerator to cool, although I don't recommend serving this more than 12-24 hours after preparation.  Beyond 24 hours, the garlic and shallots become overpowering.  This will become a summer staple for our family.   Thanks for a great recipe!</t>
        </is>
      </c>
    </row>
    <row r="2086">
      <c r="A2086" s="7" t="n">
        <v>103875</v>
      </c>
      <c r="B2086" s="7" t="n">
        <v>144223</v>
      </c>
      <c r="C2086" s="7" t="n">
        <v>37449</v>
      </c>
      <c r="D2086" s="7" t="n">
        <v>163340</v>
      </c>
      <c r="E2086" s="8" t="n">
        <v>39722</v>
      </c>
      <c r="F2086" s="7" t="n">
        <v>5</v>
      </c>
      <c r="G2086" s="7" t="inlineStr">
        <is>
          <t>I love smoothies! I used barley green instead of the wheat grass powder. Very good and very healthy! Thanks Rita! Made for the Vegetarian Swap#3.</t>
        </is>
      </c>
    </row>
    <row r="2087" ht="409.5" customHeight="1">
      <c r="A2087" s="7" t="n">
        <v>33036</v>
      </c>
      <c r="B2087" s="7" t="n">
        <v>888926</v>
      </c>
      <c r="C2087" s="7" t="n">
        <v>1097790</v>
      </c>
      <c r="D2087" s="7" t="n">
        <v>195394</v>
      </c>
      <c r="E2087" s="8" t="n">
        <v>39929</v>
      </c>
      <c r="F2087" s="7" t="n">
        <v>5</v>
      </c>
      <c r="G2087" s="9" t="inlineStr">
        <is>
          <t>This was great. Not hard to follow, easy to make.
Great ingredients done to perfection.
I got organic tenderloins for $10/lb yestrerday, shitakes for $6/lb, and had sour cream, shallots and red wine (no cognac, alas) already. I made mashed potates to sop up the sauce, green beans just because, mesclun salad, and a pile of California strawberries for dessert.
It was just the combo I needed to turn $20 worth of ingredients into a memorable meal that greatly impressed my son's girlfriend.
Thanks!</t>
        </is>
      </c>
    </row>
    <row r="2088">
      <c r="A2088" s="7" t="n">
        <v>87604</v>
      </c>
      <c r="B2088" s="7" t="n">
        <v>965956</v>
      </c>
      <c r="C2088" s="7" t="n">
        <v>72254</v>
      </c>
      <c r="D2088" s="7" t="n">
        <v>80199</v>
      </c>
      <c r="E2088" s="8" t="n">
        <v>38707</v>
      </c>
      <c r="F2088" s="7" t="n">
        <v>0</v>
      </c>
      <c r="G2088" s="7" t="inlineStr">
        <is>
          <t>FANTASTIC.  I've always loved this flavour of kraut.  This was a very easy  (easier than it appears to be, anyway). My husband who has never liked any form of cabbage loved this.  The kids loved it as well.  I think this would be wonderful with fresh Bratts added toward the end of the braising and accompanied with some fresh Brotchen.  I'll definatly make this again.  Thank you, Alan, for a terrific recipe. Since trying this, I've looked over your other recipes.  You have some really delicious sounding recipes.  Some of which, I'll just have to try  ;-)</t>
        </is>
      </c>
    </row>
    <row r="2089" ht="409.5" customHeight="1">
      <c r="A2089" s="7" t="n">
        <v>60020</v>
      </c>
      <c r="B2089" s="7" t="n">
        <v>269459</v>
      </c>
      <c r="C2089" s="7" t="n">
        <v>94243</v>
      </c>
      <c r="D2089" s="7" t="n">
        <v>52189</v>
      </c>
      <c r="E2089" s="8" t="n">
        <v>39413</v>
      </c>
      <c r="F2089" s="7" t="n">
        <v>5</v>
      </c>
      <c r="G2089" s="9" t="inlineStr">
        <is>
          <t>This was so rich and delicious!  I made it to go along with our Thanksgiving dinner.  I didn't have evaporated milk, so I used regular skim milk.  I will definitely be making this again!_x000D_
_x000D_
Thanks!_x000D_
Amy</t>
        </is>
      </c>
    </row>
    <row r="2090" ht="409.5" customHeight="1">
      <c r="A2090" s="7" t="n">
        <v>114220</v>
      </c>
      <c r="B2090" s="7" t="n">
        <v>656773</v>
      </c>
      <c r="C2090" s="7" t="n">
        <v>718022</v>
      </c>
      <c r="D2090" s="7" t="n">
        <v>27208</v>
      </c>
      <c r="E2090" s="8" t="n">
        <v>39622</v>
      </c>
      <c r="F2090" s="7" t="n">
        <v>5</v>
      </c>
      <c r="G2090" s="9" t="inlineStr">
        <is>
          <t>I absolutely love this receipe._x000D_
I have done it in the crock pot with blade roasts using 1 tablespoon of 63812 &amp; 1 tablespoon of 28324, plus the gravy mix._x000D_
I also did it in my pressure cooker same way using 1 cup of water and it was superb.  It can be made fast or slow depending on the day._x000D_
Thank you for making my life easier, this is a definite winner.</t>
        </is>
      </c>
    </row>
    <row r="2091">
      <c r="A2091" s="7" t="n">
        <v>72207</v>
      </c>
      <c r="B2091" s="7" t="n">
        <v>582233</v>
      </c>
      <c r="C2091" s="7" t="n">
        <v>444132</v>
      </c>
      <c r="D2091" s="7" t="n">
        <v>272783</v>
      </c>
      <c r="E2091" s="8" t="n">
        <v>39908</v>
      </c>
      <c r="F2091" s="7" t="n">
        <v>5</v>
      </c>
      <c r="G2091" s="7" t="inlineStr">
        <is>
          <t>Yet another fantastic recipe from Serah!  This had such amazing flavours and textures.  This one will definately be a regular recipe around here!  I used cilantro in place of the parsley, had homemade veggie stock to use up so used that in place of the apple juice and canned stock, and used a combination of mushrooms.  So GOOD!  Made for PAC Spring '09.</t>
        </is>
      </c>
    </row>
    <row r="2092">
      <c r="A2092" s="7" t="n">
        <v>34033</v>
      </c>
      <c r="B2092" s="7" t="n">
        <v>709670</v>
      </c>
      <c r="C2092" s="7" t="n">
        <v>368701</v>
      </c>
      <c r="D2092" s="7" t="n">
        <v>168884</v>
      </c>
      <c r="E2092" s="8" t="n">
        <v>39511</v>
      </c>
      <c r="F2092" s="7" t="n">
        <v>5</v>
      </c>
      <c r="G2092" s="7" t="inlineStr">
        <is>
          <t>This is the first time I made a quiche and it was awesome.  My husband and my kids loved it; which surprises me because it has spinach.  Very simple preperation and directions; however, I did add a roll out pie crust and opted to crumble bacon on top.  Definitely high in fat and calories but oh sooooo good.  I would suggest using a little less than 10 oz of spinach.</t>
        </is>
      </c>
    </row>
    <row r="2093">
      <c r="A2093" s="7" t="n">
        <v>58338</v>
      </c>
      <c r="B2093" s="7" t="n">
        <v>105036</v>
      </c>
      <c r="C2093" s="7" t="n">
        <v>169430</v>
      </c>
      <c r="D2093" s="7" t="n">
        <v>458903</v>
      </c>
      <c r="E2093" s="8" t="n">
        <v>40766</v>
      </c>
      <c r="F2093" s="7" t="n">
        <v>5</v>
      </c>
      <c r="G2093" s="7" t="inlineStr">
        <is>
          <t>Made with one slight change I had apricot necter on hand so I used that. Still very yum. DH and I almost polished it of sitting outdoors and talking about plans for next years yard improvement. It's a good thing that talk is cheap and iced tea is wonderful. lol.</t>
        </is>
      </c>
    </row>
    <row r="2094">
      <c r="A2094" s="7" t="n">
        <v>42510</v>
      </c>
      <c r="B2094" s="7" t="n">
        <v>919050</v>
      </c>
      <c r="C2094" s="7" t="n">
        <v>31420</v>
      </c>
      <c r="D2094" s="7" t="n">
        <v>159958</v>
      </c>
      <c r="E2094" s="8" t="n">
        <v>38984</v>
      </c>
      <c r="F2094" s="7" t="n">
        <v>5</v>
      </c>
      <c r="G2094" s="7" t="inlineStr">
        <is>
          <t>Yum!  Everybody liked this, from the baby, to the picky toddler, to my husband, to me, the pregnant woman craving chicken and spinach.  I omitted the salt, and didn't have any red peppers.  Otherwise I followed the recipe exactly.  This is definetly a keeper.</t>
        </is>
      </c>
    </row>
    <row r="2095" ht="390" customHeight="1">
      <c r="A2095" s="7" t="n">
        <v>116561</v>
      </c>
      <c r="B2095" s="7" t="n">
        <v>267779</v>
      </c>
      <c r="C2095" s="7" t="n">
        <v>238661</v>
      </c>
      <c r="D2095" s="7" t="n">
        <v>92499</v>
      </c>
      <c r="E2095" s="8" t="n">
        <v>39963</v>
      </c>
      <c r="F2095" s="7" t="n">
        <v>5</v>
      </c>
      <c r="G2095" s="9" t="inlineStr">
        <is>
          <t>Thanx for the great Jam!  I made one batch each of rasp., straw., blue., and peach using the appropriate pie filling and jello and they all turned out amazing!  _x000D_
thanx again!</t>
        </is>
      </c>
    </row>
    <row r="2096">
      <c r="A2096" s="7" t="n">
        <v>87249</v>
      </c>
      <c r="B2096" s="7" t="n">
        <v>78872</v>
      </c>
      <c r="C2096" s="7" t="n">
        <v>86318</v>
      </c>
      <c r="D2096" s="7" t="n">
        <v>177580</v>
      </c>
      <c r="E2096" s="8" t="n">
        <v>39039</v>
      </c>
      <c r="F2096" s="7" t="n">
        <v>5</v>
      </c>
      <c r="G2096" s="7" t="inlineStr">
        <is>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is>
      </c>
    </row>
    <row r="2097">
      <c r="A2097" t="n">
        <v>108115</v>
      </c>
      <c r="B2097" t="n">
        <v>937834</v>
      </c>
      <c r="C2097" t="n">
        <v>149043</v>
      </c>
      <c r="D2097" t="n">
        <v>82102</v>
      </c>
      <c r="E2097" s="1" t="n">
        <v>38259</v>
      </c>
      <c r="F2097" t="n">
        <v>5</v>
      </c>
      <c r="G2097" t="inlineStr">
        <is>
          <t>Very tasty! Four cloves of garlic was just perfect!  We will certainly make this again.  Thank you for sharing the recipe.</t>
        </is>
      </c>
    </row>
    <row r="2098">
      <c r="A2098" s="7" t="n">
        <v>120378</v>
      </c>
      <c r="B2098" s="7" t="n">
        <v>961299</v>
      </c>
      <c r="C2098" s="7" t="n">
        <v>12619</v>
      </c>
      <c r="D2098" s="7" t="n">
        <v>101068</v>
      </c>
      <c r="E2098" s="8" t="n">
        <v>39665</v>
      </c>
      <c r="F2098" s="7" t="n">
        <v>4</v>
      </c>
      <c r="G2098" s="7" t="inlineStr">
        <is>
          <t>Pretty good. I think that I will use more butter if I make it again.</t>
        </is>
      </c>
    </row>
    <row r="2099">
      <c r="A2099" s="7" t="n">
        <v>81344</v>
      </c>
      <c r="B2099" s="7" t="n">
        <v>960978</v>
      </c>
      <c r="C2099" s="7" t="n">
        <v>168462</v>
      </c>
      <c r="D2099" s="7" t="n">
        <v>142325</v>
      </c>
      <c r="E2099" s="8" t="n">
        <v>38983</v>
      </c>
      <c r="F2099" s="7" t="n">
        <v>5</v>
      </c>
      <c r="G2099" s="7" t="inlineStr">
        <is>
          <t>My husband and I loved this soup.  I chose not to add the carrots or shrimp and it was perfect for us. For such a simple soup to prepare it sure packs a ton of flavour. Thanks for the recipe.</t>
        </is>
      </c>
    </row>
    <row r="2100">
      <c r="A2100" s="7" t="n">
        <v>87868</v>
      </c>
      <c r="B2100" s="7" t="n">
        <v>538745</v>
      </c>
      <c r="C2100" s="7" t="n">
        <v>173815</v>
      </c>
      <c r="D2100" s="7" t="n">
        <v>26885</v>
      </c>
      <c r="E2100" s="8" t="n">
        <v>38409</v>
      </c>
      <c r="F2100" s="7" t="n">
        <v>5</v>
      </c>
      <c r="G2100" s="7" t="inlineStr">
        <is>
          <t>This was gone in a flash!!! Used shredded frozen hash browns. Perfect with a little Picante on top. Whole family loved it. So great to make hashbrowns, eggs and bacon in the same pan. DH made this while DS and I made Everyday Coffee Cake(microwave)#84177. These were very delicious and quick to prepare. Great Saturday morning brunch. Thanks, this will be on our weekly breakfast rotation.</t>
        </is>
      </c>
    </row>
    <row r="2101">
      <c r="A2101" t="n">
        <v>103693</v>
      </c>
      <c r="B2101" t="n">
        <v>722446</v>
      </c>
      <c r="C2101" t="n">
        <v>143656</v>
      </c>
      <c r="D2101" t="n">
        <v>51671</v>
      </c>
      <c r="E2101" s="1" t="n">
        <v>38558</v>
      </c>
      <c r="F2101" t="n">
        <v>5</v>
      </c>
      <c r="G2101" t="inlineStr">
        <is>
          <t>Absolutley delightful. I made these for a dinner party and everyone enjoyed them. Even had requests for the recipe. Thanks NurseDi!</t>
        </is>
      </c>
    </row>
    <row r="2102">
      <c r="A2102" t="n">
        <v>1706</v>
      </c>
      <c r="B2102" t="n">
        <v>1017417</v>
      </c>
      <c r="C2102" t="n">
        <v>468382</v>
      </c>
      <c r="D2102" t="n">
        <v>64771</v>
      </c>
      <c r="E2102" s="1" t="n">
        <v>39335</v>
      </c>
      <c r="F2102" t="n">
        <v>4</v>
      </c>
      <c r="G2102" t="inlineStr">
        <is>
          <t>This was a really good recipe.  I used the new Jello Chocolate Mint Chip pudding (4.44 oz size) and added 1/4 C water to adjust for more pudding.  It made 18 reg size muffins and turned out wonderful! We used this for one of our playgroup's, "Muffin Monday" recipe!! Thank you so much for the idea.</t>
        </is>
      </c>
    </row>
    <row r="2103">
      <c r="A2103" s="7" t="n">
        <v>91458</v>
      </c>
      <c r="B2103" s="7" t="n">
        <v>25943</v>
      </c>
      <c r="C2103" s="7" t="n">
        <v>804851</v>
      </c>
      <c r="D2103" s="7" t="n">
        <v>152218</v>
      </c>
      <c r="E2103" s="8" t="n">
        <v>39821</v>
      </c>
      <c r="F2103" s="7" t="n">
        <v>5</v>
      </c>
      <c r="G2103" s="7" t="inlineStr">
        <is>
          <t>Totally loved by the whole family.  I had with Beef Rollups and it was just right to go with them!  I loved the flavor of the shallots as opposed to the onions, and the spices were right on target!  Great potato recipe Parsley.  Thank you!</t>
        </is>
      </c>
    </row>
    <row r="2104">
      <c r="A2104" s="7" t="n">
        <v>74524</v>
      </c>
      <c r="B2104" s="7" t="n">
        <v>757300</v>
      </c>
      <c r="C2104" s="7" t="n">
        <v>315805</v>
      </c>
      <c r="D2104" s="7" t="n">
        <v>95017</v>
      </c>
      <c r="E2104" s="8" t="n">
        <v>40334</v>
      </c>
      <c r="F2104" s="7" t="n">
        <v>5</v>
      </c>
      <c r="G2104" s="7" t="inlineStr">
        <is>
          <t>This one is a keeper! We loved the flavor. Simply delicious, thanks!</t>
        </is>
      </c>
    </row>
    <row r="2105">
      <c r="A2105" s="7" t="n">
        <v>114047</v>
      </c>
      <c r="B2105" s="7" t="n">
        <v>691976</v>
      </c>
      <c r="C2105" s="7" t="n">
        <v>584524</v>
      </c>
      <c r="D2105" s="7" t="n">
        <v>119990</v>
      </c>
      <c r="E2105" s="8" t="n">
        <v>39335</v>
      </c>
      <c r="F2105" s="7" t="n">
        <v>5</v>
      </c>
      <c r="G2105" s="7" t="inlineStr">
        <is>
          <t>I have never made rice pudding before. I had rice left over from another recipe (about 3 cups) and my mother in-law suggested that I make rice pudding. I looked up the recipe and made it. We just ate a bowl and it was ABSOLUTELY FANTASTIC!!! Great call on the cream on before you eat.</t>
        </is>
      </c>
    </row>
    <row r="2106">
      <c r="A2106" s="7" t="n">
        <v>40710</v>
      </c>
      <c r="B2106" s="7" t="n">
        <v>22851</v>
      </c>
      <c r="C2106" s="7" t="n">
        <v>89831</v>
      </c>
      <c r="D2106" s="7" t="n">
        <v>117668</v>
      </c>
      <c r="E2106" s="8" t="n">
        <v>39251</v>
      </c>
      <c r="F2106" s="7" t="n">
        <v>5</v>
      </c>
      <c r="G2106" s="7" t="inlineStr">
        <is>
          <t>This is delicious Nimz! I used regular chili powder and reduced the amount to 1 tablespoons, also I used garlic salt and a little cayenne pepper, we loved this corn, thanks for sharing hon!...Kitten:)</t>
        </is>
      </c>
    </row>
    <row r="2107">
      <c r="A2107" s="7" t="n">
        <v>64658</v>
      </c>
      <c r="B2107" s="7" t="n">
        <v>73958</v>
      </c>
      <c r="C2107" s="7" t="n">
        <v>47230</v>
      </c>
      <c r="D2107" s="7" t="n">
        <v>35368</v>
      </c>
      <c r="E2107" s="8" t="n">
        <v>37558</v>
      </c>
      <c r="F2107" s="7" t="n">
        <v>5</v>
      </c>
      <c r="G2107" s="7" t="inlineStr">
        <is>
          <t>Great rice dish. I added some minced garlic to cook with the ground beef, onions, and peppers. I agree that it was seasoned well but not too hot, which makes it kid friendly. A very simple and easy recipe to make. Thanks Nurse Di.</t>
        </is>
      </c>
    </row>
    <row r="2108">
      <c r="A2108" t="n">
        <v>122660</v>
      </c>
      <c r="B2108" t="n">
        <v>620953</v>
      </c>
      <c r="C2108" t="n">
        <v>1324240</v>
      </c>
      <c r="D2108" t="n">
        <v>74629</v>
      </c>
      <c r="E2108" s="1" t="n">
        <v>40149</v>
      </c>
      <c r="F2108" t="n">
        <v>5</v>
      </c>
      <c r="G2108" t="inlineStr">
        <is>
          <t>This was a really good side dish with fish it helped to kick of my DH and my new low fat diet.  I made this w/a brown and wild rice blend I found.  I also added some chile powder, fresh garlic, and shallots instead of the onions. Thanks Ladypit!!</t>
        </is>
      </c>
    </row>
    <row r="2109" ht="195" customHeight="1">
      <c r="A2109" s="7" t="n">
        <v>55032</v>
      </c>
      <c r="B2109" s="7" t="n">
        <v>217395</v>
      </c>
      <c r="C2109" s="7" t="n">
        <v>303700</v>
      </c>
      <c r="D2109" s="7" t="n">
        <v>341753</v>
      </c>
      <c r="E2109" s="8" t="n">
        <v>39920</v>
      </c>
      <c r="F2109" s="7" t="n">
        <v>5</v>
      </c>
      <c r="G2109" s="9" t="inlineStr">
        <is>
          <t>Made for Gimme 5 tag game._x000D_
This is simple and yummy but quite sweet so be prepared...LOL</t>
        </is>
      </c>
    </row>
    <row r="2110">
      <c r="A2110" s="7" t="n">
        <v>105206</v>
      </c>
      <c r="B2110" s="7" t="n">
        <v>774321</v>
      </c>
      <c r="C2110" s="7" t="n">
        <v>2001380233</v>
      </c>
      <c r="D2110" s="7" t="n">
        <v>128956</v>
      </c>
      <c r="E2110" s="8" t="n">
        <v>42771</v>
      </c>
      <c r="F2110" s="7" t="n">
        <v>5</v>
      </c>
      <c r="G2110" s="7" t="n"/>
    </row>
    <row r="2111">
      <c r="A2111" s="7" t="n">
        <v>89379</v>
      </c>
      <c r="B2111" s="7" t="n">
        <v>364951</v>
      </c>
      <c r="C2111" s="7" t="n">
        <v>10979</v>
      </c>
      <c r="D2111" s="7" t="n">
        <v>178603</v>
      </c>
      <c r="E2111" s="8" t="n">
        <v>40638</v>
      </c>
      <c r="F2111" s="7" t="n">
        <v>5</v>
      </c>
      <c r="G2111" s="7" t="inlineStr">
        <is>
          <t>Fast and easy to make. Smells so good, tastes even better... I did add some toasted chopped pecans..</t>
        </is>
      </c>
    </row>
    <row r="2112">
      <c r="A2112" s="7" t="n">
        <v>13073</v>
      </c>
      <c r="B2112" s="7" t="n">
        <v>7385</v>
      </c>
      <c r="C2112" s="7" t="n">
        <v>231546</v>
      </c>
      <c r="D2112" s="7" t="n">
        <v>97553</v>
      </c>
      <c r="E2112" s="8" t="n">
        <v>38575</v>
      </c>
      <c r="F2112" s="7" t="n">
        <v>5</v>
      </c>
      <c r="G2112" s="7" t="inlineStr">
        <is>
          <t>I just made this and I can not believe how good this is!!! I used air popped corn and it still turned out WONDERFUL!! Thanks for a great recipe! I love the lightness of the caramel w/ the corn, just perfect!</t>
        </is>
      </c>
    </row>
    <row r="2113">
      <c r="A2113" s="7" t="n">
        <v>52619</v>
      </c>
      <c r="B2113" s="7" t="n">
        <v>64401</v>
      </c>
      <c r="C2113" s="7" t="n">
        <v>255338</v>
      </c>
      <c r="D2113" s="7" t="n">
        <v>57593</v>
      </c>
      <c r="E2113" s="8" t="n">
        <v>39031</v>
      </c>
      <c r="F2113" s="7" t="n">
        <v>4</v>
      </c>
      <c r="G2113" s="7" t="inlineStr">
        <is>
          <t>Baking time was spot on for me. My brownie came off the pan easily, and I had no problem cutting it. I was expecting a chewier and fudgier brownie, and this was kind of cake-like. It tasted delicious, and so cheery looking, too. I will try making this again, but will cut down on the flour a bit to see if texture improves the second time. Thank you for posting.</t>
        </is>
      </c>
    </row>
    <row r="2114">
      <c r="A2114" s="7" t="n">
        <v>27835</v>
      </c>
      <c r="B2114" s="7" t="n">
        <v>213478</v>
      </c>
      <c r="C2114" s="7" t="n">
        <v>931656</v>
      </c>
      <c r="D2114" s="7" t="n">
        <v>125633</v>
      </c>
      <c r="E2114" s="8" t="n">
        <v>40223</v>
      </c>
      <c r="F2114" s="7" t="n">
        <v>5</v>
      </c>
      <c r="G2114" s="7" t="inlineStr">
        <is>
          <t>This was delicious!  Wouldn't change a thing!</t>
        </is>
      </c>
    </row>
    <row r="2115">
      <c r="A2115" s="7" t="n">
        <v>63801</v>
      </c>
      <c r="B2115" s="7" t="n">
        <v>664092</v>
      </c>
      <c r="C2115" s="7" t="n">
        <v>28201</v>
      </c>
      <c r="D2115" s="7" t="n">
        <v>19383</v>
      </c>
      <c r="E2115" s="8" t="n">
        <v>37313</v>
      </c>
      <c r="F2115" s="7" t="n">
        <v>5</v>
      </c>
      <c r="G2115" s="7" t="inlineStr">
        <is>
          <t>Wow!  Made this with some leftover chicken and it was so delicous!  I think it would work equally well with left over turkey...I'll find out the day after Thanksgiving!  I'll be eating off of this all week!  Thanks Manda!</t>
        </is>
      </c>
    </row>
    <row r="2116">
      <c r="A2116" s="7" t="n">
        <v>29136</v>
      </c>
      <c r="B2116" s="7" t="n">
        <v>1079056</v>
      </c>
      <c r="C2116" s="7" t="n">
        <v>504925</v>
      </c>
      <c r="D2116" s="7" t="n">
        <v>263659</v>
      </c>
      <c r="E2116" s="8" t="n">
        <v>39664</v>
      </c>
      <c r="F2116" s="7" t="n">
        <v>5</v>
      </c>
      <c r="G2116" s="7" t="inlineStr">
        <is>
          <t>I just made this to sell at a Certified Farmer's Market. I had to make 2 batches because I almost ate the entire first batch. I did add 1/2 teaspoon of Vanilla extract. These were so delicious. I am sure my customers will like it.  I also made a batch with peanuts.</t>
        </is>
      </c>
    </row>
    <row r="2117">
      <c r="A2117" s="7" t="n">
        <v>71256</v>
      </c>
      <c r="B2117" s="7" t="n">
        <v>1073636</v>
      </c>
      <c r="C2117" s="7" t="n">
        <v>439797</v>
      </c>
      <c r="D2117" s="7" t="n">
        <v>93136</v>
      </c>
      <c r="E2117" s="8" t="n">
        <v>39816</v>
      </c>
      <c r="F2117" s="7" t="n">
        <v>0</v>
      </c>
      <c r="G2117" s="7" t="inlineStr">
        <is>
          <t>This was really fun to make.  I had my butcher cut my pork roast into thirds so I could unroll it, and stuff it without having to pound it.  We had a New Years Eve party and I used the leftover ham and cheese from a deli tray as ingredients and it was a great way to start the new year!  Served with stuffing and it was terrific!  Today, i'm going to use the leftover cream sauce and try turning it into sauce for au gratin potatoes.</t>
        </is>
      </c>
    </row>
    <row r="2118">
      <c r="A2118" s="7" t="n">
        <v>94885</v>
      </c>
      <c r="B2118" s="7" t="n">
        <v>13817</v>
      </c>
      <c r="C2118" s="7" t="n">
        <v>201349</v>
      </c>
      <c r="D2118" s="7" t="n">
        <v>105808</v>
      </c>
      <c r="E2118" s="8" t="n">
        <v>38420</v>
      </c>
      <c r="F2118" s="7" t="n">
        <v>5</v>
      </c>
      <c r="G2118" s="7" t="inlineStr">
        <is>
          <t>based on the limited ingredients and time available this is perfect, thanks.</t>
        </is>
      </c>
    </row>
    <row r="2119">
      <c r="A2119" s="7" t="n">
        <v>28780</v>
      </c>
      <c r="B2119" s="7" t="n">
        <v>1084714</v>
      </c>
      <c r="C2119" s="7" t="n">
        <v>252409</v>
      </c>
      <c r="D2119" s="7" t="n">
        <v>19666</v>
      </c>
      <c r="E2119" s="8" t="n">
        <v>38646</v>
      </c>
      <c r="F2119" s="7" t="n">
        <v>5</v>
      </c>
      <c r="G2119" s="7" t="inlineStr">
        <is>
          <t>I loved this recipe but 2 poeple of the household out of 8 didn't they really hated it. But I loved it great flavor and texture alot of baked chicken feels funny and slimy, these weren't so they were wonderful I will save this recipe for forever!</t>
        </is>
      </c>
    </row>
    <row r="2120" ht="315" customHeight="1">
      <c r="A2120" s="7" t="n">
        <v>38937</v>
      </c>
      <c r="B2120" s="7" t="n">
        <v>686626</v>
      </c>
      <c r="C2120" s="7" t="n">
        <v>124249</v>
      </c>
      <c r="D2120" s="7" t="n">
        <v>117975</v>
      </c>
      <c r="E2120" s="8" t="n">
        <v>38601</v>
      </c>
      <c r="F2120" s="7" t="n">
        <v>4</v>
      </c>
      <c r="G2120" s="9" t="inlineStr">
        <is>
          <t>This was a nice tasting potato salad. It tasted like the potato salad the school cafeteria served on hamburger day. _x000D_
_x000D_
Thanks Molly 53._x000D_
_x000D_
Bullwinkle</t>
        </is>
      </c>
    </row>
    <row r="2121">
      <c r="A2121" s="7" t="n">
        <v>58587</v>
      </c>
      <c r="B2121" s="7" t="n">
        <v>38299</v>
      </c>
      <c r="C2121" s="7" t="n">
        <v>1391395</v>
      </c>
      <c r="D2121" s="7" t="n">
        <v>166030</v>
      </c>
      <c r="E2121" s="8" t="n">
        <v>40137</v>
      </c>
      <c r="F2121" s="7" t="n">
        <v>5</v>
      </c>
      <c r="G2121" s="7" t="inlineStr">
        <is>
          <t>Awesome. Glad to find something that doesn't have MSG.</t>
        </is>
      </c>
    </row>
    <row r="2122">
      <c r="A2122" s="7" t="n">
        <v>648</v>
      </c>
      <c r="B2122" s="7" t="n">
        <v>362996</v>
      </c>
      <c r="C2122" s="7" t="n">
        <v>906665</v>
      </c>
      <c r="D2122" s="7" t="n">
        <v>68063</v>
      </c>
      <c r="E2122" s="8" t="n">
        <v>41663</v>
      </c>
      <c r="F2122" s="7" t="n">
        <v>5</v>
      </c>
      <c r="G2122" s="7" t="inlineStr">
        <is>
          <t>This was very flavourful and super quick. Thanks for the recipe!</t>
        </is>
      </c>
    </row>
    <row r="2123">
      <c r="A2123" s="7" t="n">
        <v>104840</v>
      </c>
      <c r="B2123" s="7" t="n">
        <v>549010</v>
      </c>
      <c r="C2123" s="7" t="n">
        <v>226863</v>
      </c>
      <c r="D2123" s="7" t="n">
        <v>272037</v>
      </c>
      <c r="E2123" s="8" t="n">
        <v>40470</v>
      </c>
      <c r="F2123" s="7" t="n">
        <v>5</v>
      </c>
      <c r="G2123" s="7" t="inlineStr">
        <is>
          <t>I really enjoyed this....it is so nice and crisp, and it tastes so clean.  You can taste each individual flavor.  No ingredient is overwhelmed by another.  I think I may leave the skins on my apple next time though to add a bit of color to the salad.  Thanks for sharing!</t>
        </is>
      </c>
    </row>
    <row r="2124">
      <c r="A2124" s="7" t="n">
        <v>116824</v>
      </c>
      <c r="B2124" s="7" t="n">
        <v>190880</v>
      </c>
      <c r="C2124" s="7" t="n">
        <v>414777</v>
      </c>
      <c r="D2124" s="7" t="n">
        <v>100834</v>
      </c>
      <c r="E2124" s="8" t="n">
        <v>39859</v>
      </c>
      <c r="F2124" s="7" t="n">
        <v>5</v>
      </c>
      <c r="G2124" s="7" t="inlineStr">
        <is>
          <t>My family really liked this. The dough was a little bit sticky and I didn't think it would turn out. I've had some bad experiences in the past &amp; thought it would be flat. But much to my surprise it turned out really well. I'm definitely going to make this again. I followed the recipe as written. I put it in a warm oven to rise but didn't cover it. As a result it had some dry spots so next time I'll put plastic wrap on it. Thanks a lot!</t>
        </is>
      </c>
    </row>
    <row r="2125">
      <c r="A2125" s="7" t="n">
        <v>63585</v>
      </c>
      <c r="B2125" s="7" t="n">
        <v>148839</v>
      </c>
      <c r="C2125" s="7" t="n">
        <v>60260</v>
      </c>
      <c r="D2125" s="7" t="n">
        <v>69202</v>
      </c>
      <c r="E2125" s="8" t="n">
        <v>40286</v>
      </c>
      <c r="F2125" s="7" t="n">
        <v>5</v>
      </c>
      <c r="G2125" s="7" t="inlineStr">
        <is>
          <t>I was in a pinch on coming up with dinner and was so happy to find this recipe and didn't have to go to the store!  Made "as is" and everyone really liked it - thanks for sharing!</t>
        </is>
      </c>
    </row>
    <row r="2126">
      <c r="A2126" s="7" t="n">
        <v>35909</v>
      </c>
      <c r="B2126" s="7" t="n">
        <v>1086981</v>
      </c>
      <c r="C2126" s="7" t="n">
        <v>298447</v>
      </c>
      <c r="D2126" s="7" t="n">
        <v>161334</v>
      </c>
      <c r="E2126" s="8" t="n">
        <v>40319</v>
      </c>
      <c r="F2126" s="7" t="n">
        <v>5</v>
      </c>
      <c r="G2126" s="7" t="inlineStr">
        <is>
          <t>Reggae wraps...these things are mmm, mmm fabulous!  I really loved the addition of the ginger (I used fresh)...it added such a nice taste to the chicken.  Also, I used dried cilantro leaves and reduced fat sour cream for the sauce- was still great, even tho' I didn't have the real stuff on hand. For the wraps, we used Naan bread - wow, yummy.  Only two complaints....it was a bit messy to eat (not your recipe's fault, mind you) and I didn't double the recipe- we ALL wanted second helpings!  Thank you!!</t>
        </is>
      </c>
    </row>
    <row r="2127">
      <c r="A2127" s="7" t="n">
        <v>80714</v>
      </c>
      <c r="B2127" s="7" t="n">
        <v>523483</v>
      </c>
      <c r="C2127" s="7" t="n">
        <v>45999</v>
      </c>
      <c r="D2127" s="7" t="n">
        <v>132335</v>
      </c>
      <c r="E2127" s="8" t="n">
        <v>40691</v>
      </c>
      <c r="F2127" s="7" t="n">
        <v>0</v>
      </c>
      <c r="G2127" s="7" t="inlineStr">
        <is>
          <t>Sorry, we didn't like this.</t>
        </is>
      </c>
    </row>
    <row r="2128">
      <c r="A2128" s="7" t="n">
        <v>37457</v>
      </c>
      <c r="B2128" s="7" t="n">
        <v>657445</v>
      </c>
      <c r="C2128" s="7" t="n">
        <v>1800091321</v>
      </c>
      <c r="D2128" s="7" t="n">
        <v>27208</v>
      </c>
      <c r="E2128" s="8" t="n">
        <v>41584</v>
      </c>
      <c r="F2128" s="7" t="n">
        <v>0</v>
      </c>
      <c r="G2128" s="7" t="inlineStr">
        <is>
          <t xml:space="preserve">Thanks for such recipe </t>
        </is>
      </c>
    </row>
    <row r="2129">
      <c r="A2129" s="7" t="n">
        <v>29050</v>
      </c>
      <c r="B2129" s="7" t="n">
        <v>650011</v>
      </c>
      <c r="C2129" s="7" t="n">
        <v>39835</v>
      </c>
      <c r="D2129" s="7" t="n">
        <v>34719</v>
      </c>
      <c r="E2129" s="8" t="n">
        <v>37734</v>
      </c>
      <c r="F2129" s="7" t="n">
        <v>5</v>
      </c>
      <c r="G2129" s="7" t="inlineStr">
        <is>
          <t>Easy and great to have muffins ready to pop in the oven in the morning. We used Fiber 1 cereal and added 2 cups of raisins to the mixture. Next time I may use Rasin Bran instead.</t>
        </is>
      </c>
    </row>
    <row r="2130">
      <c r="A2130" s="7" t="n">
        <v>37226</v>
      </c>
      <c r="B2130" s="7" t="n">
        <v>538752</v>
      </c>
      <c r="C2130" s="7" t="n">
        <v>2770135</v>
      </c>
      <c r="D2130" s="7" t="n">
        <v>26885</v>
      </c>
      <c r="E2130" s="8" t="n">
        <v>41368</v>
      </c>
      <c r="F2130" s="7" t="n">
        <v>5</v>
      </c>
      <c r="G2130" s="7" t="inlineStr">
        <is>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is>
      </c>
    </row>
    <row r="2131">
      <c r="A2131" s="7" t="n">
        <v>36438</v>
      </c>
      <c r="B2131" s="7" t="n">
        <v>13232</v>
      </c>
      <c r="C2131" s="7" t="n">
        <v>581245</v>
      </c>
      <c r="D2131" s="7" t="n">
        <v>209168</v>
      </c>
      <c r="E2131" s="8" t="n">
        <v>39588</v>
      </c>
      <c r="F2131" s="7" t="n">
        <v>4</v>
      </c>
      <c r="G2131" s="7" t="inlineStr">
        <is>
          <t>Needs seasonings but to be fair it was delicious once I added them. I added salt, pepper, cumin, chili pepper and a little lime juice to the chicken mixture.</t>
        </is>
      </c>
    </row>
    <row r="2132">
      <c r="A2132" s="7" t="n">
        <v>119982</v>
      </c>
      <c r="B2132" s="7" t="n">
        <v>326924</v>
      </c>
      <c r="C2132" s="7" t="n">
        <v>237023</v>
      </c>
      <c r="D2132" s="7" t="n">
        <v>37548</v>
      </c>
      <c r="E2132" s="8" t="n">
        <v>38648</v>
      </c>
      <c r="F2132" s="7" t="n">
        <v>5</v>
      </c>
      <c r="G2132" s="7" t="inlineStr">
        <is>
          <t xml:space="preserve">Well I had to review this again because before I only waited about 10 hours before serving not 24.  I figured it wouldn't make that big of a difference... well it does!  It tasted so much better the next day. The consistancy was firmer and you would've never known I had used low-fat cream cheese.  </t>
        </is>
      </c>
    </row>
    <row r="2133">
      <c r="A2133" s="7" t="n">
        <v>67922</v>
      </c>
      <c r="B2133" s="7" t="n">
        <v>1111169</v>
      </c>
      <c r="C2133" s="7" t="n">
        <v>1365959</v>
      </c>
      <c r="D2133" s="7" t="n">
        <v>186256</v>
      </c>
      <c r="E2133" s="8" t="n">
        <v>40192</v>
      </c>
      <c r="F2133" s="7" t="n">
        <v>5</v>
      </c>
      <c r="G2133" s="7" t="inlineStr">
        <is>
          <t>I used these ingredients and baked the chicken, since I didn't have time to let it slow cook. GREAT RECIPE!! Will definitely use this again!</t>
        </is>
      </c>
    </row>
    <row r="2134">
      <c r="A2134" s="7" t="n">
        <v>17315</v>
      </c>
      <c r="B2134" s="7" t="n">
        <v>575773</v>
      </c>
      <c r="C2134" s="7" t="n">
        <v>552629</v>
      </c>
      <c r="D2134" s="7" t="n">
        <v>15242</v>
      </c>
      <c r="E2134" s="8" t="n">
        <v>39312</v>
      </c>
      <c r="F2134" s="7" t="n">
        <v>3</v>
      </c>
      <c r="G2134" s="7" t="inlineStr">
        <is>
          <t>I made it from fresh potatoes because we don't have frozen hash browns here.It took me 1 1/2 hours to bake.Next time I will not put any butter.It was little to oily and heavy for us but flavour was there.</t>
        </is>
      </c>
    </row>
    <row r="2135">
      <c r="A2135" s="7" t="n">
        <v>93185</v>
      </c>
      <c r="B2135" s="7" t="n">
        <v>164562</v>
      </c>
      <c r="C2135" s="7" t="n">
        <v>227991</v>
      </c>
      <c r="D2135" s="7" t="n">
        <v>49578</v>
      </c>
      <c r="E2135" s="8" t="n">
        <v>38836</v>
      </c>
      <c r="F2135" s="7" t="n">
        <v>5</v>
      </c>
      <c r="G2135" s="7" t="inlineStr">
        <is>
          <t>If you like raisins and oats, you will love these. They are probably my favorite cookie ever!</t>
        </is>
      </c>
    </row>
    <row r="2136">
      <c r="A2136" s="7" t="n">
        <v>5984</v>
      </c>
      <c r="B2136" s="7" t="n">
        <v>56969</v>
      </c>
      <c r="C2136" s="7" t="n">
        <v>2001871535</v>
      </c>
      <c r="D2136" s="7" t="n">
        <v>9054</v>
      </c>
      <c r="E2136" s="8" t="n">
        <v>43088</v>
      </c>
      <c r="F2136" s="7" t="n">
        <v>0</v>
      </c>
      <c r="G2136" s="7" t="inlineStr">
        <is>
          <t>I've always eaten these with syrup. That's how I was raised to eat them. If you like savory and sweet (like sausage and syrup), you should try it! I haven't ever made them - it was always my grandfather. Now my husband makes them. I haven't followed this recipe but it looks simple and yummy. I've never had them with cheese, though. I love cheese but I probably wouldn't eat them with cheese.</t>
        </is>
      </c>
    </row>
    <row r="2137">
      <c r="A2137" s="7" t="n">
        <v>29586</v>
      </c>
      <c r="B2137" s="7" t="n">
        <v>23701</v>
      </c>
      <c r="C2137" s="7" t="n">
        <v>462571</v>
      </c>
      <c r="D2137" s="7" t="n">
        <v>213344</v>
      </c>
      <c r="E2137" s="8" t="n">
        <v>39244</v>
      </c>
      <c r="F2137" s="7" t="n">
        <v>4</v>
      </c>
      <c r="G2137" s="7" t="inlineStr">
        <is>
          <t>Very good! This was everything you said it was in the description. It does come together quickly at the end so have all the elements ready for the pan. Better cooks than I will time this to perfection. With a little practice, I'll get it just right. :) Thanks for posting. Made for My 3 Chefs 2007.</t>
        </is>
      </c>
    </row>
    <row r="2138">
      <c r="A2138" t="n">
        <v>38862</v>
      </c>
      <c r="B2138" t="n">
        <v>937924</v>
      </c>
      <c r="C2138" t="n">
        <v>361489</v>
      </c>
      <c r="D2138" t="n">
        <v>82102</v>
      </c>
      <c r="E2138" s="1" t="n">
        <v>39176</v>
      </c>
      <c r="F2138" t="n">
        <v>5</v>
      </c>
      <c r="G2138" t="inlineStr">
        <is>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is>
      </c>
    </row>
    <row r="2139">
      <c r="A2139" s="7" t="n">
        <v>53255</v>
      </c>
      <c r="B2139" s="7" t="n">
        <v>341913</v>
      </c>
      <c r="C2139" s="7" t="n">
        <v>91392</v>
      </c>
      <c r="D2139" s="7" t="n">
        <v>56776</v>
      </c>
      <c r="E2139" s="8" t="n">
        <v>38269</v>
      </c>
      <c r="F2139" s="7" t="n">
        <v>5</v>
      </c>
      <c r="G2139" s="7" t="inlineStr">
        <is>
          <t>Very fast, very good, great sauce for dipping.  I used low fat creme fraiche, and it was perfect.  Took the skin off the chicken too to cut down on fat.  The salsa is healthy, so that was no problem.  Will DEFINITELY make again!!</t>
        </is>
      </c>
    </row>
    <row r="2140" ht="409.5" customHeight="1">
      <c r="A2140" s="7" t="n">
        <v>123603</v>
      </c>
      <c r="B2140" s="7" t="n">
        <v>834806</v>
      </c>
      <c r="C2140" s="7" t="n">
        <v>368867</v>
      </c>
      <c r="D2140" s="7" t="n">
        <v>32973</v>
      </c>
      <c r="E2140" s="8" t="n">
        <v>39014</v>
      </c>
      <c r="F2140" s="7" t="n">
        <v>5</v>
      </c>
      <c r="G2140" s="9" t="inlineStr">
        <is>
          <t>I have searched for 40 years trying to find the recipe for " my grandma's " " hamburgers with gravy " recipe and now here it is!_x000D_
_x000D_
Thank you soooo much!!! _x000D_
_x000D_
It is a CLASSIC and a definite keeper!!_x000D_
_x000D_
5 STARS through and through!!</t>
        </is>
      </c>
    </row>
    <row r="2141">
      <c r="A2141" s="7" t="n">
        <v>67724</v>
      </c>
      <c r="B2141" s="7" t="n">
        <v>112384</v>
      </c>
      <c r="C2141" s="7" t="n">
        <v>570804</v>
      </c>
      <c r="D2141" s="7" t="n">
        <v>62492</v>
      </c>
      <c r="E2141" s="8" t="n">
        <v>39725</v>
      </c>
      <c r="F2141" s="7" t="n">
        <v>5</v>
      </c>
      <c r="G2141" s="7" t="inlineStr">
        <is>
          <t>Wonderful way to carmelize onions - thanks for submitting and can't understand why more cooks have not rated it.</t>
        </is>
      </c>
    </row>
    <row r="2142">
      <c r="A2142" s="7" t="n">
        <v>55063</v>
      </c>
      <c r="B2142" s="7" t="n">
        <v>357013</v>
      </c>
      <c r="C2142" s="7" t="n">
        <v>455539</v>
      </c>
      <c r="D2142" s="7" t="n">
        <v>28954</v>
      </c>
      <c r="E2142" s="8" t="n">
        <v>40752</v>
      </c>
      <c r="F2142" s="7" t="n">
        <v>5</v>
      </c>
      <c r="G2142" s="7" t="inlineStr">
        <is>
          <t>I had 9 banana muffins with mini chocolate chip sprinkles that I baked a couple of days ago, but they came out rather dry and I was just about to throw them away when I realized that the muffins would be a great replacement to stale bread!  Next, I saw that the milk in the recipe specifically said NOT SKIM and of course, all I had was skim, so I used So Delicious Coconut Milk that I had floating around the back of my refrigerator. Also (and maybe because of the coconut milk)  it took 17 minutes on high for the liquid to stop bubbling. And I did sprinkle the muffin chunks with cinnamon before pouring the liquid. This was so moist and delicious! We ate some warm last night and I had some again this morning (cold) and either way, it ROCKS!&lt;br/&gt;I will never throw away another muffin! Thank you Lennie!</t>
        </is>
      </c>
    </row>
    <row r="2143">
      <c r="A2143" s="7" t="n">
        <v>77676</v>
      </c>
      <c r="B2143" s="7" t="n">
        <v>94186</v>
      </c>
      <c r="C2143" s="7" t="n">
        <v>176615</v>
      </c>
      <c r="D2143" s="7" t="n">
        <v>94967</v>
      </c>
      <c r="E2143" s="8" t="n">
        <v>38536</v>
      </c>
      <c r="F2143" s="7" t="n">
        <v>5</v>
      </c>
      <c r="G2143" s="7" t="inlineStr">
        <is>
          <t>Delicious! I love fresh summer tomatoes and with fresh herbs from the garden, this simple dish is wonderful! Thanks, Sackville Girl, for sharing your recipe!</t>
        </is>
      </c>
    </row>
    <row r="2144">
      <c r="A2144" s="7" t="n">
        <v>120325</v>
      </c>
      <c r="B2144" s="7" t="n">
        <v>351084</v>
      </c>
      <c r="C2144" s="7" t="n">
        <v>620435</v>
      </c>
      <c r="D2144" s="7" t="n">
        <v>16531</v>
      </c>
      <c r="E2144" s="8" t="n">
        <v>40059</v>
      </c>
      <c r="F2144" s="7" t="n">
        <v>5</v>
      </c>
      <c r="G2144" s="7" t="inlineStr">
        <is>
          <t>This was outstanding. I cut up a whole chicken (here is how to cut up a chicken http://www.youtube.com/watch?v=JHUvnsQgvCQ  I made as directed but added an extra 1/4 cup of Sprite and used Apple Cider Vinegar. I added corn starch to the juices and it made an excellent gravy. I pulled the chicken from the bone and shredded it and mixed in the gravy and served it over the rice. Mmmmmm good!!</t>
        </is>
      </c>
    </row>
    <row r="2145">
      <c r="A2145" s="7" t="n">
        <v>96619</v>
      </c>
      <c r="B2145" s="7" t="n">
        <v>506206</v>
      </c>
      <c r="C2145" s="7" t="n">
        <v>1800045894</v>
      </c>
      <c r="D2145" s="7" t="n">
        <v>111103</v>
      </c>
      <c r="E2145" s="8" t="n">
        <v>41521</v>
      </c>
      <c r="F2145" s="7" t="n">
        <v>1</v>
      </c>
      <c r="G2145" s="7" t="inlineStr">
        <is>
          <t>These were terrible.  Not even almost edible.  The texture and consistency was beyond bad; it didn&amp;#039;t even remotely resemble bread.  You couldn&amp;#039;t pay me to make these again.</t>
        </is>
      </c>
    </row>
    <row r="2146">
      <c r="A2146" t="n">
        <v>15568</v>
      </c>
      <c r="B2146" t="n">
        <v>567132</v>
      </c>
      <c r="C2146" t="n">
        <v>158086</v>
      </c>
      <c r="D2146" t="n">
        <v>400654</v>
      </c>
      <c r="E2146" s="1" t="n">
        <v>40230</v>
      </c>
      <c r="F2146" t="n">
        <v>5</v>
      </c>
      <c r="G2146" t="inlineStr">
        <is>
          <t>very yummy</t>
        </is>
      </c>
    </row>
    <row r="2147">
      <c r="A2147" s="7" t="n">
        <v>90711</v>
      </c>
      <c r="B2147" s="7" t="n">
        <v>345341</v>
      </c>
      <c r="C2147" s="7" t="n">
        <v>88099</v>
      </c>
      <c r="D2147" s="7" t="n">
        <v>415782</v>
      </c>
      <c r="E2147" s="8" t="n">
        <v>41777</v>
      </c>
      <c r="F2147" s="7" t="n">
        <v>5</v>
      </c>
      <c r="G2147" s="7" t="inlineStr">
        <is>
          <t>What a wonderful tasteful dip you have here.  I cut it down to 1/2 but used the full tsp of garlic powder.  We served this with slices of green pepper and sliced carrots and it was good but we both agreed it was much better on salty chips.  I plan to try this on a baked potato with some cheese and bacon.  Thanks for sharing.  Made for PAC Spring 2014</t>
        </is>
      </c>
    </row>
    <row r="2148">
      <c r="A2148" s="7" t="n">
        <v>11922</v>
      </c>
      <c r="B2148" s="7" t="n">
        <v>81100</v>
      </c>
      <c r="C2148" s="7" t="n">
        <v>410166</v>
      </c>
      <c r="D2148" s="7" t="n">
        <v>86917</v>
      </c>
      <c r="E2148" s="8" t="n">
        <v>39228</v>
      </c>
      <c r="F2148" s="7" t="n">
        <v>4</v>
      </c>
      <c r="G2148" s="7" t="inlineStr">
        <is>
          <t>This is very tasty, but more orange-y than I expected. I gave it four stars because it the orange was too intence for me.</t>
        </is>
      </c>
    </row>
    <row r="2149">
      <c r="A2149" s="7" t="n">
        <v>91315</v>
      </c>
      <c r="B2149" s="7" t="n">
        <v>929952</v>
      </c>
      <c r="C2149" s="7" t="n">
        <v>68460</v>
      </c>
      <c r="D2149" s="7" t="n">
        <v>167888</v>
      </c>
      <c r="E2149" s="8" t="n">
        <v>38871</v>
      </c>
      <c r="F2149" s="7" t="n">
        <v>5</v>
      </c>
      <c r="G2149" s="7" t="inlineStr">
        <is>
          <t>Breakfast?  We had this for dinner and we loved it.  I also loved how quick, easy and versatile it is...I used a cheddar/jack cheese mix, sprinkled mushrooms along with the cheese and ham, used fat-free 1/2 &amp; 1/2 and added a couple shakes of Tabasco to the egg mixture. I didn't use the bacon (didn't have any). I put this together in the morning, we did our running around and threw it in the oven for dinner.  Wonderful.  Served it with a green salad and had leftovers for the next day, which re-heat well in the microwave.  Thanks Laurie, this recipe earned a spot at the cabin :)</t>
        </is>
      </c>
    </row>
    <row r="2150">
      <c r="A2150" s="7" t="n">
        <v>94235</v>
      </c>
      <c r="B2150" s="7" t="n">
        <v>1112482</v>
      </c>
      <c r="C2150" s="7" t="n">
        <v>133174</v>
      </c>
      <c r="D2150" s="7" t="n">
        <v>162347</v>
      </c>
      <c r="E2150" s="8" t="n">
        <v>38819</v>
      </c>
      <c r="F2150" s="7" t="n">
        <v>5</v>
      </c>
      <c r="G2150" s="7" t="inlineStr">
        <is>
          <t xml:space="preserve">This comes from one of my favorite cookbooks and I had never made it.  This is a nice healthy dish and the aroma when cooking is wonderful.  I used homemade chicken stock in place of the wine and Swiss cheese for the mozzarella.  The dish was topped off with a touch of Balsamic vinegar when serving.  </t>
        </is>
      </c>
    </row>
    <row r="2151">
      <c r="A2151" s="7" t="n">
        <v>39715</v>
      </c>
      <c r="B2151" s="7" t="n">
        <v>247917</v>
      </c>
      <c r="C2151" s="7" t="n">
        <v>887923</v>
      </c>
      <c r="D2151" s="7" t="n">
        <v>215414</v>
      </c>
      <c r="E2151" s="8" t="n">
        <v>39708</v>
      </c>
      <c r="F2151" s="7" t="n">
        <v>4</v>
      </c>
      <c r="G2151" s="7" t="inlineStr">
        <is>
          <t>Was really good, I omited the red pepperflakes and the green peppers due to personal taste. I think next time I will add some corn to it for some added color and taste (and a good way to sneak in a veggie for the kids). I used motzarella,swiss, and colby cheese  that is all I had in the house and it was really good and cheesey! I sliced my potatoes very thin and the potatoes were just perfect, not to soft not to hard they were great! Thanks for sharing this I will be making it again!!</t>
        </is>
      </c>
    </row>
    <row r="2152">
      <c r="A2152" s="7" t="n">
        <v>814</v>
      </c>
      <c r="B2152" s="7" t="n">
        <v>327189</v>
      </c>
      <c r="C2152" s="7" t="n">
        <v>344231</v>
      </c>
      <c r="D2152" s="7" t="n">
        <v>233424</v>
      </c>
      <c r="E2152" s="8" t="n">
        <v>39384</v>
      </c>
      <c r="F2152" s="7" t="n">
        <v>3</v>
      </c>
      <c r="G2152" s="7" t="inlineStr">
        <is>
          <t>I liked the flavor of this but I think there must be something amiss with the recipe as my custards came out rather flat. ): I think each of the ramekins needs to be wrapped individually with foil because the custards came out too moist; almost soggy. Will try this again, though, because I think it's got potential.  Made for "Went To Market".</t>
        </is>
      </c>
    </row>
    <row r="2153">
      <c r="A2153" s="7" t="n">
        <v>15480</v>
      </c>
      <c r="B2153" s="7" t="n">
        <v>772679</v>
      </c>
      <c r="C2153" s="7" t="n">
        <v>54716</v>
      </c>
      <c r="D2153" s="7" t="n">
        <v>217762</v>
      </c>
      <c r="E2153" s="8" t="n">
        <v>39193</v>
      </c>
      <c r="F2153" s="7" t="n">
        <v>5</v>
      </c>
      <c r="G2153" s="7" t="inlineStr">
        <is>
          <t>OMG!  OMG!!!!!  I have been searching the internet HIGH and LOW searching for THIS Potato salad recipe!!!  Although, I've never had this in the Bavarian area of Germany - I have had it in the Rhein (Frankfurt aM) area - and when I cried and begged for the recipe - I got a "a little of egg, a little onion, a little pickle", yeah, yeah, I get it.  No one wants to tell me their secret recipe so they only state the obvious ingredients then make me go home and experiement to try to duplicated it.  THANK YOU THANK YOU THANK YOU for posting this Debber!  This is darn close to the recipe I was attempting to get from friends in Germany. (The only reason this tastes different is the Mayonnaise we get here in the USA tastes different from the one in Europe.  But sometimes you can find European mayonnaise and shops that sell European foods.  It comes in a tube - like toothpaste and is called "Thomy". It is a bright yellow and white tube and is in the refrigerated section when you can buy European butter and milk products)   Ha ha!  Won't they be surprised when I make the potato salad for our next get together.  I love this version so much, I don't even make the old, tradtional potato salad recipes anymore.  This is so much better.  Sometimes, I use conchicorns or gherkins instead of pickles or a mixture of all the above.  You Rock for posting this Debber!  To everone else: PLEASE MAKE THIS - This is to die for!!!!!!</t>
        </is>
      </c>
    </row>
    <row r="2154">
      <c r="A2154" s="7" t="n">
        <v>72776</v>
      </c>
      <c r="B2154" s="7" t="n">
        <v>33993</v>
      </c>
      <c r="C2154" s="7" t="n">
        <v>178504</v>
      </c>
      <c r="D2154" s="7" t="n">
        <v>102853</v>
      </c>
      <c r="E2154" s="8" t="n">
        <v>38492</v>
      </c>
      <c r="F2154" s="7" t="n">
        <v>5</v>
      </c>
      <c r="G2154" s="7" t="inlineStr">
        <is>
          <t>I love muffins, but rarely eat them due to the calorie contenet.  These are perfect - very tasty, full of fiber, satisfying, and to top it off, amazingly easy to make.  Mine didn't puff up very much, but they taste great.</t>
        </is>
      </c>
    </row>
    <row r="2155">
      <c r="A2155" s="7" t="n">
        <v>33903</v>
      </c>
      <c r="B2155" s="7" t="n">
        <v>921313</v>
      </c>
      <c r="C2155" s="7" t="n">
        <v>313014</v>
      </c>
      <c r="D2155" s="7" t="n">
        <v>243127</v>
      </c>
      <c r="E2155" s="8" t="n">
        <v>41509</v>
      </c>
      <c r="F2155" s="7" t="n">
        <v>5</v>
      </c>
      <c r="G2155" s="7" t="inlineStr">
        <is>
          <t>Very good!  One of the best goulashes I&amp;#039;ve tried so far.  Using tomato juice instead of water really makes this dish tasty.  Will make again and again!  Thanks for posting!!</t>
        </is>
      </c>
    </row>
    <row r="2156">
      <c r="A2156" s="7" t="n">
        <v>47770</v>
      </c>
      <c r="B2156" s="7" t="n">
        <v>1029053</v>
      </c>
      <c r="C2156" s="7" t="n">
        <v>1104317</v>
      </c>
      <c r="D2156" s="7" t="n">
        <v>241268</v>
      </c>
      <c r="E2156" s="8" t="n">
        <v>40374</v>
      </c>
      <c r="F2156" s="7" t="n">
        <v>5</v>
      </c>
      <c r="G2156" s="7" t="inlineStr">
        <is>
          <t>Top notch, reminds me of great Aunts scones (She was from Inverness).  Like Dekes said these are way beyond 5 stars.</t>
        </is>
      </c>
    </row>
    <row r="2157">
      <c r="A2157" t="n">
        <v>82846</v>
      </c>
      <c r="B2157" t="n">
        <v>103490</v>
      </c>
      <c r="C2157" t="n">
        <v>2001713006</v>
      </c>
      <c r="D2157" t="n">
        <v>88564</v>
      </c>
      <c r="E2157" s="1" t="n">
        <v>42991</v>
      </c>
      <c r="F2157" t="n">
        <v>5</v>
      </c>
      <c r="G2157" t="inlineStr">
        <is>
          <t>This made my rice come out PERFECT! Literally follow everything word for word and it'll make your rice perrrrfect.</t>
        </is>
      </c>
    </row>
    <row r="2158">
      <c r="A2158" t="n">
        <v>114116</v>
      </c>
      <c r="B2158" t="n">
        <v>566825</v>
      </c>
      <c r="C2158" t="n">
        <v>619761</v>
      </c>
      <c r="D2158" t="n">
        <v>173691</v>
      </c>
      <c r="E2158" s="1" t="n">
        <v>40286</v>
      </c>
      <c r="F2158" t="n">
        <v>5</v>
      </c>
      <c r="G2158" t="inlineStr">
        <is>
          <t>These are the BEST cinnamon rolls ever, and the frosting is amazing too. Everyone loves them. There's no need to pay $4 for a cinnamon roll at the mall anymore! Thanks so much for sharing your delicious recipe!</t>
        </is>
      </c>
    </row>
    <row r="2159">
      <c r="A2159" s="7" t="n">
        <v>72640</v>
      </c>
      <c r="B2159" s="7" t="n">
        <v>497820</v>
      </c>
      <c r="C2159" s="7" t="n">
        <v>2002190258</v>
      </c>
      <c r="D2159" s="7" t="n">
        <v>133718</v>
      </c>
      <c r="E2159" s="8" t="n">
        <v>43270</v>
      </c>
      <c r="F2159" s="7" t="n">
        <v>5</v>
      </c>
      <c r="G2159" s="7" t="inlineStr">
        <is>
          <t>Love this recipe, my boss family loved the tastes, very nice and yummy ????????????????</t>
        </is>
      </c>
    </row>
    <row r="2160">
      <c r="A2160" s="7" t="n">
        <v>42262</v>
      </c>
      <c r="B2160" s="7" t="n">
        <v>1050155</v>
      </c>
      <c r="C2160" s="7" t="n">
        <v>738702</v>
      </c>
      <c r="D2160" s="7" t="n">
        <v>53878</v>
      </c>
      <c r="E2160" s="8" t="n">
        <v>39479</v>
      </c>
      <c r="F2160" s="7" t="n">
        <v>5</v>
      </c>
      <c r="G2160" s="7" t="inlineStr">
        <is>
          <t>these were great ! i made them with just cream cheese since we don't eat pepperoni, but i'm thinking that next time i'm going to make them with crab rangoon stuffing instead and serve them with general tso's chicken's sauce ! yum...</t>
        </is>
      </c>
    </row>
    <row r="2161">
      <c r="A2161" s="7" t="n">
        <v>104640</v>
      </c>
      <c r="B2161" s="7" t="n">
        <v>896369</v>
      </c>
      <c r="C2161" s="7" t="n">
        <v>794742</v>
      </c>
      <c r="D2161" s="7" t="n">
        <v>24306</v>
      </c>
      <c r="E2161" s="8" t="n">
        <v>39568</v>
      </c>
      <c r="F2161" s="7" t="n">
        <v>5</v>
      </c>
      <c r="G2161" s="7" t="inlineStr">
        <is>
          <t>We absolutely love this recipe!  We used olive oil instead of vegetable, along with brocolli, red pepper, carrots and onions.  My 5 year old cleaned her plate.  Thanks for adding!</t>
        </is>
      </c>
    </row>
    <row r="2162">
      <c r="A2162" s="7" t="n">
        <v>44760</v>
      </c>
      <c r="B2162" s="7" t="n">
        <v>172617</v>
      </c>
      <c r="C2162" s="7" t="n">
        <v>2001654218</v>
      </c>
      <c r="D2162" s="7" t="n">
        <v>513419</v>
      </c>
      <c r="E2162" s="8" t="n">
        <v>42950</v>
      </c>
      <c r="F2162" s="7" t="n">
        <v>5</v>
      </c>
      <c r="G2162" s="7" t="inlineStr">
        <is>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is>
      </c>
    </row>
    <row r="2163">
      <c r="A2163" s="7" t="n">
        <v>53095</v>
      </c>
      <c r="B2163" s="7" t="n">
        <v>248880</v>
      </c>
      <c r="C2163" s="7" t="n">
        <v>2549237</v>
      </c>
      <c r="D2163" s="7" t="n">
        <v>492925</v>
      </c>
      <c r="E2163" s="8" t="n">
        <v>41463</v>
      </c>
      <c r="F2163" s="7" t="n">
        <v>3</v>
      </c>
      <c r="G2163" s="7" t="inlineStr">
        <is>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is>
      </c>
    </row>
    <row r="2164">
      <c r="A2164" s="7" t="n">
        <v>2526</v>
      </c>
      <c r="B2164" s="7" t="n">
        <v>462145</v>
      </c>
      <c r="C2164" s="7" t="n">
        <v>165567</v>
      </c>
      <c r="D2164" s="7" t="n">
        <v>55</v>
      </c>
      <c r="E2164" s="8" t="n">
        <v>38807</v>
      </c>
      <c r="F2164" s="7" t="n">
        <v>5</v>
      </c>
      <c r="G2164" s="7" t="inlineStr">
        <is>
          <t>I LOVED this recipe! I was looking for a guacamole recipe that was simple, easy and didn't use onion (allergy). Except for a little addition of chili powder and cayenne pepper, the recipe was followed and it was AMAZING! thanks for posting!!!!</t>
        </is>
      </c>
    </row>
    <row r="2165">
      <c r="A2165" s="7" t="n">
        <v>6223</v>
      </c>
      <c r="B2165" s="7" t="n">
        <v>730965</v>
      </c>
      <c r="C2165" s="7" t="n">
        <v>724218</v>
      </c>
      <c r="D2165" s="7" t="n">
        <v>206594</v>
      </c>
      <c r="E2165" s="8" t="n">
        <v>39934</v>
      </c>
      <c r="F2165" s="7" t="n">
        <v>5</v>
      </c>
      <c r="G2165" s="7" t="inlineStr">
        <is>
          <t>we really enjoyed these. made as recipe states and they came out perfect. thanks for sharing.         -punky</t>
        </is>
      </c>
    </row>
    <row r="2166">
      <c r="A2166" s="7" t="n">
        <v>93755</v>
      </c>
      <c r="B2166" s="7" t="n">
        <v>1043078</v>
      </c>
      <c r="C2166" s="7" t="n">
        <v>264610</v>
      </c>
      <c r="D2166" s="7" t="n">
        <v>268662</v>
      </c>
      <c r="E2166" s="8" t="n">
        <v>41256</v>
      </c>
      <c r="F2166" s="7" t="n">
        <v>5</v>
      </c>
      <c r="G2166" s="7" t="inlineStr">
        <is>
          <t>This is the perfect Thumbprint cookie!!!! I left out the lime zest and baked the with the jam.</t>
        </is>
      </c>
    </row>
    <row r="2167">
      <c r="A2167" s="7" t="n">
        <v>93730</v>
      </c>
      <c r="B2167" s="7" t="n">
        <v>559875</v>
      </c>
      <c r="C2167" s="7" t="n">
        <v>351614</v>
      </c>
      <c r="D2167" s="7" t="n">
        <v>5397</v>
      </c>
      <c r="E2167" s="8" t="n">
        <v>39096</v>
      </c>
      <c r="F2167" s="7" t="n">
        <v>3</v>
      </c>
      <c r="G2167" s="7" t="inlineStr">
        <is>
          <t>It was interesting, to be sure.  Never would have thought to put grapes into a sauce...it was a pleasant addition, but far too overpowered by the orange juice.  next time we would use the orange peel but use water or grape juice as the liquid.  Much too orange-y.  Thanks for the interesting recipe, though!</t>
        </is>
      </c>
    </row>
    <row r="2168">
      <c r="A2168" s="7" t="n">
        <v>116177</v>
      </c>
      <c r="B2168" s="7" t="n">
        <v>176775</v>
      </c>
      <c r="C2168" s="7" t="n">
        <v>207326</v>
      </c>
      <c r="D2168" s="7" t="n">
        <v>134481</v>
      </c>
      <c r="E2168" s="8" t="n">
        <v>39929</v>
      </c>
      <c r="F2168" s="7" t="n">
        <v>0</v>
      </c>
      <c r="G2168" s="7" t="inlineStr">
        <is>
          <t>I am not going to give any stars yet as this didn't work well for me but it may be my fault.  I used 1 gallon of powdered milk (reconstituted) and it made a very paltry amout of ricotta about 1 cup.  I am going to try again with whole milk and see if that makes a difference.  That 1 cup was very good though.</t>
        </is>
      </c>
    </row>
    <row r="2169">
      <c r="A2169" s="7" t="n">
        <v>32132</v>
      </c>
      <c r="B2169" s="7" t="n">
        <v>107864</v>
      </c>
      <c r="C2169" s="7" t="n">
        <v>1175043</v>
      </c>
      <c r="D2169" s="7" t="n">
        <v>432341</v>
      </c>
      <c r="E2169" s="8" t="n">
        <v>41511</v>
      </c>
      <c r="F2169" s="7" t="n">
        <v>0</v>
      </c>
      <c r="G2169" s="7" t="inlineStr">
        <is>
          <t>I have been looking for a marinade for red cabbage salad...this is fantastic!  Just toss with sliced cabbage and refrigerate overnite.  I messed up and put all of the ingredients in a saucepan and then read again about adding the oil &amp;amp; sugar after the other ingredients came to a boil.  I let it all come to a boil, used my hand blender to emulsify and it was perfect.</t>
        </is>
      </c>
    </row>
    <row r="2170">
      <c r="A2170" s="7" t="n">
        <v>27264</v>
      </c>
      <c r="B2170" s="7" t="n">
        <v>1079636</v>
      </c>
      <c r="C2170" s="7" t="n">
        <v>1600391</v>
      </c>
      <c r="D2170" s="7" t="n">
        <v>84686</v>
      </c>
      <c r="E2170" s="8" t="n">
        <v>40307</v>
      </c>
      <c r="F2170" s="7" t="n">
        <v>4</v>
      </c>
      <c r="G2170" s="7" t="inlineStr">
        <is>
          <t>This turned out really good, not as spicy as I was expecting but it worked really well. When I first tried a spoonfull it tasted a bit bland, I got side tracked and came back an hour later... huge difference, def needs a little time to meld together. Looking forward to having this for lunch tomorrow.</t>
        </is>
      </c>
    </row>
    <row r="2171">
      <c r="A2171" s="7" t="n">
        <v>105201</v>
      </c>
      <c r="B2171" s="7" t="n">
        <v>92130</v>
      </c>
      <c r="C2171" s="7" t="n">
        <v>169683</v>
      </c>
      <c r="D2171" s="7" t="n">
        <v>90567</v>
      </c>
      <c r="E2171" s="8" t="n">
        <v>38334</v>
      </c>
      <c r="F2171" s="7" t="n">
        <v>5</v>
      </c>
      <c r="G2171" s="7" t="inlineStr">
        <is>
          <t>wow, this was a really creative recipe!  one thing, the cheese sauce was way too thick so i added some milk and it still turned out awesome!  thanks!</t>
        </is>
      </c>
    </row>
    <row r="2172">
      <c r="A2172" s="7" t="n">
        <v>10132</v>
      </c>
      <c r="B2172" s="7" t="n">
        <v>665921</v>
      </c>
      <c r="C2172" s="7" t="n">
        <v>199792</v>
      </c>
      <c r="D2172" s="7" t="n">
        <v>258464</v>
      </c>
      <c r="E2172" s="8" t="n">
        <v>39620</v>
      </c>
      <c r="F2172" s="7" t="n">
        <v>4</v>
      </c>
      <c r="G2172" s="7" t="inlineStr">
        <is>
          <t>We enjoyed this casserole for dinner. I was rushing around and forgot to put in the can of tomatoes. It did not make my husband unhappy but I missed them. I cut up a tomato so that I still had some tomato flavour with my dinner. It was a bit dryer than the recipe is supposed to be, I am sure, but it was still quite nice. My only problem with it was the veggies. I guess I just don't care for frozen mixed veg. The other two thought it was fine so I went with 4 stars. It needed a bit of seasoning but that was not a problem that couldn't be taken care of at the table. Thanks for sharing your recipe. Next time I will add in the tomatoes. This was reviewed for ZWT4.</t>
        </is>
      </c>
    </row>
    <row r="2173">
      <c r="A2173" s="7" t="n">
        <v>93873</v>
      </c>
      <c r="B2173" s="7" t="n">
        <v>60802</v>
      </c>
      <c r="C2173" s="7" t="n">
        <v>431813</v>
      </c>
      <c r="D2173" s="7" t="n">
        <v>238626</v>
      </c>
      <c r="E2173" s="8" t="n">
        <v>39332</v>
      </c>
      <c r="F2173" s="7" t="n">
        <v>5</v>
      </c>
      <c r="G2173" s="7" t="inlineStr">
        <is>
          <t>Since you mentioned that the mandarin vodka was overpowering, I decided to experiment.  I made one using citron vodka and one using vanilla vodka.  I didn't change the measurements.  I can report that in both the citron and vanilla versions, the lemon and pineapple are the dominant flavours, and thumbs up to both.  They were yummy!!  Thanks Boomette!</t>
        </is>
      </c>
    </row>
    <row r="2174">
      <c r="A2174" s="7" t="n">
        <v>122366</v>
      </c>
      <c r="B2174" s="7" t="n">
        <v>158727</v>
      </c>
      <c r="C2174" s="7" t="n">
        <v>973186</v>
      </c>
      <c r="D2174" s="7" t="n">
        <v>8701</v>
      </c>
      <c r="E2174" s="8" t="n">
        <v>40694</v>
      </c>
      <c r="F2174" s="7" t="n">
        <v>3</v>
      </c>
      <c r="G2174" s="7" t="inlineStr">
        <is>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is>
      </c>
    </row>
    <row r="2175">
      <c r="A2175" s="7" t="n">
        <v>14005</v>
      </c>
      <c r="B2175" s="7" t="n">
        <v>371765</v>
      </c>
      <c r="C2175" s="7" t="n">
        <v>1072593</v>
      </c>
      <c r="D2175" s="7" t="n">
        <v>225187</v>
      </c>
      <c r="E2175" s="8" t="n">
        <v>40527</v>
      </c>
      <c r="F2175" s="7" t="n">
        <v>5</v>
      </c>
      <c r="G2175" s="7" t="inlineStr">
        <is>
          <t>Encore!  Encore!  Well, that's French isn't it?  Made for Bargain Basement.</t>
        </is>
      </c>
    </row>
    <row r="2176">
      <c r="A2176" s="7" t="n">
        <v>54688</v>
      </c>
      <c r="B2176" s="7" t="n">
        <v>599982</v>
      </c>
      <c r="C2176" s="7" t="n">
        <v>1222180</v>
      </c>
      <c r="D2176" s="7" t="n">
        <v>89932</v>
      </c>
      <c r="E2176" s="8" t="n">
        <v>39903</v>
      </c>
      <c r="F2176" s="7" t="n">
        <v>5</v>
      </c>
      <c r="G2176" s="7" t="inlineStr">
        <is>
          <t>I've made these 4 times since I stubled upon this receipe.  They are awesome!</t>
        </is>
      </c>
    </row>
    <row r="2177">
      <c r="A2177" s="7" t="n">
        <v>120200</v>
      </c>
      <c r="B2177" s="7" t="n">
        <v>436494</v>
      </c>
      <c r="C2177" s="7" t="n">
        <v>241882</v>
      </c>
      <c r="D2177" s="7" t="n">
        <v>71641</v>
      </c>
      <c r="E2177" s="8" t="n">
        <v>39297</v>
      </c>
      <c r="F2177" s="7" t="n">
        <v>5</v>
      </c>
      <c r="G2177" s="7" t="inlineStr">
        <is>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is>
      </c>
    </row>
    <row r="2178">
      <c r="A2178" t="n">
        <v>65750</v>
      </c>
      <c r="B2178" t="n">
        <v>473971</v>
      </c>
      <c r="C2178" t="n">
        <v>2002311844</v>
      </c>
      <c r="D2178" t="n">
        <v>385177</v>
      </c>
      <c r="E2178" s="1" t="n">
        <v>43398</v>
      </c>
      <c r="F2178" t="n">
        <v>5</v>
      </c>
      <c r="G2178" t="inlineStr">
        <is>
          <t>I used evaporated milk instead of water, added pecans, and topped with a simple sugar glaze! It was a hit! Thank you, this recipe is a keeper</t>
        </is>
      </c>
    </row>
    <row r="2179">
      <c r="A2179" s="7" t="n">
        <v>125984</v>
      </c>
      <c r="B2179" s="7" t="n">
        <v>781864</v>
      </c>
      <c r="C2179" s="7" t="n">
        <v>385678</v>
      </c>
      <c r="D2179" s="7" t="n">
        <v>137164</v>
      </c>
      <c r="E2179" s="8" t="n">
        <v>39696</v>
      </c>
      <c r="F2179" s="7" t="n">
        <v>5</v>
      </c>
      <c r="G2179" s="7" t="inlineStr">
        <is>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is>
      </c>
    </row>
    <row r="2180">
      <c r="A2180" s="7" t="n">
        <v>86114</v>
      </c>
      <c r="B2180" s="7" t="n">
        <v>184817</v>
      </c>
      <c r="C2180" s="7" t="n">
        <v>672478</v>
      </c>
      <c r="D2180" s="7" t="n">
        <v>172532</v>
      </c>
      <c r="E2180" s="8" t="n">
        <v>39455</v>
      </c>
      <c r="F2180" s="7" t="n">
        <v>5</v>
      </c>
      <c r="G2180" s="7" t="inlineStr">
        <is>
          <t>Definitely a family's favorite!! My mother makes this one all the time too!! YUM YUM YUM!!! I use to not like it so much as a kid but now as an adult, I love it! Merci beaucoup pour la recette, je vais surement l'essayer bientot!</t>
        </is>
      </c>
    </row>
    <row r="2181">
      <c r="A2181" s="7" t="n">
        <v>6810</v>
      </c>
      <c r="B2181" s="7" t="n">
        <v>745879</v>
      </c>
      <c r="C2181" s="7" t="n">
        <v>537937</v>
      </c>
      <c r="D2181" s="7" t="n">
        <v>248878</v>
      </c>
      <c r="E2181" s="8" t="n">
        <v>39532</v>
      </c>
      <c r="F2181" s="7" t="n">
        <v>4</v>
      </c>
      <c r="G2181" s="7" t="inlineStr">
        <is>
          <t>Great muffins Swimmin.  I wish the coffee taste came thru better at first, but the next day it was a bit stronger.  Thanks for the recipe and I"m glad I tagged because of my love for raspberries and coffee and of course anything muffins.  Made for March's photoforum CoffeeKlatch~</t>
        </is>
      </c>
    </row>
    <row r="2182">
      <c r="A2182" s="7" t="n">
        <v>12844</v>
      </c>
      <c r="B2182" s="7" t="n">
        <v>5221</v>
      </c>
      <c r="C2182" s="7" t="n">
        <v>1730315</v>
      </c>
      <c r="D2182" s="7" t="n">
        <v>273976</v>
      </c>
      <c r="E2182" s="8" t="n">
        <v>40496</v>
      </c>
      <c r="F2182" s="7" t="n">
        <v>5</v>
      </c>
      <c r="G2182" s="7" t="inlineStr">
        <is>
          <t>I guess all along the secret ingredient was butter.  Who knew?   I made a much larger quantity of this and added pine nuts and capers to the sauce.  I did her recipe with the halved onion.  I put the sauce over pasta with shrimp and mussels. That's what we had for dinner tonight.  Maybe now, since I can make a great sauce, I can save money on going out to eat in the quest for the perfect sauce.</t>
        </is>
      </c>
    </row>
    <row r="2183">
      <c r="A2183" s="7" t="n">
        <v>44905</v>
      </c>
      <c r="B2183" s="7" t="n">
        <v>837013</v>
      </c>
      <c r="C2183" s="7" t="n">
        <v>2427298</v>
      </c>
      <c r="D2183" s="7" t="n">
        <v>379283</v>
      </c>
      <c r="E2183" s="8" t="n">
        <v>41222</v>
      </c>
      <c r="F2183" s="7" t="n">
        <v>4</v>
      </c>
      <c r="G2183" s="7" t="inlineStr">
        <is>
          <t>This is fourth recipe for Arroz con Gandules I have tried and the only one with the correct method.  I love this dish and have been trying for over a year to get it right.  The only thing preventing me from giving it 5 stars is the omission of the meat (pork, ham or bacon) and the Spanish olives.  I used vegetable stock instead of water   bullion and of course added 1 lb cubed, browned pork (the cheaper cuts are more tender and have more flavor) and a 15oz jar of drained Manzinella (Spanish) olives without pimento.  I drained the pigeon peas and I don't think I should have done that so I added some extra veg stock to the can of peas before pouring it into the mixture.  The problem I have had in the past was that the finished product was too wet.  Stay away from recipes that have a 2 to 1 liquid to rice ratio.  The 2C rice to 2C liquid plus pea liquid was perfect.  I also believe that using a pot might be a no-no as well.  I used a wide chicken fry type pan, 12" wide and deeper than a standard fry pan.  No peeking or mixing after you put the lid on!  I've finally found it!  thank you, thank you, thank you!</t>
        </is>
      </c>
    </row>
    <row r="2184">
      <c r="A2184" s="7" t="n">
        <v>107142</v>
      </c>
      <c r="B2184" s="7" t="n">
        <v>858247</v>
      </c>
      <c r="C2184" s="7" t="n">
        <v>527607</v>
      </c>
      <c r="D2184" s="7" t="n">
        <v>47429</v>
      </c>
      <c r="E2184" s="8" t="n">
        <v>40329</v>
      </c>
      <c r="F2184" s="7" t="n">
        <v>5</v>
      </c>
      <c r="G2184" s="7" t="inlineStr">
        <is>
          <t>I loved this, i served it with an indian pilau, it was perfect. Not normally a large cauliflower eater yet this turned into something i had seconds of!</t>
        </is>
      </c>
    </row>
    <row r="2185">
      <c r="A2185" s="7" t="n">
        <v>14397</v>
      </c>
      <c r="B2185" s="7" t="n">
        <v>1074450</v>
      </c>
      <c r="C2185" s="7" t="n">
        <v>687302</v>
      </c>
      <c r="D2185" s="7" t="n">
        <v>135350</v>
      </c>
      <c r="E2185" s="8" t="n">
        <v>40179</v>
      </c>
      <c r="F2185" s="7" t="n">
        <v>5</v>
      </c>
      <c r="G2185" s="7" t="inlineStr">
        <is>
          <t>Perfection. The only thing I changed was garlic salt instead of regular salt. You just can't beat the old school cookbooks. Thanks for sharing.</t>
        </is>
      </c>
    </row>
    <row r="2186">
      <c r="A2186" s="7" t="n">
        <v>91747</v>
      </c>
      <c r="B2186" s="7" t="n">
        <v>915955</v>
      </c>
      <c r="C2186" s="7" t="n">
        <v>301724</v>
      </c>
      <c r="D2186" s="7" t="n">
        <v>214206</v>
      </c>
      <c r="E2186" s="8" t="n">
        <v>39318</v>
      </c>
      <c r="F2186" s="7" t="n">
        <v>5</v>
      </c>
      <c r="G2186" s="7" t="inlineStr">
        <is>
          <t>Would be good with 1/2 cup chopped almonds added. Also added 1/4 c. more flour. Used semi-sweet chocolate chips. Very yummy!!</t>
        </is>
      </c>
    </row>
    <row r="2187" ht="409.5" customHeight="1">
      <c r="A2187" s="7" t="n">
        <v>7874</v>
      </c>
      <c r="B2187" s="7" t="n">
        <v>806367</v>
      </c>
      <c r="C2187" s="7" t="n">
        <v>1113965</v>
      </c>
      <c r="D2187" s="7" t="n">
        <v>278090</v>
      </c>
      <c r="E2187" s="8" t="n">
        <v>39839</v>
      </c>
      <c r="F2187" s="7" t="n">
        <v>5</v>
      </c>
      <c r="G2187" s="9" t="inlineStr">
        <is>
          <t>These were excellent. Very easy to make ... and I loved the flavors of the lime and cilantro. I can't wait to make them again._x000D_
I did not change anything... I used pork tenderloin. Thanks for sharing!</t>
        </is>
      </c>
    </row>
    <row r="2188">
      <c r="A2188" s="7" t="n">
        <v>23681</v>
      </c>
      <c r="B2188" s="7" t="n">
        <v>789672</v>
      </c>
      <c r="C2188" s="7" t="n">
        <v>6258</v>
      </c>
      <c r="D2188" s="7" t="n">
        <v>23969</v>
      </c>
      <c r="E2188" s="8" t="n">
        <v>37473</v>
      </c>
      <c r="F2188" s="7" t="n">
        <v>5</v>
      </c>
      <c r="G2188" s="7" t="inlineStr">
        <is>
          <t>You are right, this really is tasty.  A great tasting pesto.  I made it just like you said, but I left the adobo sauce on a couple of the peppers because I love the taste.  It really tasted good leaving some of the sauce on.  We used this one on the pasta, and it was great.  I am thinking of other things to use this on.  Thanks so much for sharing this recipe, Polly.</t>
        </is>
      </c>
    </row>
    <row r="2189">
      <c r="A2189" s="7" t="n">
        <v>75782</v>
      </c>
      <c r="B2189" s="7" t="n">
        <v>348801</v>
      </c>
      <c r="C2189" s="7" t="n">
        <v>1145765</v>
      </c>
      <c r="D2189" s="7" t="n">
        <v>50719</v>
      </c>
      <c r="E2189" s="8" t="n">
        <v>39839</v>
      </c>
      <c r="F2189" s="7" t="n">
        <v>5</v>
      </c>
      <c r="G2189" s="7" t="inlineStr">
        <is>
          <t>Great recipe - it really is an old fashioned 1-2-3 cake recipe modified into a muffin recipe, but it shouldn't be disregarded just because of that fact. For those of us who prefer muffins with a different "muffin-like" texture, you can substitute 1/2 Cup quick cooking oats and 1/2 Cup whole wheat flour for 1 Cup of the all-purpose flour. My family has dubbed this modified recipe the "perfect muffin". PS I skipped the vanilla as well!</t>
        </is>
      </c>
    </row>
    <row r="2190" ht="409.5" customHeight="1">
      <c r="A2190" s="7" t="n">
        <v>26916</v>
      </c>
      <c r="B2190" s="7" t="n">
        <v>666511</v>
      </c>
      <c r="C2190" s="7" t="n">
        <v>304687</v>
      </c>
      <c r="D2190" s="7" t="n">
        <v>23240</v>
      </c>
      <c r="E2190" s="8" t="n">
        <v>38833</v>
      </c>
      <c r="F2190" s="7" t="n">
        <v>4</v>
      </c>
      <c r="G2190" s="9" t="inlineStr">
        <is>
          <t>Very Good!!_x000D_
I generally prefer spicy steak, but my wife talked me into trying it and it was very good!!_x000D_
We used spring onoins instead of shallots and the onion high notes complimented the (rib eye) steak and rum butter perfectly._x000D_
We will definately be having it again.</t>
        </is>
      </c>
    </row>
    <row r="2191" ht="409.5" customHeight="1">
      <c r="A2191" s="7" t="n">
        <v>44039</v>
      </c>
      <c r="B2191" s="7" t="n">
        <v>920706</v>
      </c>
      <c r="C2191" s="7" t="n">
        <v>284897</v>
      </c>
      <c r="D2191" s="7" t="n">
        <v>204803</v>
      </c>
      <c r="E2191" s="8" t="n">
        <v>40055</v>
      </c>
      <c r="F2191" s="7" t="n">
        <v>5</v>
      </c>
      <c r="G2191" s="9" t="inlineStr">
        <is>
          <t>Ohh my goodness, loved these!_x000D_
I misread the directions and cut the onions in half.... oops_x000D_
Ahh well didnt matter just cut the cooking time down a little and continued on. These little beauties still turned out a treat, such wondeful flavours from the balsamic vinegar... so delcious and so very easy! I served with a roast and the family thoroughly enjoyed these Tracey Mae._x000D_
Thanks You so much for posting, my onions will be made this way from now on! Thanks again.</t>
        </is>
      </c>
    </row>
    <row r="2192">
      <c r="A2192" s="7" t="n">
        <v>88100</v>
      </c>
      <c r="B2192" s="7" t="n">
        <v>33960</v>
      </c>
      <c r="C2192" s="7" t="n">
        <v>2809929</v>
      </c>
      <c r="D2192" s="7" t="n">
        <v>66241</v>
      </c>
      <c r="E2192" s="8" t="n">
        <v>42852</v>
      </c>
      <c r="F2192" s="7" t="n">
        <v>0</v>
      </c>
      <c r="G2192" s="7" t="inlineStr">
        <is>
          <t>Eating these as I speak and they are Delicious!</t>
        </is>
      </c>
    </row>
    <row r="2193">
      <c r="A2193" s="7" t="n">
        <v>59523</v>
      </c>
      <c r="B2193" s="7" t="n">
        <v>668833</v>
      </c>
      <c r="C2193" s="7" t="n">
        <v>57256</v>
      </c>
      <c r="D2193" s="7" t="n">
        <v>30553</v>
      </c>
      <c r="E2193" s="8" t="n">
        <v>37855</v>
      </c>
      <c r="F2193" s="7" t="n">
        <v>5</v>
      </c>
      <c r="G2193" s="7" t="inlineStr">
        <is>
          <t>These were light and tasty muffins with a nice undertone from the lemon zest . I was worried about the batter as it was a little stiff , but they turned out very nice . I LOVED the streusel topping ! I will be making these little yummies again , cause I got a freezer full of fresh picked blueberries just waitin to be used up in all my favorite ZAAR recipes !! Thanks for this one Bev !!!</t>
        </is>
      </c>
    </row>
    <row r="2194">
      <c r="A2194" s="7" t="n">
        <v>117886</v>
      </c>
      <c r="B2194" s="7" t="n">
        <v>717055</v>
      </c>
      <c r="C2194" s="7" t="n">
        <v>535633</v>
      </c>
      <c r="D2194" s="7" t="n">
        <v>161909</v>
      </c>
      <c r="E2194" s="8" t="n">
        <v>39915</v>
      </c>
      <c r="F2194" s="7" t="n">
        <v>5</v>
      </c>
      <c r="G2194" s="7" t="inlineStr">
        <is>
          <t>This cake was very moist and  full of chocolate flavor.  I made this for Easter dinner dessert.  I didn't use a glaze, served this with vanilla ice cream.  I will be making this again.</t>
        </is>
      </c>
    </row>
    <row r="2195">
      <c r="A2195" s="7" t="n">
        <v>106491</v>
      </c>
      <c r="B2195" s="7" t="n">
        <v>319068</v>
      </c>
      <c r="C2195" s="7" t="n">
        <v>119956</v>
      </c>
      <c r="D2195" s="7" t="n">
        <v>93208</v>
      </c>
      <c r="E2195" s="8" t="n">
        <v>38349</v>
      </c>
      <c r="F2195" s="7" t="n">
        <v>3</v>
      </c>
      <c r="G2195" s="7" t="inlineStr">
        <is>
          <t>These were easy and pretty good. A few rolls in the middle were undercooked. The sugar, butter, and milk need to cook a bit to make sure the sugar is as dissolved as possible. I, too, used only a partial package of pudding mix. Next time I will halve the recipe and invert on a plate when done as much of the good and gooey caramel was on the bottom of the rolls. Thanks for posting, I really liked that I could do this all the night before which in my case was Christmas Eve.</t>
        </is>
      </c>
    </row>
    <row r="2196" ht="409.5" customHeight="1">
      <c r="A2196" s="7" t="n">
        <v>34462</v>
      </c>
      <c r="B2196" s="7" t="n">
        <v>639995</v>
      </c>
      <c r="C2196" s="7" t="n">
        <v>343294</v>
      </c>
      <c r="D2196" s="7" t="n">
        <v>2936</v>
      </c>
      <c r="E2196" s="8" t="n">
        <v>39807</v>
      </c>
      <c r="F2196" s="7" t="n">
        <v>5</v>
      </c>
      <c r="G2196" s="9" t="inlineStr">
        <is>
          <t>These are FANTASTIC! _x000D_
_x000D_
My husband immigrated over from Holland about 9 years ago, and we have used this recipe every year for the last 7-8. I misplaced my printout and was SOO glad to find this still here!</t>
        </is>
      </c>
    </row>
    <row r="2197">
      <c r="A2197" s="7" t="n">
        <v>103964</v>
      </c>
      <c r="B2197" s="7" t="n">
        <v>387756</v>
      </c>
      <c r="C2197" s="7" t="n">
        <v>715238</v>
      </c>
      <c r="D2197" s="7" t="n">
        <v>161079</v>
      </c>
      <c r="E2197" s="8" t="n">
        <v>39793</v>
      </c>
      <c r="F2197" s="7" t="n">
        <v>5</v>
      </c>
      <c r="G2197" s="7" t="inlineStr">
        <is>
          <t>I also made this bread pudding  last Christmas(twice). It will be on one of my holiday menus for years to come.</t>
        </is>
      </c>
    </row>
    <row r="2198">
      <c r="A2198" s="7" t="n">
        <v>100184</v>
      </c>
      <c r="B2198" s="7" t="n">
        <v>1007955</v>
      </c>
      <c r="C2198" s="7" t="n">
        <v>182010</v>
      </c>
      <c r="D2198" s="7" t="n">
        <v>114168</v>
      </c>
      <c r="E2198" s="8" t="n">
        <v>38532</v>
      </c>
      <c r="F2198" s="7" t="n">
        <v>5</v>
      </c>
      <c r="G2198" s="7" t="inlineStr">
        <is>
          <t>What a great salad!  I made it as directed, except for two things.  I used fresh basil and I added garlic that had been crushed into a paste with some coarse salt.  I put the dressing together while the broccoli cooked and added the broccoli while it was still slightly warm and then let the salad macerate.  Thanks for a great salad--next I think I'll try something similar with cauliflower.</t>
        </is>
      </c>
    </row>
    <row r="2199">
      <c r="A2199" s="7" t="n">
        <v>82364</v>
      </c>
      <c r="B2199" s="7" t="n">
        <v>373877</v>
      </c>
      <c r="C2199" s="7" t="n">
        <v>129836</v>
      </c>
      <c r="D2199" s="7" t="n">
        <v>29731</v>
      </c>
      <c r="E2199" s="8" t="n">
        <v>38971</v>
      </c>
      <c r="F2199" s="7" t="n">
        <v>5</v>
      </c>
      <c r="G2199" s="7" t="inlineStr">
        <is>
          <t>Excellent texture, totally easy to make, mindless and delicious.  My kinda food.  Hooray!  Thanks for this wonderful treat.</t>
        </is>
      </c>
    </row>
    <row r="2200">
      <c r="A2200" t="n">
        <v>42945</v>
      </c>
      <c r="B2200" t="n">
        <v>984135</v>
      </c>
      <c r="C2200" t="n">
        <v>222477</v>
      </c>
      <c r="D2200" t="n">
        <v>143166</v>
      </c>
      <c r="E2200" s="1" t="n">
        <v>39039</v>
      </c>
      <c r="F2200" t="n">
        <v>5</v>
      </c>
      <c r="G2200" t="inlineStr">
        <is>
          <t>Love it! The cloves are delicious and spicy and the buttery-ness of the topping is addicting! I've made it a few times and added nutmeg. I may try making it into individual custards!</t>
        </is>
      </c>
    </row>
    <row r="2201">
      <c r="A2201" s="7" t="n">
        <v>22455</v>
      </c>
      <c r="B2201" s="7" t="n">
        <v>327032</v>
      </c>
      <c r="C2201" s="7" t="n">
        <v>1434446</v>
      </c>
      <c r="D2201" s="7" t="n">
        <v>37548</v>
      </c>
      <c r="E2201" s="8" t="n">
        <v>40391</v>
      </c>
      <c r="F2201" s="7" t="n">
        <v>5</v>
      </c>
      <c r="G2201" s="7" t="inlineStr">
        <is>
          <t>Fantastic!  I just made this for my Thanksgiving part 2 (extra turkey taking up space in my freezer) and everyone who tried it loved it.  People were coming back for seconds. I will definitely make this again.</t>
        </is>
      </c>
    </row>
    <row r="2202">
      <c r="A2202" s="7" t="n">
        <v>1528</v>
      </c>
      <c r="B2202" s="7" t="n">
        <v>929427</v>
      </c>
      <c r="C2202" s="7" t="n">
        <v>65502</v>
      </c>
      <c r="D2202" s="7" t="n">
        <v>173504</v>
      </c>
      <c r="E2202" s="8" t="n">
        <v>40209</v>
      </c>
      <c r="F2202" s="7" t="n">
        <v>5</v>
      </c>
      <c r="G2202" s="7" t="inlineStr">
        <is>
          <t>Very very delicious! I chose to use sherry and nonfat sour cream and it was excellent! Very easy to make and the results are very impressive. I served this with Recipe #360142 for dinner tonight. Made for Kittencal's Chef's Pick Tag. Thanks Chacha! :)</t>
        </is>
      </c>
    </row>
    <row r="2203">
      <c r="A2203" s="7" t="n">
        <v>6462</v>
      </c>
      <c r="B2203" s="7" t="n">
        <v>212721</v>
      </c>
      <c r="C2203" s="7" t="n">
        <v>1802780564</v>
      </c>
      <c r="D2203" s="7" t="n">
        <v>199579</v>
      </c>
      <c r="E2203" s="8" t="n">
        <v>41802</v>
      </c>
      <c r="F2203" s="7" t="n">
        <v>5</v>
      </c>
      <c r="G2203" s="7" t="inlineStr">
        <is>
          <t>My husband said it was one of the best meals I have ever made!</t>
        </is>
      </c>
    </row>
    <row r="2204">
      <c r="A2204" s="7" t="n">
        <v>38765</v>
      </c>
      <c r="B2204" s="7" t="n">
        <v>257479</v>
      </c>
      <c r="C2204" s="7" t="n">
        <v>276405</v>
      </c>
      <c r="D2204" s="7" t="n">
        <v>53730</v>
      </c>
      <c r="E2204" s="8" t="n">
        <v>38754</v>
      </c>
      <c r="F2204" s="7" t="n">
        <v>5</v>
      </c>
      <c r="G2204" s="7" t="inlineStr">
        <is>
          <t>Very easy to prepare. The end result is TO DIE FOR! I got RAVE reviews from guests the first time I prepared this dish! This is to be a new favorite in my home! Thank you for sharing!</t>
        </is>
      </c>
    </row>
    <row r="2205" ht="409.5" customHeight="1">
      <c r="A2205" s="7" t="n">
        <v>5203</v>
      </c>
      <c r="B2205" s="7" t="n">
        <v>790849</v>
      </c>
      <c r="C2205" s="7" t="n">
        <v>248420</v>
      </c>
      <c r="D2205" s="7" t="n">
        <v>73197</v>
      </c>
      <c r="E2205" s="8" t="n">
        <v>38697</v>
      </c>
      <c r="F2205" s="7" t="n">
        <v>5</v>
      </c>
      <c r="G2205" s="9" t="inlineStr">
        <is>
          <t>I am requested to make these for work frequently.  They are VERY sweet.  I use 2 tsp of vanilla instead of the vanilla and almond and I use chocolate covered toffee bits instead of plain toffee bits._x000D_
They are very gooey in the middle.  Don't put them down on a piece of paper unless you want to see how much grease comes out of them.  Think I'll go make some right now.</t>
        </is>
      </c>
    </row>
    <row r="2206">
      <c r="A2206" s="7" t="n">
        <v>65407</v>
      </c>
      <c r="B2206" s="7" t="n">
        <v>626331</v>
      </c>
      <c r="C2206" s="7" t="n">
        <v>174096</v>
      </c>
      <c r="D2206" s="7" t="n">
        <v>128100</v>
      </c>
      <c r="E2206" s="8" t="n">
        <v>39829</v>
      </c>
      <c r="F2206" s="7" t="n">
        <v>5</v>
      </c>
      <c r="G2206" s="7" t="inlineStr">
        <is>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is>
      </c>
    </row>
    <row r="2207">
      <c r="A2207" s="7" t="n">
        <v>87708</v>
      </c>
      <c r="B2207" s="7" t="n">
        <v>662623</v>
      </c>
      <c r="C2207" s="7" t="n">
        <v>80353</v>
      </c>
      <c r="D2207" s="7" t="n">
        <v>219724</v>
      </c>
      <c r="E2207" s="8" t="n">
        <v>39620</v>
      </c>
      <c r="F2207" s="7" t="n">
        <v>5</v>
      </c>
      <c r="G2207" s="7" t="inlineStr">
        <is>
          <t>The kids particularly enjoyed this easy recipe.  Definitely a keeper.  Sprinkled some toasted sesame seeds over top.</t>
        </is>
      </c>
    </row>
    <row r="2208">
      <c r="A2208" s="7" t="n">
        <v>118782</v>
      </c>
      <c r="B2208" s="7" t="n">
        <v>656783</v>
      </c>
      <c r="C2208" s="7" t="n">
        <v>506626</v>
      </c>
      <c r="D2208" s="7" t="n">
        <v>27208</v>
      </c>
      <c r="E2208" s="8" t="n">
        <v>39637</v>
      </c>
      <c r="F2208" s="7" t="n">
        <v>5</v>
      </c>
      <c r="G2208" s="7" t="inlineStr">
        <is>
          <t>The best roast ever made in my household.  Everyone loved it.</t>
        </is>
      </c>
    </row>
    <row r="2209">
      <c r="A2209" s="7" t="n">
        <v>111473</v>
      </c>
      <c r="B2209" s="7" t="n">
        <v>1049085</v>
      </c>
      <c r="C2209" s="7" t="n">
        <v>337657</v>
      </c>
      <c r="D2209" s="7" t="n">
        <v>102274</v>
      </c>
      <c r="E2209" s="8" t="n">
        <v>39011</v>
      </c>
      <c r="F2209" s="7" t="n">
        <v>5</v>
      </c>
      <c r="G2209" s="7" t="inlineStr">
        <is>
          <t>A really nice recipe.  I added some diced ham to mine to add some extra flavor, but if you do, I would suggest using low sodium broth to balance out the salt from the ham.</t>
        </is>
      </c>
    </row>
    <row r="2210">
      <c r="A2210" s="7" t="n">
        <v>40046</v>
      </c>
      <c r="B2210" s="7" t="n">
        <v>952908</v>
      </c>
      <c r="C2210" s="7" t="n">
        <v>47649</v>
      </c>
      <c r="D2210" s="7" t="n">
        <v>36601</v>
      </c>
      <c r="E2210" s="8" t="n">
        <v>37571</v>
      </c>
      <c r="F2210" s="7" t="n">
        <v>5</v>
      </c>
      <c r="G2210" s="7" t="inlineStr">
        <is>
          <t>Very good! I'd suggest using a small casserole dish, mine was kind of large so the casserole was pretty flat, but tasted wonderful! Will be making again, thanks for posting!</t>
        </is>
      </c>
    </row>
    <row r="2211">
      <c r="A2211" s="7" t="n">
        <v>89414</v>
      </c>
      <c r="B2211" s="7" t="n">
        <v>144553</v>
      </c>
      <c r="C2211" s="7" t="n">
        <v>186855</v>
      </c>
      <c r="D2211" s="7" t="n">
        <v>228329</v>
      </c>
      <c r="E2211" s="8" t="n">
        <v>39224</v>
      </c>
      <c r="F2211" s="7" t="n">
        <v>5</v>
      </c>
      <c r="G2211" s="7" t="inlineStr">
        <is>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is>
      </c>
    </row>
    <row r="2212">
      <c r="A2212" s="7" t="n">
        <v>78969</v>
      </c>
      <c r="B2212" s="7" t="n">
        <v>668716</v>
      </c>
      <c r="C2212" s="7" t="n">
        <v>878561</v>
      </c>
      <c r="D2212" s="7" t="n">
        <v>25035</v>
      </c>
      <c r="E2212" s="8" t="n">
        <v>39910</v>
      </c>
      <c r="F2212" s="7" t="n">
        <v>5</v>
      </c>
      <c r="G2212" s="7" t="inlineStr">
        <is>
          <t>Why people want to pay $15+ per lb for lobster and cover the flavor of lobster with $.25 worth of bay leaves and thyme is beyond me.  Having grown up in Maine and practically weaned on lobster, Aroostookâ€™s recipe is the only way to cook lobster.  Save the Old Bay for crab...</t>
        </is>
      </c>
    </row>
    <row r="2213">
      <c r="A2213" s="7" t="n">
        <v>89987</v>
      </c>
      <c r="B2213" s="7" t="n">
        <v>713623</v>
      </c>
      <c r="C2213" s="7" t="n">
        <v>589653</v>
      </c>
      <c r="D2213" s="7" t="n">
        <v>188292</v>
      </c>
      <c r="E2213" s="8" t="n">
        <v>40911</v>
      </c>
      <c r="F2213" s="7" t="n">
        <v>5</v>
      </c>
      <c r="G2213" s="7" t="inlineStr">
        <is>
          <t>Prepared as stated but I finish mine by baking in the oven and it comes out great every time.  Thank you.</t>
        </is>
      </c>
    </row>
    <row r="2214">
      <c r="A2214" s="7" t="n">
        <v>23971</v>
      </c>
      <c r="B2214" s="7" t="n">
        <v>637821</v>
      </c>
      <c r="C2214" s="7" t="n">
        <v>222564</v>
      </c>
      <c r="D2214" s="7" t="n">
        <v>48169</v>
      </c>
      <c r="E2214" s="8" t="n">
        <v>38868</v>
      </c>
      <c r="F2214" s="7" t="n">
        <v>5</v>
      </c>
      <c r="G2214" s="7" t="inlineStr">
        <is>
          <t>Perfectly scruptious! I also chopped the stalks and added in with the garlic. Used plenty salt and pepper and voila! Wonderul with crispy french bread.</t>
        </is>
      </c>
    </row>
    <row r="2215">
      <c r="A2215" s="7" t="n">
        <v>49490</v>
      </c>
      <c r="B2215" s="7" t="n">
        <v>521510</v>
      </c>
      <c r="C2215" s="7" t="n">
        <v>882785</v>
      </c>
      <c r="D2215" s="7" t="n">
        <v>382102</v>
      </c>
      <c r="E2215" s="8" t="n">
        <v>40018</v>
      </c>
      <c r="F2215" s="7" t="n">
        <v>4</v>
      </c>
      <c r="G2215" s="7" t="inlineStr">
        <is>
          <t>Loved the flavor of these! I will make again, but the only problem is they are very crumbly, hard to hold them to eat without them falling apart.</t>
        </is>
      </c>
    </row>
    <row r="2216">
      <c r="A2216" s="7" t="n">
        <v>30852</v>
      </c>
      <c r="B2216" s="7" t="n">
        <v>631150</v>
      </c>
      <c r="C2216" s="7" t="n">
        <v>736373</v>
      </c>
      <c r="D2216" s="7" t="n">
        <v>191359</v>
      </c>
      <c r="E2216" s="8" t="n">
        <v>39544</v>
      </c>
      <c r="F2216" s="7" t="n">
        <v>4</v>
      </c>
      <c r="G2216" s="7" t="inlineStr">
        <is>
          <t>I thought this icing tasting fantastic! I've had troubles in the past making icing and this one is one of the best so far...although a little less vanilla would be recommended, maybe a quarter teaspoon less.</t>
        </is>
      </c>
    </row>
    <row r="2217">
      <c r="A2217" s="7" t="n">
        <v>111325</v>
      </c>
      <c r="B2217" s="7" t="n">
        <v>284427</v>
      </c>
      <c r="C2217" s="7" t="n">
        <v>369715</v>
      </c>
      <c r="D2217" s="7" t="n">
        <v>132678</v>
      </c>
      <c r="E2217" s="8" t="n">
        <v>39500</v>
      </c>
      <c r="F2217" s="7" t="n">
        <v>5</v>
      </c>
      <c r="G2217" s="7" t="inlineStr">
        <is>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is>
      </c>
    </row>
    <row r="2218">
      <c r="A2218" s="7" t="n">
        <v>108555</v>
      </c>
      <c r="B2218" s="7" t="n">
        <v>785864</v>
      </c>
      <c r="C2218" s="7" t="n">
        <v>134190</v>
      </c>
      <c r="D2218" s="7" t="n">
        <v>33474</v>
      </c>
      <c r="E2218" s="8" t="n">
        <v>38487</v>
      </c>
      <c r="F2218" s="7" t="n">
        <v>5</v>
      </c>
      <c r="G2218" s="7" t="inlineStr">
        <is>
          <t>I made these for an ice cream social we were having at work. They were such a big hit. Everyone loved them and wanted to know how I made them. Very easy recipe that taste great; and is much, much cheaper than those "costly" little jars you buy in the stores. This is definitely a recipe I will use again and again. Thanks for posting!!!</t>
        </is>
      </c>
    </row>
    <row r="2219">
      <c r="A2219" s="7" t="n">
        <v>79122</v>
      </c>
      <c r="B2219" s="7" t="n">
        <v>323883</v>
      </c>
      <c r="C2219" s="7" t="n">
        <v>86072</v>
      </c>
      <c r="D2219" s="7" t="n">
        <v>80118</v>
      </c>
      <c r="E2219" s="8" t="n">
        <v>38026</v>
      </c>
      <c r="F2219" s="7" t="n">
        <v>5</v>
      </c>
      <c r="G2219" s="7" t="inlineStr">
        <is>
          <t>This is really good! Made it to go with a dark chocolate cake &amp; it was perfect on it!! I will definitely use this recipe again.</t>
        </is>
      </c>
    </row>
    <row r="2220">
      <c r="A2220" s="7" t="n">
        <v>94667</v>
      </c>
      <c r="B2220" s="7" t="n">
        <v>16578</v>
      </c>
      <c r="C2220" s="7" t="n">
        <v>2298427</v>
      </c>
      <c r="D2220" s="7" t="n">
        <v>301754</v>
      </c>
      <c r="E2220" s="8" t="n">
        <v>41098</v>
      </c>
      <c r="F2220" s="7" t="n">
        <v>5</v>
      </c>
      <c r="G2220" s="7" t="inlineStr">
        <is>
          <t>Very tasty! I found this recipe to be a bit too thin in consistency, so I mixed up some cornstarch with some cool water in a separate cup, then whisked it into the crockpot while it was cooking. Perfect!  Will make this recipe again :)</t>
        </is>
      </c>
    </row>
    <row r="2221">
      <c r="A2221" s="7" t="n">
        <v>80880</v>
      </c>
      <c r="B2221" s="7" t="n">
        <v>192161</v>
      </c>
      <c r="C2221" s="7" t="n">
        <v>4470</v>
      </c>
      <c r="D2221" s="7" t="n">
        <v>120547</v>
      </c>
      <c r="E2221" s="8" t="n">
        <v>40061</v>
      </c>
      <c r="F2221" s="7" t="n">
        <v>5</v>
      </c>
      <c r="G2221" s="7" t="inlineStr">
        <is>
          <t>Tasty, easy recipe just like the title says.  I didn't use any butter just sprayed a little "No Oil" on top of the fish, squeezed on the lemon ans sprinkled on the Old Bay.  Lovely flavor - I used Basa filets, baked at 375 for 15 minutes</t>
        </is>
      </c>
    </row>
    <row r="2222">
      <c r="A2222" s="7" t="n">
        <v>114508</v>
      </c>
      <c r="B2222" s="7" t="n">
        <v>394439</v>
      </c>
      <c r="C2222" s="7" t="n">
        <v>146741</v>
      </c>
      <c r="D2222" s="7" t="n">
        <v>116054</v>
      </c>
      <c r="E2222" s="8" t="n">
        <v>40270</v>
      </c>
      <c r="F2222" s="7" t="n">
        <v>5</v>
      </c>
      <c r="G2222" s="7" t="inlineStr">
        <is>
          <t>Fantastic! I skipped the shallots but added chopped avocado. DELICIOUS and SUPER EASY. I'm going to make this again tonight.</t>
        </is>
      </c>
    </row>
    <row r="2223">
      <c r="A2223" s="7" t="n">
        <v>108909</v>
      </c>
      <c r="B2223" s="7" t="n">
        <v>525452</v>
      </c>
      <c r="C2223" s="7" t="n">
        <v>81522</v>
      </c>
      <c r="D2223" s="7" t="n">
        <v>107281</v>
      </c>
      <c r="E2223" s="8" t="n">
        <v>39155</v>
      </c>
      <c r="F2223" s="7" t="n">
        <v>5</v>
      </c>
      <c r="G2223" s="7" t="inlineStr">
        <is>
          <t>I've been fighting a cold and wanted soup....I tried this recipe tonight and it was so flavorful.  Although I doubled it, since I have a huge family to feed and want leftovers for the next day; it tasted wonderful.  I also added diced potatoes, frozen corn, and some cooked rice to the broth.  Very hearty and filling, thanks for sharing.</t>
        </is>
      </c>
    </row>
    <row r="2224">
      <c r="A2224" s="7" t="n">
        <v>75146</v>
      </c>
      <c r="B2224" s="7" t="n">
        <v>1105218</v>
      </c>
      <c r="C2224" s="7" t="n">
        <v>105125</v>
      </c>
      <c r="D2224" s="7" t="n">
        <v>42820</v>
      </c>
      <c r="E2224" s="8" t="n">
        <v>38325</v>
      </c>
      <c r="F2224" s="7" t="n">
        <v>0</v>
      </c>
      <c r="G2224" s="7" t="inlineStr">
        <is>
          <t>First let me say my husband really liked it. I think it needed something,was kind of plain (to me ) I added hot pepper flakes  &amp; that made it great.</t>
        </is>
      </c>
    </row>
    <row r="2225">
      <c r="A2225" s="7" t="n">
        <v>27088</v>
      </c>
      <c r="B2225" s="7" t="n">
        <v>10511</v>
      </c>
      <c r="C2225" s="7" t="n">
        <v>443146</v>
      </c>
      <c r="D2225" s="7" t="n">
        <v>106873</v>
      </c>
      <c r="E2225" s="8" t="n">
        <v>39472</v>
      </c>
      <c r="F2225" s="7" t="n">
        <v>5</v>
      </c>
      <c r="G2225" s="7" t="inlineStr">
        <is>
          <t>These are the kind of pancakes I dream of! The ones I want to be served when I eat out (but very rarely am)! Amazing that such a simple recipe can turn out so well. The search is off; I will use this recipe from now on! I did add about a tsp. of vanilla and a dash of cinnamon and think these would be great with finely chopped apples and/or cinnamon chips. Thank you, Zusie-Q, for a wonderful recipe!</t>
        </is>
      </c>
    </row>
    <row r="2226">
      <c r="A2226" s="7" t="n">
        <v>2659</v>
      </c>
      <c r="B2226" s="7" t="n">
        <v>185188</v>
      </c>
      <c r="C2226" s="7" t="n">
        <v>1860703</v>
      </c>
      <c r="D2226" s="7" t="n">
        <v>301114</v>
      </c>
      <c r="E2226" s="8" t="n">
        <v>40623</v>
      </c>
      <c r="F2226" s="7" t="n">
        <v>3</v>
      </c>
      <c r="G2226" s="7" t="inlineStr">
        <is>
          <t>I make a basic meatloaf recipe, then brown/drain ground beef, add cream of mushroom and cream of celery soup to beef mixture, top with shredded cheese and tater tots.</t>
        </is>
      </c>
    </row>
    <row r="2227">
      <c r="A2227" s="7" t="n">
        <v>116192</v>
      </c>
      <c r="B2227" s="7" t="n">
        <v>539721</v>
      </c>
      <c r="C2227" s="7" t="n">
        <v>744939</v>
      </c>
      <c r="D2227" s="7" t="n">
        <v>215919</v>
      </c>
      <c r="E2227" s="8" t="n">
        <v>39482</v>
      </c>
      <c r="F2227" s="7" t="n">
        <v>5</v>
      </c>
      <c r="G2227" s="7" t="inlineStr">
        <is>
          <t>I really liked this recipe because there is less fat baking them rather than frying them.  They came out just as good as any I have ever had in a Chinese restaurant and better than most!  I will be making these often Linda, when I make my chinese dinners.  Thank you.</t>
        </is>
      </c>
    </row>
    <row r="2228">
      <c r="A2228" s="7" t="n">
        <v>32343</v>
      </c>
      <c r="B2228" s="7" t="n">
        <v>67889</v>
      </c>
      <c r="C2228" s="7" t="n">
        <v>296809</v>
      </c>
      <c r="D2228" s="7" t="n">
        <v>507927</v>
      </c>
      <c r="E2228" s="8" t="n">
        <v>41991</v>
      </c>
      <c r="F2228" s="7" t="n">
        <v>5</v>
      </c>
      <c r="G2228" s="7" t="inlineStr">
        <is>
          <t>Made for your latest Football Pool win &amp;amp; a nice change from the more typical sloppy joes. I have the more adventurous palate at our house, so I took a cue from 1 of the reviewers &amp;amp; reduced the amt of chili powder a bit for DH. I also used crushed pineapple because I had it on-hand. DH picked this recipe to make for your win &amp;amp; was pretty proud of himself that he could pick so well. He suggested I take some lessons in picking winners from him. :-)</t>
        </is>
      </c>
    </row>
    <row r="2229">
      <c r="A2229" s="7" t="n">
        <v>12191</v>
      </c>
      <c r="B2229" s="7" t="n">
        <v>877592</v>
      </c>
      <c r="C2229" s="7" t="n">
        <v>444132</v>
      </c>
      <c r="D2229" s="7" t="n">
        <v>178809</v>
      </c>
      <c r="E2229" s="8" t="n">
        <v>40567</v>
      </c>
      <c r="F2229" s="7" t="n">
        <v>5</v>
      </c>
      <c r="G2229" s="7" t="inlineStr">
        <is>
          <t>Easy peasy!  I used one organic lemon, which yielded exactly 1/3 cup juice.  For the salt, I used 1 1/2 tsp Eden sea salt, and since my pepper was a fine grind organic black pepper, I opted to use 3/4 tsp instead of the full tsp.  The olive oil was organic and first pressed, and the red wine vinegar was also organic; the result was delicious, and absolutely a vinaigrette that will be on our favourite list!  It continues to baffle me that folks buy salad dressing when this is an option.  Thanks, Studentchef!  Made for Veggie Swap 30 - January 2011.</t>
        </is>
      </c>
    </row>
    <row r="2230" ht="409.5" customHeight="1">
      <c r="A2230" s="7" t="n">
        <v>33942</v>
      </c>
      <c r="B2230" s="7" t="n">
        <v>112922</v>
      </c>
      <c r="C2230" s="7" t="n">
        <v>348523</v>
      </c>
      <c r="D2230" s="7" t="n">
        <v>284495</v>
      </c>
      <c r="E2230" s="8" t="n">
        <v>39937</v>
      </c>
      <c r="F2230" s="7" t="n">
        <v>5</v>
      </c>
      <c r="G2230" s="9" t="inlineStr">
        <is>
          <t>This is very good when served with the citrus dressing._x000D_
The Claim Jumper nearest us uses an Organic spring mix and adds tomatoes (small dice), raspberries and croutons._x000D_
I've also tried this with adding strawberries and glazed pecans  and it was good so don't be afraid to substitute.</t>
        </is>
      </c>
    </row>
    <row r="2231">
      <c r="A2231" s="7" t="n">
        <v>89178</v>
      </c>
      <c r="B2231" s="7" t="n">
        <v>661390</v>
      </c>
      <c r="C2231" s="7" t="n">
        <v>204024</v>
      </c>
      <c r="D2231" s="7" t="n">
        <v>400651</v>
      </c>
      <c r="E2231" s="8" t="n">
        <v>41050</v>
      </c>
      <c r="F2231" s="7" t="n">
        <v>5</v>
      </c>
      <c r="G2231" s="7" t="inlineStr">
        <is>
          <t>Both tangy and sweet, pleasant blend of spices.  I baked this in the oven instead of on the stove top.  Made for Aus/NZ.</t>
        </is>
      </c>
    </row>
    <row r="2232">
      <c r="A2232" s="7" t="n">
        <v>56047</v>
      </c>
      <c r="B2232" s="7" t="n">
        <v>906399</v>
      </c>
      <c r="C2232" s="7" t="n">
        <v>952285</v>
      </c>
      <c r="D2232" s="7" t="n">
        <v>309918</v>
      </c>
      <c r="E2232" s="8" t="n">
        <v>40658</v>
      </c>
      <c r="F2232" s="7" t="n">
        <v>5</v>
      </c>
      <c r="G2232" s="7" t="inlineStr">
        <is>
          <t>Oh my -- so fabulous!  Lots of creamy peanut butter flavor without the calories and easy on the pocketbook.  Thank you so much for posting!</t>
        </is>
      </c>
    </row>
    <row r="2233">
      <c r="A2233" s="7" t="n">
        <v>56891</v>
      </c>
      <c r="B2233" s="7" t="n">
        <v>346339</v>
      </c>
      <c r="C2233" s="7" t="n">
        <v>573036</v>
      </c>
      <c r="D2233" s="7" t="n">
        <v>253381</v>
      </c>
      <c r="E2233" s="8" t="n">
        <v>39354</v>
      </c>
      <c r="F2233" s="7" t="n">
        <v>4</v>
      </c>
      <c r="G2233" s="7" t="inlineStr">
        <is>
          <t>Made this one last night as I was craving apple pie. This was great! The ice cream was creamy and tasted like apple pie.</t>
        </is>
      </c>
    </row>
    <row r="2234">
      <c r="A2234" s="7" t="n">
        <v>10907</v>
      </c>
      <c r="B2234" s="7" t="n">
        <v>62239</v>
      </c>
      <c r="C2234" s="7" t="n">
        <v>22287</v>
      </c>
      <c r="D2234" s="7" t="n">
        <v>94031</v>
      </c>
      <c r="E2234" s="8" t="n">
        <v>39145</v>
      </c>
      <c r="F2234" s="7" t="n">
        <v>5</v>
      </c>
      <c r="G2234" s="7" t="inlineStr">
        <is>
          <t>Perfect!  Wouldn't change a thing.  Will make this often and quit ordering Philly Steak when we go out - this is much better.  Thanks Alan</t>
        </is>
      </c>
    </row>
    <row r="2235" ht="409.5" customHeight="1">
      <c r="A2235" s="7" t="n">
        <v>82793</v>
      </c>
      <c r="B2235" s="7" t="n">
        <v>736463</v>
      </c>
      <c r="C2235" s="7" t="n">
        <v>249610</v>
      </c>
      <c r="D2235" s="7" t="n">
        <v>114001</v>
      </c>
      <c r="E2235" s="8" t="n">
        <v>38914</v>
      </c>
      <c r="F2235" s="7" t="n">
        <v>5</v>
      </c>
      <c r="G2235" s="9" t="inlineStr">
        <is>
          <t xml:space="preserve"> we loved it but i think i like the meatloaf sandwiches best.recipe as close to my mother's as i'll ever get.i don't know if my cats liked it because we didn't share._x000D_
 connie chef 249610_x000D_
thank you again</t>
        </is>
      </c>
    </row>
    <row r="2236">
      <c r="A2236" s="7" t="n">
        <v>73539</v>
      </c>
      <c r="B2236" s="7" t="n">
        <v>34050</v>
      </c>
      <c r="C2236" s="7" t="n">
        <v>852554</v>
      </c>
      <c r="D2236" s="7" t="n">
        <v>416979</v>
      </c>
      <c r="E2236" s="8" t="n">
        <v>41495</v>
      </c>
      <c r="F2236" s="7" t="n">
        <v>5</v>
      </c>
      <c r="G2236" s="7" t="inlineStr">
        <is>
          <t>This is the best with roast beef and so good on sandwiches the next day!  I didn&amp;#039;t really measure my dill very well and just made a small batch to try as I used to make something similar but lost the recipe.  Thanks!  Made for ZWT</t>
        </is>
      </c>
    </row>
    <row r="2237">
      <c r="A2237" s="7" t="n">
        <v>47929</v>
      </c>
      <c r="B2237" s="7" t="n">
        <v>1044739</v>
      </c>
      <c r="C2237" s="7" t="n">
        <v>2000498330</v>
      </c>
      <c r="D2237" s="7" t="n">
        <v>265502</v>
      </c>
      <c r="E2237" s="8" t="n">
        <v>42435</v>
      </c>
      <c r="F2237" s="7" t="n">
        <v>3</v>
      </c>
      <c r="G2237" s="7" t="inlineStr">
        <is>
          <t>I thought was too dense for 50% bread and the cornmeal added a chewiness I didn&amp;#039;t care for. Not my favorite.</t>
        </is>
      </c>
    </row>
    <row r="2238">
      <c r="A2238" s="7" t="n">
        <v>20549</v>
      </c>
      <c r="B2238" s="7" t="n">
        <v>1011975</v>
      </c>
      <c r="C2238" s="7" t="n">
        <v>199848</v>
      </c>
      <c r="D2238" s="7" t="n">
        <v>135753</v>
      </c>
      <c r="E2238" s="8" t="n">
        <v>39170</v>
      </c>
      <c r="F2238" s="7" t="n">
        <v>5</v>
      </c>
      <c r="G2238" s="7" t="inlineStr">
        <is>
          <t>Too simple to be this delicious. I used bone-in skinless thighs and let them marinate for 7 hours. The flavor is incredible. Just enough spice and just enough touch of sweetness. I'll use this recipe often. Thanx for sharing the recipe.</t>
        </is>
      </c>
    </row>
    <row r="2239">
      <c r="A2239" s="7" t="n">
        <v>101421</v>
      </c>
      <c r="B2239" s="7" t="n">
        <v>102989</v>
      </c>
      <c r="C2239" s="7" t="n">
        <v>209441</v>
      </c>
      <c r="D2239" s="7" t="n">
        <v>164371</v>
      </c>
      <c r="E2239" s="8" t="n">
        <v>39578</v>
      </c>
      <c r="F2239" s="7" t="n">
        <v>5</v>
      </c>
      <c r="G2239" s="7" t="inlineStr">
        <is>
          <t>yowsers, this dough is simply THE best, thank you Kitty your recipes never let me down!</t>
        </is>
      </c>
    </row>
    <row r="2240">
      <c r="A2240" s="7" t="n">
        <v>4701</v>
      </c>
      <c r="B2240" s="7" t="n">
        <v>404963</v>
      </c>
      <c r="C2240" s="7" t="n">
        <v>424680</v>
      </c>
      <c r="D2240" s="7" t="n">
        <v>310053</v>
      </c>
      <c r="E2240" s="8" t="n">
        <v>39723</v>
      </c>
      <c r="F2240" s="7" t="n">
        <v>5</v>
      </c>
      <c r="G2240" s="7" t="inlineStr">
        <is>
          <t>Made this almost 2 1/2 weeks ago &amp; was sure I'd reviewed it, but apparently not, so here it is! I followed the ingredient list pretty much on this, except that I left out the 1/2 teaspoon of salt 'cause it seemed there was plenty of sodium in both the can of tomatoes &amp; beans! The stew was great for 2 of us for a meal &amp; then for 1 left-over serving taken to work the next day! Did include the garlic because we both like that stuff! Thanks for sharing ! [Tagged, made &amp; reviewed in Newest Zaar Tag Game]</t>
        </is>
      </c>
    </row>
    <row r="2241">
      <c r="A2241" s="7" t="n">
        <v>97665</v>
      </c>
      <c r="B2241" s="7" t="n">
        <v>203558</v>
      </c>
      <c r="C2241" s="7" t="n">
        <v>175824</v>
      </c>
      <c r="D2241" s="7" t="n">
        <v>59346</v>
      </c>
      <c r="E2241" s="8" t="n">
        <v>39022</v>
      </c>
      <c r="F2241" s="7" t="n">
        <v>5</v>
      </c>
      <c r="G2241" s="7" t="inlineStr">
        <is>
          <t>This cake was first class all the way. I made for a co-workers birthday party we were having. Two of the men said my birthday is Jan 15 and the other one said my birthday is March 10. I didnt' have 3 9inch pans so I use 3 8 inch pans. I worked out just fine. I was also out of wax paper. I butter-flavored Crisco to grease my pans and plenty of flour. the cakes did not stick. Everyone gave it  5 stars. It is such a delicious recipe. It was a very moist cake. The frosting was perfect. Thanks for sharing Kozmic Blues.</t>
        </is>
      </c>
    </row>
    <row r="2242">
      <c r="A2242" s="7" t="n">
        <v>16396</v>
      </c>
      <c r="B2242" s="7" t="n">
        <v>310484</v>
      </c>
      <c r="C2242" s="7" t="n">
        <v>169969</v>
      </c>
      <c r="D2242" s="7" t="n">
        <v>94204</v>
      </c>
      <c r="E2242" s="8" t="n">
        <v>38670</v>
      </c>
      <c r="F2242" s="7" t="n">
        <v>5</v>
      </c>
      <c r="G2242" s="7" t="inlineStr">
        <is>
          <t>Quick and Easy! I followed your recipe exactly and then added vodka to one of them. It is good with Vodka also! Thanks</t>
        </is>
      </c>
    </row>
    <row r="2243">
      <c r="A2243" s="7" t="n">
        <v>79079</v>
      </c>
      <c r="B2243" s="7" t="n">
        <v>446246</v>
      </c>
      <c r="C2243" s="7" t="n">
        <v>27678</v>
      </c>
      <c r="D2243" s="7" t="n">
        <v>66454</v>
      </c>
      <c r="E2243" s="8" t="n">
        <v>38479</v>
      </c>
      <c r="F2243" s="7" t="n">
        <v>5</v>
      </c>
      <c r="G2243" s="7" t="inlineStr">
        <is>
          <t>What a great combination, the best of orange juice and iced tea in one! I let my tea steep until quite strong but you could certainly adjust that to your taste. Mine didn't come out quite as orange as in the picture but I expect this depends on how much juice you can squeeze out of the fruit. I absolutely adored the flavour combination and will be making this again as a different summer drink. Make sure you save a bit of mint to garnish the drink with!</t>
        </is>
      </c>
    </row>
    <row r="2244">
      <c r="A2244" s="7" t="n">
        <v>110223</v>
      </c>
      <c r="B2244" s="7" t="n">
        <v>738673</v>
      </c>
      <c r="C2244" s="7" t="n">
        <v>421374</v>
      </c>
      <c r="D2244" s="7" t="n">
        <v>29365</v>
      </c>
      <c r="E2244" s="8" t="n">
        <v>40128</v>
      </c>
      <c r="F2244" s="7" t="n">
        <v>4</v>
      </c>
      <c r="G2244" s="7" t="inlineStr">
        <is>
          <t>It's a great twist, really enjoyed it!  Thanks for sharing</t>
        </is>
      </c>
    </row>
    <row r="2245">
      <c r="A2245" s="7" t="n">
        <v>7722</v>
      </c>
      <c r="B2245" s="7" t="n">
        <v>158791</v>
      </c>
      <c r="C2245" s="7" t="n">
        <v>2001842867</v>
      </c>
      <c r="D2245" s="7" t="n">
        <v>8701</v>
      </c>
      <c r="E2245" s="8" t="n">
        <v>43282</v>
      </c>
      <c r="F2245" s="7" t="n">
        <v>4</v>
      </c>
      <c r="G2245" s="7" t="inlineStr">
        <is>
          <t>Delicious!! I used pork chops on the bone. Found it alittle sweet... (will omit one of the sugars next time) lots of sauce. Cooked for 3 hrs. @325 degrees. A keeper!!</t>
        </is>
      </c>
    </row>
    <row r="2246">
      <c r="A2246" t="n">
        <v>43811</v>
      </c>
      <c r="B2246" t="n">
        <v>82318</v>
      </c>
      <c r="C2246" t="n">
        <v>485996</v>
      </c>
      <c r="D2246" t="n">
        <v>59083</v>
      </c>
      <c r="E2246" s="1" t="n">
        <v>39455</v>
      </c>
      <c r="F2246" t="n">
        <v>5</v>
      </c>
      <c r="G2246" t="inlineStr">
        <is>
          <t>made this tonight and it was wonderful, i served it with some lamb steaks that i roasted on top of the pan, otherwise made as directed. i have never had this dish before but we will certainly be making it again and again. my hubby loved it too. thanks for a lovely meal</t>
        </is>
      </c>
    </row>
    <row r="2247">
      <c r="A2247" s="7" t="n">
        <v>69727</v>
      </c>
      <c r="B2247" s="7" t="n">
        <v>204933</v>
      </c>
      <c r="C2247" s="7" t="n">
        <v>332211</v>
      </c>
      <c r="D2247" s="7" t="n">
        <v>78938</v>
      </c>
      <c r="E2247" s="8" t="n">
        <v>39132</v>
      </c>
      <c r="F2247" s="7" t="n">
        <v>5</v>
      </c>
      <c r="G2247" s="7" t="inlineStr">
        <is>
          <t>Easy and delicious.  Scaled to 2 servings.  Used Oscar Meyer bacon pieces and a few shakes of onion powder.  Terrific flavor.</t>
        </is>
      </c>
    </row>
    <row r="2248">
      <c r="A2248" s="7" t="n">
        <v>23067</v>
      </c>
      <c r="B2248" s="7" t="n">
        <v>25765</v>
      </c>
      <c r="C2248" s="7" t="n">
        <v>353579</v>
      </c>
      <c r="D2248" s="7" t="n">
        <v>249024</v>
      </c>
      <c r="E2248" s="8" t="n">
        <v>39618</v>
      </c>
      <c r="F2248" s="7" t="n">
        <v>5</v>
      </c>
      <c r="G2248" s="7" t="inlineStr">
        <is>
          <t>This is a wonderful, refreshing salad - sweet, tart, crunchy, with a playful bite from the jalapeno.  We enjoyed it very much.  Thanks for sharing!</t>
        </is>
      </c>
    </row>
    <row r="2249">
      <c r="A2249" s="7" t="n">
        <v>126425</v>
      </c>
      <c r="B2249" s="7" t="n">
        <v>262571</v>
      </c>
      <c r="C2249" s="7" t="n">
        <v>2001663834</v>
      </c>
      <c r="D2249" s="7" t="n">
        <v>496614</v>
      </c>
      <c r="E2249" s="8" t="n">
        <v>42956</v>
      </c>
      <c r="F2249" s="7" t="n">
        <v>5</v>
      </c>
      <c r="G2249" s="7" t="inlineStr">
        <is>
          <t>I love this recipe..these biscuits are perfect.. I will add alittle sugar next time.</t>
        </is>
      </c>
    </row>
    <row r="2250">
      <c r="A2250" t="n">
        <v>18210</v>
      </c>
      <c r="B2250" t="n">
        <v>387024</v>
      </c>
      <c r="C2250" t="n">
        <v>440324</v>
      </c>
      <c r="D2250" t="n">
        <v>62182</v>
      </c>
      <c r="E2250" s="1" t="n">
        <v>41220</v>
      </c>
      <c r="F2250" t="n">
        <v>5</v>
      </c>
      <c r="G2250" t="inlineStr">
        <is>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is>
      </c>
    </row>
    <row r="2251">
      <c r="A2251" s="7" t="n">
        <v>27009</v>
      </c>
      <c r="B2251" s="7" t="n">
        <v>1123810</v>
      </c>
      <c r="C2251" s="7" t="n">
        <v>518054</v>
      </c>
      <c r="D2251" s="7" t="n">
        <v>57679</v>
      </c>
      <c r="E2251" s="8" t="n">
        <v>42004</v>
      </c>
      <c r="F2251" s="7" t="n">
        <v>3</v>
      </c>
      <c r="G2251" s="7" t="inlineStr">
        <is>
          <t>I wish I could say yes to this one but it was not well received.  Doesn&amp;#039;t have the lime kick my family is used to.</t>
        </is>
      </c>
    </row>
    <row r="2252">
      <c r="A2252" s="7" t="n">
        <v>98571</v>
      </c>
      <c r="B2252" s="7" t="n">
        <v>405442</v>
      </c>
      <c r="C2252" s="7" t="n">
        <v>1122161</v>
      </c>
      <c r="D2252" s="7" t="n">
        <v>110077</v>
      </c>
      <c r="E2252" s="8" t="n">
        <v>40213</v>
      </c>
      <c r="F2252" s="7" t="n">
        <v>5</v>
      </c>
      <c r="G2252" s="7" t="inlineStr">
        <is>
          <t>Really good sauce, and easy to make! I will be using this one most often. Thanks for posting! :)</t>
        </is>
      </c>
    </row>
    <row r="2253">
      <c r="A2253" s="7" t="n">
        <v>35400</v>
      </c>
      <c r="B2253" s="7" t="n">
        <v>482087</v>
      </c>
      <c r="C2253" s="7" t="n">
        <v>217657</v>
      </c>
      <c r="D2253" s="7" t="n">
        <v>145179</v>
      </c>
      <c r="E2253" s="8" t="n">
        <v>38739</v>
      </c>
      <c r="F2253" s="7" t="n">
        <v>4</v>
      </c>
      <c r="G2253" s="7" t="inlineStr">
        <is>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is>
      </c>
    </row>
    <row r="2254">
      <c r="A2254" s="7" t="n">
        <v>123331</v>
      </c>
      <c r="B2254" s="7" t="n">
        <v>945705</v>
      </c>
      <c r="C2254" s="7" t="n">
        <v>169430</v>
      </c>
      <c r="D2254" s="7" t="n">
        <v>220447</v>
      </c>
      <c r="E2254" s="8" t="n">
        <v>39997</v>
      </c>
      <c r="F2254" s="7" t="n">
        <v>5</v>
      </c>
      <c r="G2254" s="7" t="inlineStr">
        <is>
          <t>Without being ask my DH said "5 Stars!, tell the chef that is delicious". Julie, it was delicious. My single change was to use a can of stewed tomatoes in place of the soup and instead of putting the onions in the swiss steak I used them to make a side of peppered mushrooms and onions. The top round came out almost butter tender, only a fork was needed, and very tasty.  Made for Photo Tag.</t>
        </is>
      </c>
    </row>
    <row r="2255">
      <c r="A2255" s="7" t="n">
        <v>67006</v>
      </c>
      <c r="B2255" s="7" t="n">
        <v>302176</v>
      </c>
      <c r="C2255" s="7" t="n">
        <v>422893</v>
      </c>
      <c r="D2255" s="7" t="n">
        <v>277781</v>
      </c>
      <c r="E2255" s="8" t="n">
        <v>39654</v>
      </c>
      <c r="F2255" s="7" t="n">
        <v>4</v>
      </c>
      <c r="G2255" s="7" t="inlineStr">
        <is>
          <t>A lovely simple salad making great use of my leftover beet juice, thanks for posting!</t>
        </is>
      </c>
    </row>
    <row r="2256">
      <c r="A2256" s="7" t="n">
        <v>105469</v>
      </c>
      <c r="B2256" s="7" t="n">
        <v>1062323</v>
      </c>
      <c r="C2256" s="7" t="n">
        <v>262836</v>
      </c>
      <c r="D2256" s="7" t="n">
        <v>95541</v>
      </c>
      <c r="E2256" s="8" t="n">
        <v>38852</v>
      </c>
      <c r="F2256" s="7" t="n">
        <v>5</v>
      </c>
      <c r="G2256" s="7" t="inlineStr">
        <is>
          <t>great recipe, really really tasty.  Made it for mother's day and it was a hit.  I also recommend "painting" the reduced sauce onto the duck at the very end of the roast so it glazes.  One thing to note for anyone making it - temp is in celcius!  Conversion is about 350 for the main roast and 390 to crisp the skin at the end.</t>
        </is>
      </c>
    </row>
    <row r="2257">
      <c r="A2257" s="7" t="n">
        <v>25505</v>
      </c>
      <c r="B2257" s="7" t="n">
        <v>785603</v>
      </c>
      <c r="C2257" s="7" t="n">
        <v>676132</v>
      </c>
      <c r="D2257" s="7" t="n">
        <v>37625</v>
      </c>
      <c r="E2257" s="8" t="n">
        <v>39708</v>
      </c>
      <c r="F2257" s="7" t="n">
        <v>4</v>
      </c>
      <c r="G2257" s="7" t="inlineStr">
        <is>
          <t>I made the cake today and it was relatively easy.  I also made it a 1 bowl recipe, baked it for 30 minutes and added more cinnamon to the crumb topping.  I might next time just add a little almond flavoring for more flavor in the cake part, but I have to say it was a hit all around.</t>
        </is>
      </c>
    </row>
    <row r="2258">
      <c r="A2258" s="7" t="n">
        <v>6129</v>
      </c>
      <c r="B2258" s="7" t="n">
        <v>657348</v>
      </c>
      <c r="C2258" s="7" t="n">
        <v>2412382</v>
      </c>
      <c r="D2258" s="7" t="n">
        <v>27208</v>
      </c>
      <c r="E2258" s="8" t="n">
        <v>41173</v>
      </c>
      <c r="F2258" s="7" t="n">
        <v>5</v>
      </c>
      <c r="G2258" s="7" t="inlineStr">
        <is>
          <t>I cooked this recipe for my husband's birthday, and family loved it.  I used a 2lb chuck tender roast.  I did use all of the brown gravy, ranch dressing mix and water as listed on the recipe.  I used 1/2 of the italian dressing mix. Thank you for sharing!</t>
        </is>
      </c>
    </row>
    <row r="2259">
      <c r="A2259" s="7" t="n">
        <v>21786</v>
      </c>
      <c r="B2259" s="7" t="n">
        <v>265206</v>
      </c>
      <c r="C2259" s="7" t="n">
        <v>60989</v>
      </c>
      <c r="D2259" s="7" t="n">
        <v>197228</v>
      </c>
      <c r="E2259" s="8" t="n">
        <v>39077</v>
      </c>
      <c r="F2259" s="7" t="n">
        <v>5</v>
      </c>
      <c r="G2259" s="7" t="inlineStr">
        <is>
          <t>Yum! I didn't include the nuts, but followed the rest of the recipe to a "T". I served this for Christmas dinner and not one bit was leftover. Thanks!</t>
        </is>
      </c>
    </row>
    <row r="2260">
      <c r="A2260" s="7" t="n">
        <v>62049</v>
      </c>
      <c r="B2260" s="7" t="n">
        <v>661478</v>
      </c>
      <c r="C2260" s="7" t="n">
        <v>13483</v>
      </c>
      <c r="D2260" s="7" t="n">
        <v>445</v>
      </c>
      <c r="E2260" s="8" t="n">
        <v>38135</v>
      </c>
      <c r="F2260" s="7" t="n">
        <v>5</v>
      </c>
      <c r="G2260" s="7" t="inlineStr">
        <is>
          <t>I'm filling the freezer with goodies for summer guests and this is one of them.  I have no doubt they will be a hit.  Taste great.</t>
        </is>
      </c>
    </row>
    <row r="2261">
      <c r="A2261" s="7" t="n">
        <v>4170</v>
      </c>
      <c r="B2261" s="7" t="n">
        <v>342059</v>
      </c>
      <c r="C2261" s="7" t="n">
        <v>107135</v>
      </c>
      <c r="D2261" s="7" t="n">
        <v>121461</v>
      </c>
      <c r="E2261" s="8" t="n">
        <v>39243</v>
      </c>
      <c r="F2261" s="7" t="n">
        <v>5</v>
      </c>
      <c r="G2261" s="7" t="inlineStr">
        <is>
          <t>this stuff is amazing , everyone should try it</t>
        </is>
      </c>
    </row>
    <row r="2262">
      <c r="A2262" s="7" t="n">
        <v>37215</v>
      </c>
      <c r="B2262" s="7" t="n">
        <v>1001480</v>
      </c>
      <c r="C2262" s="7" t="n">
        <v>256021</v>
      </c>
      <c r="D2262" s="7" t="n">
        <v>267571</v>
      </c>
      <c r="E2262" s="8" t="n">
        <v>39872</v>
      </c>
      <c r="F2262" s="7" t="n">
        <v>4</v>
      </c>
      <c r="G2262" s="7" t="inlineStr">
        <is>
          <t>this got raves from family and friends, i thought it was a little on the eggy side.</t>
        </is>
      </c>
    </row>
    <row r="2263">
      <c r="A2263" s="7" t="n">
        <v>26210</v>
      </c>
      <c r="B2263" s="7" t="n">
        <v>256742</v>
      </c>
      <c r="C2263" s="7" t="n">
        <v>420177</v>
      </c>
      <c r="D2263" s="7" t="n">
        <v>26205</v>
      </c>
      <c r="E2263" s="8" t="n">
        <v>39686</v>
      </c>
      <c r="F2263" s="7" t="n">
        <v>5</v>
      </c>
      <c r="G2263" s="7" t="inlineStr">
        <is>
          <t>For too many years I have cringed whenever a recipe called for pastry.  I cut the butter (used salted and cut the salt down) and shortening into 1/2 " cubes and chilled in the freezer along with the water and lemon juice for 20 min.  Followed directions exactly but rolled out between waxed paper which worked great.  What a wonderful flavor and so flaky.  I can't thank you enough for posting this along with such comprehensive directions.  No more pastryphobia. This is the one.</t>
        </is>
      </c>
    </row>
    <row r="2264">
      <c r="A2264" s="7" t="n">
        <v>116741</v>
      </c>
      <c r="B2264" s="7" t="n">
        <v>639778</v>
      </c>
      <c r="C2264" s="7" t="n">
        <v>1672135</v>
      </c>
      <c r="D2264" s="7" t="n">
        <v>107437</v>
      </c>
      <c r="E2264" s="8" t="n">
        <v>40468</v>
      </c>
      <c r="F2264" s="7" t="n">
        <v>5</v>
      </c>
      <c r="G2264" s="7" t="inlineStr">
        <is>
          <t>Delicious!! I purchased everything to make this casserole, but somehow the tortilla chips managed to magically get a rip and my chip loving family had to help them from a near certain staleness death. &lt;br/&gt;&lt;br/&gt;To compensate I added 2 cans of whole kernel corn.  This was great!  Tasted like chili that had cooked for hours upon hours, with only 30 mins in the oven.  Will most def make this again!! With the corn!</t>
        </is>
      </c>
    </row>
    <row r="2265">
      <c r="A2265" s="7" t="n">
        <v>78046</v>
      </c>
      <c r="B2265" s="7" t="n">
        <v>582631</v>
      </c>
      <c r="C2265" s="7" t="n">
        <v>136369</v>
      </c>
      <c r="D2265" s="7" t="n">
        <v>80434</v>
      </c>
      <c r="E2265" s="8" t="n">
        <v>39819</v>
      </c>
      <c r="F2265" s="7" t="n">
        <v>5</v>
      </c>
      <c r="G2265" s="7" t="inlineStr">
        <is>
          <t>This is excellent beef stock! I made as directed also adding vinegar for leach calcium from the bones. I asked the butcher at our local meat market for bones and he gave them to me for free! :) I froze the stock in 2 cup containers. I've used the stock for chili, french onion soup, and vegetable beef soup. Excellent!</t>
        </is>
      </c>
    </row>
    <row r="2266">
      <c r="A2266" s="7" t="n">
        <v>110896</v>
      </c>
      <c r="B2266" s="7" t="n">
        <v>163159</v>
      </c>
      <c r="C2266" s="7" t="n">
        <v>1183327</v>
      </c>
      <c r="D2266" s="7" t="n">
        <v>120649</v>
      </c>
      <c r="E2266" s="8" t="n">
        <v>39973</v>
      </c>
      <c r="F2266" s="7" t="n">
        <v>5</v>
      </c>
      <c r="G2266" s="7" t="inlineStr">
        <is>
          <t>This was sooo good!  Maybe next time I will put a little less honey in it, just a preference.  This went well with so many dishes.  I'm definitely making it again.</t>
        </is>
      </c>
    </row>
    <row r="2267">
      <c r="A2267" s="7" t="n">
        <v>104750</v>
      </c>
      <c r="B2267" s="7" t="n">
        <v>656235</v>
      </c>
      <c r="C2267" s="7" t="n">
        <v>141112</v>
      </c>
      <c r="D2267" s="7" t="n">
        <v>27208</v>
      </c>
      <c r="E2267" s="8" t="n">
        <v>38140</v>
      </c>
      <c r="F2267" s="7" t="n">
        <v>5</v>
      </c>
      <c r="G2267" s="7" t="inlineStr">
        <is>
          <t>Pure perfection.  I used a 3.5 lb english roast and you could flake it with a fork.  Some have said that the seasonings are too salty, but for me it was just right.  I like this recipe because you can invest just 3-4 minutes of work and have an A+ meal.</t>
        </is>
      </c>
    </row>
    <row r="2268">
      <c r="A2268" s="7" t="n">
        <v>75512</v>
      </c>
      <c r="B2268" s="7" t="n">
        <v>1079228</v>
      </c>
      <c r="C2268" s="7" t="n">
        <v>1133219</v>
      </c>
      <c r="D2268" s="7" t="n">
        <v>290112</v>
      </c>
      <c r="E2268" s="8" t="n">
        <v>39830</v>
      </c>
      <c r="F2268" s="7" t="n">
        <v>5</v>
      </c>
      <c r="G2268" s="7" t="inlineStr">
        <is>
          <t>I made these cookies last night with 2/3 cup peanut butter, an extra teaspoon of vanilla, 1/3 cup of Earth Balance for the margarine, and 2/3 cup brown sugar/Splenda mixture. I usually try to go with lower fat cookie recipes and they usually turn out disappointing, so I went all out for these &amp; they were FANTASTIC! I baked them for about 14 minutes for a perfect chewy/crispy cookie &amp; it yielded about 16 cookies for me. I highly reccommend this recipe! They even spreaded, which I find is rare for vegan cookies.</t>
        </is>
      </c>
    </row>
    <row r="2269">
      <c r="A2269" s="7" t="n">
        <v>121996</v>
      </c>
      <c r="B2269" s="7" t="n">
        <v>299222</v>
      </c>
      <c r="C2269" s="7" t="n">
        <v>269521</v>
      </c>
      <c r="D2269" s="7" t="n">
        <v>134051</v>
      </c>
      <c r="E2269" s="8" t="n">
        <v>38915</v>
      </c>
      <c r="F2269" s="7" t="n">
        <v>5</v>
      </c>
      <c r="G2269" s="7" t="inlineStr">
        <is>
          <t>Excellent and so easy!Have to admit I was skeptical, thought something at been left out of the recipe, but it was perfect!  Thanks for sharing.</t>
        </is>
      </c>
    </row>
    <row r="2270">
      <c r="A2270" s="7" t="n">
        <v>114401</v>
      </c>
      <c r="B2270" s="7" t="n">
        <v>952228</v>
      </c>
      <c r="C2270" s="7" t="n">
        <v>107135</v>
      </c>
      <c r="D2270" s="7" t="n">
        <v>479371</v>
      </c>
      <c r="E2270" s="8" t="n">
        <v>41315</v>
      </c>
      <c r="F2270" s="7" t="n">
        <v>5</v>
      </c>
      <c r="G2270" s="7" t="inlineStr">
        <is>
          <t>these are  fluffy , i too had to add a little more milk , i also added a teaspoon of lemon juice made for best of 2012.dog gone stars</t>
        </is>
      </c>
    </row>
    <row r="2271">
      <c r="A2271" s="7" t="n">
        <v>95129</v>
      </c>
      <c r="B2271" s="7" t="n">
        <v>348907</v>
      </c>
      <c r="C2271" s="7" t="n">
        <v>83696</v>
      </c>
      <c r="D2271" s="7" t="n">
        <v>50719</v>
      </c>
      <c r="E2271" s="8" t="n">
        <v>40699</v>
      </c>
      <c r="F2271" s="7" t="n">
        <v>0</v>
      </c>
      <c r="G2271" s="7" t="inlineStr">
        <is>
          <t>Well.... We put in 2 cups of (almond) milk on accident. But the flavor was wonderful!  I'll have to try these again with the correct amount.  That's what I get for letting a woman with a headache help me measure :)</t>
        </is>
      </c>
    </row>
    <row r="2272">
      <c r="A2272" s="7" t="n">
        <v>32874</v>
      </c>
      <c r="B2272" s="7" t="n">
        <v>447006</v>
      </c>
      <c r="C2272" s="7" t="n">
        <v>282942</v>
      </c>
      <c r="D2272" s="7" t="n">
        <v>56598</v>
      </c>
      <c r="E2272" s="8" t="n">
        <v>40498</v>
      </c>
      <c r="F2272" s="7" t="n">
        <v>5</v>
      </c>
      <c r="G2272" s="7" t="inlineStr">
        <is>
          <t>I have been making this past for the past 40 years and it has never failed me.  This is the way I make it. I take it out of my processor, ( it will be very crumbly, but don't get upset).. I knead it about 10 times, ( it's not silky or smooth). I then cut up the dough into good size pieces, and run them through my kitchenaide pasta machine, 4 times folding the dough on each settings 1 through 6, ( this works the dough beautifully). My pasta comes out perfect, very smooth and light.  You don't want to make this pasta real thick, as it will taste hard.  This has worked for me and I hope that everyone will give this method a try.</t>
        </is>
      </c>
    </row>
    <row r="2273">
      <c r="A2273" s="7" t="n">
        <v>7700</v>
      </c>
      <c r="B2273" s="7" t="n">
        <v>929934</v>
      </c>
      <c r="C2273" s="7" t="n">
        <v>1072593</v>
      </c>
      <c r="D2273" s="7" t="n">
        <v>327391</v>
      </c>
      <c r="E2273" s="8" t="n">
        <v>39976</v>
      </c>
      <c r="F2273" s="7" t="n">
        <v>5</v>
      </c>
      <c r="G2273" s="7" t="inlineStr">
        <is>
          <t>A totally surprising condiment with mellow flavoring.  We used it as a spread on tortilla wraps.  Will definitly make again.  Oh forgot, I used my recipe for recipe #369334.  Made for 123 Hit Wonders.</t>
        </is>
      </c>
    </row>
    <row r="2274">
      <c r="A2274" s="7" t="n">
        <v>123110</v>
      </c>
      <c r="B2274" s="7" t="n">
        <v>366057</v>
      </c>
      <c r="C2274" s="7" t="n">
        <v>47892</v>
      </c>
      <c r="D2274" s="7" t="n">
        <v>455529</v>
      </c>
      <c r="E2274" s="8" t="n">
        <v>41344</v>
      </c>
      <c r="F2274" s="7" t="n">
        <v>5</v>
      </c>
      <c r="G2274" s="7" t="inlineStr">
        <is>
          <t>Made as written using cumin seeds for cumin powder and pomegranate molasses for the seeds. Mixture was served over fresh baby arugula! Easy and delicious! Thanks! Reviewed for Veg Tag/March.</t>
        </is>
      </c>
    </row>
    <row r="2275">
      <c r="A2275" t="n">
        <v>77791</v>
      </c>
      <c r="B2275" t="n">
        <v>618682</v>
      </c>
      <c r="C2275" t="n">
        <v>237071</v>
      </c>
      <c r="D2275" t="n">
        <v>83061</v>
      </c>
      <c r="E2275" s="1" t="n">
        <v>38585</v>
      </c>
      <c r="F2275" t="n">
        <v>5</v>
      </c>
      <c r="G2275" t="inlineStr">
        <is>
          <t>I'm the only one who cared that this recipe was non-dairy; everyone else just thought it was delicious.  I served it with mango which I wrapped in foil and barbecued, and every crumb was gone.  yum.</t>
        </is>
      </c>
    </row>
    <row r="2276">
      <c r="A2276" s="7" t="n">
        <v>94671</v>
      </c>
      <c r="B2276" s="7" t="n">
        <v>643705</v>
      </c>
      <c r="C2276" s="7" t="n">
        <v>322381</v>
      </c>
      <c r="D2276" s="7" t="n">
        <v>172692</v>
      </c>
      <c r="E2276" s="8" t="n">
        <v>39429</v>
      </c>
      <c r="F2276" s="7" t="n">
        <v>3</v>
      </c>
      <c r="G2276" s="7" t="inlineStr">
        <is>
          <t>This was very tasty and I am sure that we will use the same sauce technique over chicken some time. I went overboard on the portabellos, as DH likes them and I think for me, it took away from the dish, so next time I will stick to the recipe fully, because I know it's a winner. Also---- for calorie counters- I used light cream, and it was still really wonderful.</t>
        </is>
      </c>
    </row>
    <row r="2277">
      <c r="A2277" s="7" t="n">
        <v>60522</v>
      </c>
      <c r="B2277" s="7" t="n">
        <v>301876</v>
      </c>
      <c r="C2277" s="7" t="n">
        <v>340099</v>
      </c>
      <c r="D2277" s="7" t="n">
        <v>179608</v>
      </c>
      <c r="E2277" s="8" t="n">
        <v>40036</v>
      </c>
      <c r="F2277" s="7" t="n">
        <v>5</v>
      </c>
      <c r="G2277" s="7" t="inlineStr">
        <is>
          <t>I had people licking the bowl still in the middle of the bridal shower......Verry good!</t>
        </is>
      </c>
    </row>
    <row r="2278">
      <c r="A2278" s="7" t="n">
        <v>105108</v>
      </c>
      <c r="B2278" s="7" t="n">
        <v>161007</v>
      </c>
      <c r="C2278" s="7" t="n">
        <v>41503</v>
      </c>
      <c r="D2278" s="7" t="n">
        <v>85201</v>
      </c>
      <c r="E2278" s="8" t="n">
        <v>38201</v>
      </c>
      <c r="F2278" s="7" t="n">
        <v>5</v>
      </c>
      <c r="G2278" s="7" t="inlineStr">
        <is>
          <t>Yummmm! These are the BEST Cher! I don't miss the greasy fried/coated ones at all. The only change I made was adding chopped green onions to the cheese mixture. Thanks for sharing this gem ;-)</t>
        </is>
      </c>
    </row>
    <row r="2279">
      <c r="A2279" s="7" t="n">
        <v>89305</v>
      </c>
      <c r="B2279" s="7" t="n">
        <v>329302</v>
      </c>
      <c r="C2279" s="7" t="n">
        <v>1113712</v>
      </c>
      <c r="D2279" s="7" t="n">
        <v>458137</v>
      </c>
      <c r="E2279" s="8" t="n">
        <v>40899</v>
      </c>
      <c r="F2279" s="7" t="n">
        <v>5</v>
      </c>
      <c r="G2279" s="7" t="inlineStr">
        <is>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is>
      </c>
    </row>
    <row r="2280">
      <c r="A2280" s="7" t="n">
        <v>88259</v>
      </c>
      <c r="B2280" s="7" t="n">
        <v>348705</v>
      </c>
      <c r="C2280" s="7" t="n">
        <v>221351</v>
      </c>
      <c r="D2280" s="7" t="n">
        <v>50719</v>
      </c>
      <c r="E2280" s="8" t="n">
        <v>39057</v>
      </c>
      <c r="F2280" s="7" t="n">
        <v>1</v>
      </c>
      <c r="G2280" s="7" t="inlineStr">
        <is>
          <t>I needed some vegan muffins so I tried these with eggreplacer but it didn't work, they didn't rise. sorry, it might be the eggreplacer. I might try again with real eggs.</t>
        </is>
      </c>
    </row>
    <row r="2281">
      <c r="A2281" s="7" t="n">
        <v>100242</v>
      </c>
      <c r="B2281" s="7" t="n">
        <v>741808</v>
      </c>
      <c r="C2281" s="7" t="n">
        <v>95044</v>
      </c>
      <c r="D2281" s="7" t="n">
        <v>3441</v>
      </c>
      <c r="E2281" s="8" t="n">
        <v>38631</v>
      </c>
      <c r="F2281" s="7" t="n">
        <v>5</v>
      </c>
      <c r="G2281" s="7" t="inlineStr">
        <is>
          <t>Very good recipe! The whole family loved this soup.  Thanks for sharing.</t>
        </is>
      </c>
    </row>
    <row r="2282">
      <c r="A2282" s="7" t="n">
        <v>6192</v>
      </c>
      <c r="B2282" s="7" t="n">
        <v>175574</v>
      </c>
      <c r="C2282" s="7" t="n">
        <v>383346</v>
      </c>
      <c r="D2282" s="7" t="n">
        <v>394079</v>
      </c>
      <c r="E2282" s="8" t="n">
        <v>40463</v>
      </c>
      <c r="F2282" s="7" t="n">
        <v>5</v>
      </c>
      <c r="G2282" s="7" t="inlineStr">
        <is>
          <t>This soup is so tasty.  I like the fact that it doesn't have a bone ham.  The only difference I made was to use chicken broth.  And I didn't do the persillade.  I didn't puree it.  Very yummy.  And filling.  Thanks ellie :)  Made for Newest Zaar Tag</t>
        </is>
      </c>
    </row>
    <row r="2283">
      <c r="A2283" s="7" t="n">
        <v>16247</v>
      </c>
      <c r="B2283" s="7" t="n">
        <v>213773</v>
      </c>
      <c r="C2283" s="7" t="n">
        <v>330561</v>
      </c>
      <c r="D2283" s="7" t="n">
        <v>376630</v>
      </c>
      <c r="E2283" s="8" t="n">
        <v>40203</v>
      </c>
      <c r="F2283" s="7" t="n">
        <v>5</v>
      </c>
      <c r="G2283" s="7" t="inlineStr">
        <is>
          <t>very lovely dinner on a cold windy night--paired with a nice loaf of bread and some extra cheese to sprinkle on top (plus I added a bit more to the recipe because we like cheese)</t>
        </is>
      </c>
    </row>
    <row r="2284">
      <c r="A2284" s="7" t="n">
        <v>30884</v>
      </c>
      <c r="B2284" s="7" t="n">
        <v>532652</v>
      </c>
      <c r="C2284" s="7" t="n">
        <v>172369</v>
      </c>
      <c r="D2284" s="7" t="n">
        <v>91109</v>
      </c>
      <c r="E2284" s="8" t="n">
        <v>38350</v>
      </c>
      <c r="F2284" s="7" t="n">
        <v>5</v>
      </c>
      <c r="G2284" s="7" t="inlineStr">
        <is>
          <t xml:space="preserve">This sauce is so good.  I will be making this again.  Thank you for a great recipe. </t>
        </is>
      </c>
    </row>
    <row r="2285">
      <c r="A2285" s="7" t="n">
        <v>53698</v>
      </c>
      <c r="B2285" s="7" t="n">
        <v>472954</v>
      </c>
      <c r="C2285" s="7" t="n">
        <v>1730300</v>
      </c>
      <c r="D2285" s="7" t="n">
        <v>97532</v>
      </c>
      <c r="E2285" s="8" t="n">
        <v>40496</v>
      </c>
      <c r="F2285" s="7" t="n">
        <v>5</v>
      </c>
      <c r="G2285" s="7" t="inlineStr">
        <is>
          <t>Delicious! This cookie definitely satisfied my sweet tooth. I replaced the peanut butter with an almond nut butter and the butterscotch flavoring with almond extract. They were soft and the texture with the coconut was great! I will definitely be making these again.</t>
        </is>
      </c>
    </row>
    <row r="2286">
      <c r="A2286" s="7" t="n">
        <v>49068</v>
      </c>
      <c r="B2286" s="7" t="n">
        <v>217755</v>
      </c>
      <c r="C2286" s="7" t="n">
        <v>2000828979</v>
      </c>
      <c r="D2286" s="7" t="n">
        <v>21688</v>
      </c>
      <c r="E2286" s="8" t="n">
        <v>42667</v>
      </c>
      <c r="F2286" s="7" t="n">
        <v>5</v>
      </c>
      <c r="G2286" s="7" t="inlineStr">
        <is>
          <t>This is one of my favorite recipes. I got it from an Amish cookbook from 1990. The recipe I use calls for about 1 tsp caraway seed. It makes a pretty big difference in the flavor.</t>
        </is>
      </c>
    </row>
    <row r="2287">
      <c r="A2287" s="7" t="n">
        <v>23932</v>
      </c>
      <c r="B2287" s="7" t="n">
        <v>625500</v>
      </c>
      <c r="C2287" s="7" t="n">
        <v>804920</v>
      </c>
      <c r="D2287" s="7" t="n">
        <v>204187</v>
      </c>
      <c r="E2287" s="8" t="n">
        <v>39891</v>
      </c>
      <c r="F2287" s="7" t="n">
        <v>5</v>
      </c>
      <c r="G2287" s="7" t="inlineStr">
        <is>
          <t>What an awesome gravy to adorn the top of Recipe #238069.  We loved it on our mashed potatoes too!  I won't use any other now that I have this one to use!</t>
        </is>
      </c>
    </row>
    <row r="2288" ht="409.5" customHeight="1">
      <c r="A2288" s="7" t="n">
        <v>48409</v>
      </c>
      <c r="B2288" s="7" t="n">
        <v>935854</v>
      </c>
      <c r="C2288" s="7" t="n">
        <v>35659</v>
      </c>
      <c r="D2288" s="7" t="n">
        <v>42401</v>
      </c>
      <c r="E2288" s="8" t="n">
        <v>37568</v>
      </c>
      <c r="F2288" s="7" t="n">
        <v>5</v>
      </c>
      <c r="G2288" s="9" t="inlineStr">
        <is>
          <t>Miss Kitty...thank you! What a great recipe. With your help I did substitute some bouillon cubes and dried onion &amp; chives for the soup mix (to avoid the MSG)._x000D_
_x000D_
The oatmeal made this hold up so much better than bread crumbs...and please tell Mom I had no "shoe leather bottom". Basting was the key. This was even better the next day on a sandwich._x000D_
_x000D_
Thanks again!</t>
        </is>
      </c>
    </row>
    <row r="2289">
      <c r="A2289" s="7" t="n">
        <v>78344</v>
      </c>
      <c r="B2289" s="7" t="n">
        <v>72116</v>
      </c>
      <c r="C2289" s="7" t="n">
        <v>54827</v>
      </c>
      <c r="D2289" s="7" t="n">
        <v>11420</v>
      </c>
      <c r="E2289" s="8" t="n">
        <v>38458</v>
      </c>
      <c r="F2289" s="7" t="n">
        <v>4</v>
      </c>
      <c r="G2289" s="7" t="inlineStr">
        <is>
          <t>This was pretty good cornbread. It is very moist. I grew up on a cornbread that was not at all sweet or moist, so to me, the cornbread is really strange. At first I wasn't even sure that I liked it. I will make it again though as other people in my house really enjoyed it.</t>
        </is>
      </c>
    </row>
    <row r="2290">
      <c r="A2290" s="7" t="n">
        <v>90047</v>
      </c>
      <c r="B2290" s="7" t="n">
        <v>999488</v>
      </c>
      <c r="C2290" s="7" t="n">
        <v>58300</v>
      </c>
      <c r="D2290" s="7" t="n">
        <v>82136</v>
      </c>
      <c r="E2290" s="8" t="n">
        <v>38469</v>
      </c>
      <c r="F2290" s="7" t="n">
        <v>5</v>
      </c>
      <c r="G2290" s="7" t="inlineStr">
        <is>
          <t>This was terrific!!!  I loved it and so did my neighbor who happened to be here when it was about done and she wanted a bite.  It was delicious.  I didn't have high expectations for it...and boy was i surprised.  This is a 10 star recipe.  It was quick and easy to make.  Thanks for the great recipe!!!!</t>
        </is>
      </c>
    </row>
    <row r="2291">
      <c r="A2291" s="7" t="n">
        <v>15809</v>
      </c>
      <c r="B2291" s="7" t="n">
        <v>1116103</v>
      </c>
      <c r="C2291" s="7" t="n">
        <v>482933</v>
      </c>
      <c r="D2291" s="7" t="n">
        <v>253678</v>
      </c>
      <c r="E2291" s="8" t="n">
        <v>40096</v>
      </c>
      <c r="F2291" s="7" t="n">
        <v>5</v>
      </c>
      <c r="G2291" s="7" t="inlineStr">
        <is>
          <t>Delicious!  I used 3/4 of a jalapeno so that was perfect heat for us! Also, I used light sour cream. Perfect with the honey butter. Thanks MarraMamba for another great recipe.   Made for Everyday is a Holiday game.</t>
        </is>
      </c>
    </row>
    <row r="2292">
      <c r="A2292" s="7" t="n">
        <v>90548</v>
      </c>
      <c r="B2292" s="7" t="n">
        <v>303984</v>
      </c>
      <c r="C2292" s="7" t="n">
        <v>211184</v>
      </c>
      <c r="D2292" s="7" t="n">
        <v>409394</v>
      </c>
      <c r="E2292" s="8" t="n">
        <v>40636</v>
      </c>
      <c r="F2292" s="7" t="n">
        <v>3</v>
      </c>
      <c r="G2292" s="7" t="inlineStr">
        <is>
          <t>This cake had a surprisingly light spiced taste. It may have been the weather but my centers fell even though the cake tested done and was done when cut. I was surprised that there were no eggs in the recipe. I didn't serve with butter, but I bet it would be good. I was even thinking a white frosting might be nice.  Thanks for sharing. Made for PAC Spring 2011.</t>
        </is>
      </c>
    </row>
    <row r="2293">
      <c r="A2293" s="7" t="n">
        <v>49219</v>
      </c>
      <c r="B2293" s="7" t="n">
        <v>38318</v>
      </c>
      <c r="C2293" s="7" t="n">
        <v>373018</v>
      </c>
      <c r="D2293" s="7" t="n">
        <v>166030</v>
      </c>
      <c r="E2293" s="8" t="n">
        <v>40501</v>
      </c>
      <c r="F2293" s="7" t="n">
        <v>5</v>
      </c>
      <c r="G2293" s="7" t="inlineStr">
        <is>
          <t>No more store bought packages for me!  This is just perfect!  Thank you for sharing.</t>
        </is>
      </c>
    </row>
    <row r="2294">
      <c r="A2294" s="7" t="n">
        <v>3173</v>
      </c>
      <c r="B2294" s="7" t="n">
        <v>773075</v>
      </c>
      <c r="C2294" s="7" t="n">
        <v>60992</v>
      </c>
      <c r="D2294" s="7" t="n">
        <v>96127</v>
      </c>
      <c r="E2294" s="8" t="n">
        <v>39450</v>
      </c>
      <c r="F2294" s="7" t="n">
        <v>4</v>
      </c>
      <c r="G2294" s="7" t="inlineStr">
        <is>
          <t>I really liked this idea. The flavor is a five, they are addicting. I followed the recipe to the letter, drying the nuts completely. But after I oput them in an airtight container they got "sticky", so that was a three. Averaged out to a 4 star. These really are quite tasty. I guess my recommendation would be to eat them immediately.</t>
        </is>
      </c>
    </row>
    <row r="2295">
      <c r="A2295" s="7" t="n">
        <v>96780</v>
      </c>
      <c r="B2295" s="7" t="n">
        <v>481224</v>
      </c>
      <c r="C2295" s="7" t="n">
        <v>2000920973</v>
      </c>
      <c r="D2295" s="7" t="n">
        <v>478546</v>
      </c>
      <c r="E2295" s="8" t="n">
        <v>42444</v>
      </c>
      <c r="F2295" s="7" t="n">
        <v>0</v>
      </c>
      <c r="G2295" s="7" t="inlineStr">
        <is>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is>
      </c>
    </row>
    <row r="2296">
      <c r="A2296" s="7" t="n">
        <v>1144</v>
      </c>
      <c r="B2296" s="7" t="n">
        <v>695085</v>
      </c>
      <c r="C2296" s="7" t="n">
        <v>470856</v>
      </c>
      <c r="D2296" s="7" t="n">
        <v>336166</v>
      </c>
      <c r="E2296" s="8" t="n">
        <v>40277</v>
      </c>
      <c r="F2296" s="7" t="n">
        <v>4</v>
      </c>
      <c r="G2296" s="7" t="inlineStr">
        <is>
          <t>This didn't knock my socks off so I'm not giving it 5 stars but I do like it a lot.  I used a big old Jack-o-lantern type pumpkin and used pot barley instead of pearl for the added nutrition.  I had to change the method quite a bit because I was using pre-cooked barley.  I sweated the onion and garlic together then set it aside.  I cooked the pumpkin adding the spices part way through.  When the pumpkin was partially cooked I added back the onions and garlic and added the barley and raisins.  When it started to dry out a bit, I added some apple juice (didn't have any broth or wine in the house).  Thanks for the recipe Loula, it's a keeper.</t>
        </is>
      </c>
    </row>
    <row r="2297">
      <c r="A2297" s="7" t="n">
        <v>8534</v>
      </c>
      <c r="B2297" s="7" t="n">
        <v>357445</v>
      </c>
      <c r="C2297" s="7" t="n">
        <v>84272</v>
      </c>
      <c r="D2297" s="7" t="n">
        <v>33508</v>
      </c>
      <c r="E2297" s="8" t="n">
        <v>42193</v>
      </c>
      <c r="F2297" s="7" t="n">
        <v>5</v>
      </c>
      <c r="G2297" s="7" t="inlineStr">
        <is>
          <t>These were delicious . I added a handful of ground golden flax seed.  They were soft on the inside with a slightly crisp exterior.  I hope the batter freezes well because I made a small batch of cookies and froze the remaining batter.</t>
        </is>
      </c>
    </row>
    <row r="2298">
      <c r="A2298" t="n">
        <v>57406</v>
      </c>
      <c r="B2298" t="n">
        <v>847348</v>
      </c>
      <c r="C2298" t="n">
        <v>237123</v>
      </c>
      <c r="D2298" t="n">
        <v>219818</v>
      </c>
      <c r="E2298" s="1" t="n">
        <v>39495</v>
      </c>
      <c r="F2298" t="n">
        <v>5</v>
      </c>
      <c r="G2298" t="inlineStr">
        <is>
          <t>Delish!  I agree with the previous posters that the sauce is essential to this recipe.  I love the flavors in the stew- I thought they were right on.  Only chages I made were to leave out the oil- other wise I kept to the recipe.  Yum.  It was easy and fast as well, making this a great one for a week-night.  Thanks for posting!</t>
        </is>
      </c>
    </row>
    <row r="2299">
      <c r="A2299" s="7" t="n">
        <v>31174</v>
      </c>
      <c r="B2299" s="7" t="n">
        <v>949155</v>
      </c>
      <c r="C2299" s="7" t="n">
        <v>256021</v>
      </c>
      <c r="D2299" s="7" t="n">
        <v>82276</v>
      </c>
      <c r="E2299" s="8" t="n">
        <v>40320</v>
      </c>
      <c r="F2299" s="7" t="n">
        <v>4</v>
      </c>
      <c r="G2299" s="7" t="inlineStr">
        <is>
          <t>really yummy!  i made this filling, but used the: albers tamale pie recipe in place of the cornbread.  i really liked the filling and loved that it used canned food from my pantry (i used canned chicken).  this made for a super fast dinner!</t>
        </is>
      </c>
    </row>
    <row r="2300">
      <c r="A2300" s="7" t="n">
        <v>35116</v>
      </c>
      <c r="B2300" s="7" t="n">
        <v>545242</v>
      </c>
      <c r="C2300" s="7" t="n">
        <v>324840</v>
      </c>
      <c r="D2300" s="7" t="n">
        <v>106670</v>
      </c>
      <c r="E2300" s="8" t="n">
        <v>40158</v>
      </c>
      <c r="F2300" s="7" t="n">
        <v>5</v>
      </c>
      <c r="G2300" s="7" t="inlineStr">
        <is>
          <t>Interesting, never thought to add oil to it. I added a dash of vanilla essence and came out beautifully :) Thanks!</t>
        </is>
      </c>
    </row>
    <row r="2301">
      <c r="A2301" s="7" t="n">
        <v>53192</v>
      </c>
      <c r="B2301" s="7" t="n">
        <v>766757</v>
      </c>
      <c r="C2301" s="7" t="n">
        <v>2327140</v>
      </c>
      <c r="D2301" s="7" t="n">
        <v>378799</v>
      </c>
      <c r="E2301" s="8" t="n">
        <v>41482</v>
      </c>
      <c r="F2301" s="7" t="n">
        <v>5</v>
      </c>
      <c r="G2301" s="7" t="inlineStr">
        <is>
          <t>This was great! Very delicious. I didn&amp;#039;t have Gruyere but regular old swiss cheese was still good. Followed the recipe exactly other than the switch up on the cheese.</t>
        </is>
      </c>
    </row>
    <row r="2302">
      <c r="A2302" s="7" t="n">
        <v>30776</v>
      </c>
      <c r="B2302" s="7" t="n">
        <v>1092873</v>
      </c>
      <c r="C2302" s="7" t="n">
        <v>1072593</v>
      </c>
      <c r="D2302" s="7" t="n">
        <v>96668</v>
      </c>
      <c r="E2302" s="8" t="n">
        <v>39978</v>
      </c>
      <c r="F2302" s="7" t="n">
        <v>5</v>
      </c>
      <c r="G2302" s="7" t="inlineStr">
        <is>
          <t>I'm giving myself one week to work off every single one of these well-worth-it calories!</t>
        </is>
      </c>
    </row>
    <row r="2303">
      <c r="A2303" s="7" t="n">
        <v>81080</v>
      </c>
      <c r="B2303" s="7" t="n">
        <v>330766</v>
      </c>
      <c r="C2303" s="7" t="n">
        <v>2875240</v>
      </c>
      <c r="D2303" s="7" t="n">
        <v>131541</v>
      </c>
      <c r="E2303" s="8" t="n">
        <v>41455</v>
      </c>
      <c r="F2303" s="7" t="n">
        <v>0</v>
      </c>
      <c r="G2303" s="7" t="inlineStr">
        <is>
          <t>Loved it. I added a couple of squirts of Rasberry Walnut salad dressing to the meat when frying it. Added just a little more flavor. Served it with pork and beans and cresent rolls (which is all I had on hand for sides). All tasted great together and the rolls were good for sopping up the juices.</t>
        </is>
      </c>
    </row>
    <row r="2304">
      <c r="A2304" s="7" t="n">
        <v>70366</v>
      </c>
      <c r="B2304" s="7" t="n">
        <v>821878</v>
      </c>
      <c r="C2304" s="7" t="n">
        <v>277462</v>
      </c>
      <c r="D2304" s="7" t="n">
        <v>99843</v>
      </c>
      <c r="E2304" s="8" t="n">
        <v>40545</v>
      </c>
      <c r="F2304" s="7" t="n">
        <v>5</v>
      </c>
      <c r="G2304" s="7" t="inlineStr">
        <is>
          <t>Made this yesterday to go with out New Year's Day blackeyed peas and cornbread, and it was wonderful.  I've never had collard greens before, and I loved them.  I did use the brown sugar and all of the seasonings including the pepper, and although it had a pretty good bite it was very good.  My husband, a true Texas cowboy, has had collards all his life.  He said he's never had them this way, but that he really liked them.  He must have, he kept commenting on them and there were none left on his plate at the end of dinner!  This is going into my recipe file--healthy, inexpensive, and tasty too...what's not to love?</t>
        </is>
      </c>
    </row>
    <row r="2305">
      <c r="A2305" s="7" t="n">
        <v>18779</v>
      </c>
      <c r="B2305" s="7" t="n">
        <v>305592</v>
      </c>
      <c r="C2305" s="7" t="n">
        <v>100924</v>
      </c>
      <c r="D2305" s="7" t="n">
        <v>31062</v>
      </c>
      <c r="E2305" s="8" t="n">
        <v>38014</v>
      </c>
      <c r="F2305" s="7" t="n">
        <v>5</v>
      </c>
      <c r="G2305" s="7" t="inlineStr">
        <is>
          <t>This makes the best prime rib ever!  The shell of salt is also fun to take off at the end making it fun to make and great to eat!</t>
        </is>
      </c>
    </row>
    <row r="2306">
      <c r="A2306" s="7" t="n">
        <v>117938</v>
      </c>
      <c r="B2306" s="7" t="n">
        <v>123805</v>
      </c>
      <c r="C2306" s="7" t="n">
        <v>670246</v>
      </c>
      <c r="D2306" s="7" t="n">
        <v>247330</v>
      </c>
      <c r="E2306" s="8" t="n">
        <v>39549</v>
      </c>
      <c r="F2306" s="7" t="n">
        <v>5</v>
      </c>
      <c r="G2306" s="7" t="inlineStr">
        <is>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is>
      </c>
    </row>
    <row r="2307">
      <c r="A2307" s="7" t="n">
        <v>48303</v>
      </c>
      <c r="B2307" s="7" t="n">
        <v>22955</v>
      </c>
      <c r="C2307" s="7" t="n">
        <v>49773</v>
      </c>
      <c r="D2307" s="7" t="n">
        <v>321409</v>
      </c>
      <c r="E2307" s="8" t="n">
        <v>39791</v>
      </c>
      <c r="F2307" s="7" t="n">
        <v>4</v>
      </c>
      <c r="G2307" s="7" t="inlineStr">
        <is>
          <t>I made this for the football tag. It was very good but next time I think I'll add some garlic. I served it with some coconut rice. Ty mama</t>
        </is>
      </c>
    </row>
    <row r="2308">
      <c r="A2308" s="7" t="n">
        <v>65789</v>
      </c>
      <c r="B2308" s="7" t="n">
        <v>518756</v>
      </c>
      <c r="C2308" s="7" t="n">
        <v>340576</v>
      </c>
      <c r="D2308" s="7" t="n">
        <v>54715</v>
      </c>
      <c r="E2308" s="8" t="n">
        <v>39372</v>
      </c>
      <c r="F2308" s="7" t="n">
        <v>5</v>
      </c>
      <c r="G2308" s="7" t="inlineStr">
        <is>
          <t>Absolutely yummy! My sauce never thickened, either, but that didn't stop us from loving the flavor. I'd started cooking dinner a bit earlier than we're used to eating, so after pan-frying as directed I put the chops and sauce into a covered casserole dish and held them in the oven for 30 minutes at 200 degrees. They came out tender, moist and with such a great flavor. Thank you!</t>
        </is>
      </c>
    </row>
    <row r="2309">
      <c r="A2309" s="7" t="n">
        <v>11076</v>
      </c>
      <c r="B2309" s="7" t="n">
        <v>16554</v>
      </c>
      <c r="C2309" s="7" t="n">
        <v>645207</v>
      </c>
      <c r="D2309" s="7" t="n">
        <v>301754</v>
      </c>
      <c r="E2309" s="8" t="n">
        <v>40251</v>
      </c>
      <c r="F2309" s="7" t="n">
        <v>5</v>
      </c>
      <c r="G2309" s="7" t="inlineStr">
        <is>
          <t>This was the first time I've tried making baked potato soup and this recipe was super easy.  I didn't have time to do it in the crock pot, so I followed the recipe on the stove top instead.  The soup was so flavorful.  This will become a staple for sure.  Great job!</t>
        </is>
      </c>
    </row>
    <row r="2310" ht="300" customHeight="1">
      <c r="A2310" s="7" t="n">
        <v>62509</v>
      </c>
      <c r="B2310" s="7" t="n">
        <v>291019</v>
      </c>
      <c r="C2310" s="7" t="n">
        <v>84931</v>
      </c>
      <c r="D2310" s="7" t="n">
        <v>50767</v>
      </c>
      <c r="E2310" s="8" t="n">
        <v>37747</v>
      </c>
      <c r="F2310" s="7" t="n">
        <v>5</v>
      </c>
      <c r="G2310" s="9" t="inlineStr">
        <is>
          <t>My fussy 7 year old, who won't eat anything unless it's pizza or McDonalds, ate 3 of these!  I am going to have a constant supply of these around._x000D_
YUM!</t>
        </is>
      </c>
    </row>
    <row r="2311">
      <c r="A2311" s="7" t="n">
        <v>93060</v>
      </c>
      <c r="B2311" s="7" t="n">
        <v>295995</v>
      </c>
      <c r="C2311" s="7" t="n">
        <v>273543</v>
      </c>
      <c r="D2311" s="7" t="n">
        <v>46922</v>
      </c>
      <c r="E2311" s="8" t="n">
        <v>40164</v>
      </c>
      <c r="F2311" s="7" t="n">
        <v>5</v>
      </c>
      <c r="G2311" s="7" t="inlineStr">
        <is>
          <t>Love it! I love putting this ham in the oven, running some errands and coming home to the delicious smell. I make a gravy with the drippings afterwards. Two cups of the drippings, 2 tbs of flour, make sure to burn out that flour taste, add salt and pepper to taste and it's delicious!</t>
        </is>
      </c>
    </row>
    <row r="2312">
      <c r="A2312" s="7" t="n">
        <v>56834</v>
      </c>
      <c r="B2312" s="7" t="n">
        <v>929883</v>
      </c>
      <c r="C2312" s="7" t="n">
        <v>129201</v>
      </c>
      <c r="D2312" s="7" t="n">
        <v>155212</v>
      </c>
      <c r="E2312" s="8" t="n">
        <v>38911</v>
      </c>
      <c r="F2312" s="7" t="n">
        <v>5</v>
      </c>
      <c r="G2312" s="7" t="inlineStr">
        <is>
          <t>These were great - though I'm not sure I cooked mine for long enought. They came out of the oven all puffed up and lovely but as soon as they hit the cold air they shrivelled quite a bit.  The shrivelling didn't affect the taste and I'll make them again but cook for a while longer and maybe let them cool in the oven.</t>
        </is>
      </c>
    </row>
    <row r="2313">
      <c r="A2313" s="7" t="n">
        <v>116212</v>
      </c>
      <c r="B2313" s="7" t="n">
        <v>941436</v>
      </c>
      <c r="C2313" s="7" t="n">
        <v>242779</v>
      </c>
      <c r="D2313" s="7" t="n">
        <v>19315</v>
      </c>
      <c r="E2313" s="8" t="n">
        <v>40624</v>
      </c>
      <c r="F2313" s="7" t="n">
        <v>5</v>
      </c>
      <c r="G2313" s="7" t="inlineStr">
        <is>
          <t>LOVE THIS RECIPE!  Did not have heavy cream however.  I read some of the other reviews and saw that some chefs pureed, so that's what I did!  I took probably 1/4 of the potato/leek combination and pureed it and added it back to the broth.  No need for cream in this recipe!  Also, next time, I would cut back the pepper a bit.  Not for me, but my 10 year old thought it was a bit peppery, so I made some homemade croutons to float on his dish to try to get the pepper taste a bit less for him.  I LOVED the taste of this recipe, however.  GREAT POST LOONY!</t>
        </is>
      </c>
    </row>
    <row r="2314">
      <c r="A2314" s="7" t="n">
        <v>29190</v>
      </c>
      <c r="B2314" s="7" t="n">
        <v>883697</v>
      </c>
      <c r="C2314" s="7" t="n">
        <v>428885</v>
      </c>
      <c r="D2314" s="7" t="n">
        <v>388401</v>
      </c>
      <c r="E2314" s="8" t="n">
        <v>40067</v>
      </c>
      <c r="F2314" s="7" t="n">
        <v>5</v>
      </c>
      <c r="G2314" s="7" t="inlineStr">
        <is>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is>
      </c>
    </row>
    <row r="2315">
      <c r="A2315" s="7" t="n">
        <v>19492</v>
      </c>
      <c r="B2315" s="7" t="n">
        <v>656326</v>
      </c>
      <c r="C2315" s="7" t="n">
        <v>170747</v>
      </c>
      <c r="D2315" s="7" t="n">
        <v>27208</v>
      </c>
      <c r="E2315" s="8" t="n">
        <v>38341</v>
      </c>
      <c r="F2315" s="7" t="n">
        <v>5</v>
      </c>
      <c r="G2315" s="7" t="inlineStr">
        <is>
          <t>I hate to be a copycat but like everyone else I LOVED this recipe!  I made it for my parents holiday visit tonight and it was a total hit.  Everyone had seconds.  Thank you so much!</t>
        </is>
      </c>
    </row>
    <row r="2316">
      <c r="A2316" s="7" t="n">
        <v>38150</v>
      </c>
      <c r="B2316" s="7" t="n">
        <v>172773</v>
      </c>
      <c r="C2316" s="7" t="n">
        <v>141533</v>
      </c>
      <c r="D2316" s="7" t="n">
        <v>29832</v>
      </c>
      <c r="E2316" s="8" t="n">
        <v>38123</v>
      </c>
      <c r="F2316" s="7" t="n">
        <v>5</v>
      </c>
      <c r="G2316" s="7" t="inlineStr">
        <is>
          <t>Oooh yeah!! My family and I loved this yummy mac and cheese. I wouldn't call it bland either. Custard-like is an accurate way to describe the texture. I'll be making this one again for sure. Thanks.</t>
        </is>
      </c>
    </row>
    <row r="2317">
      <c r="A2317" s="7" t="n">
        <v>60683</v>
      </c>
      <c r="B2317" s="7" t="n">
        <v>46628</v>
      </c>
      <c r="C2317" s="7" t="n">
        <v>1034054</v>
      </c>
      <c r="D2317" s="7" t="n">
        <v>90773</v>
      </c>
      <c r="E2317" s="8" t="n">
        <v>40046</v>
      </c>
      <c r="F2317" s="7" t="n">
        <v>5</v>
      </c>
      <c r="G2317" s="7" t="inlineStr">
        <is>
          <t>we made this for my best friends wedding (we made all the food ourselves..) and everyone loved it! We served it with balls of cantelope and honeydew, and strawberries, grapes, and pineapple. I am actually making it tonight to serve at a Luau party tomorrow. Yum Yum Yum!!!</t>
        </is>
      </c>
    </row>
    <row r="2318">
      <c r="A2318" s="7" t="n">
        <v>76110</v>
      </c>
      <c r="B2318" s="7" t="n">
        <v>229760</v>
      </c>
      <c r="C2318" s="7" t="n">
        <v>2000384126</v>
      </c>
      <c r="D2318" s="7" t="n">
        <v>533188</v>
      </c>
      <c r="E2318" s="8" t="n">
        <v>43129</v>
      </c>
      <c r="F2318" s="7" t="n">
        <v>0</v>
      </c>
      <c r="G2318" s="7" t="inlineStr">
        <is>
          <t>Looking for ward to trying this in the next breakfast day.</t>
        </is>
      </c>
    </row>
    <row r="2319">
      <c r="A2319" s="7" t="n">
        <v>70492</v>
      </c>
      <c r="B2319" s="7" t="n">
        <v>741450</v>
      </c>
      <c r="C2319" s="7" t="n">
        <v>498271</v>
      </c>
      <c r="D2319" s="7" t="n">
        <v>245796</v>
      </c>
      <c r="E2319" s="8" t="n">
        <v>39483</v>
      </c>
      <c r="F2319" s="7" t="n">
        <v>5</v>
      </c>
      <c r="G2319" s="7" t="inlineStr">
        <is>
          <t>This was absolutely delicious!!  The sweet and spicy glaze was superb and a perfect complement to this kind of steak.  I don't care for onions myself but hubby just loved the caramelized onion topping too.  We all just loved this dish!!</t>
        </is>
      </c>
    </row>
    <row r="2320">
      <c r="A2320" s="7" t="n">
        <v>94581</v>
      </c>
      <c r="B2320" s="7" t="n">
        <v>705091</v>
      </c>
      <c r="C2320" s="7" t="n">
        <v>324390</v>
      </c>
      <c r="D2320" s="7" t="n">
        <v>287950</v>
      </c>
      <c r="E2320" s="8" t="n">
        <v>39570</v>
      </c>
      <c r="F2320" s="7" t="n">
        <v>5</v>
      </c>
      <c r="G2320" s="7" t="inlineStr">
        <is>
          <t>The sauce really makes these tuna cakes! I reduced the soy sauce to 1/4 cup and left out the salt trying to cut out some of the sodium. These are very sturdy little cakes and hold together well. I had a little mishap when I tried to pipe the sauce using the little baggie- it exploded! That was no fault of the recipe however, just a faulty baggie. And I got more sauce on my plate- yum! Made for Aussie Swap '08.</t>
        </is>
      </c>
    </row>
    <row r="2321">
      <c r="A2321" s="7" t="n">
        <v>35918</v>
      </c>
      <c r="B2321" s="7" t="n">
        <v>136705</v>
      </c>
      <c r="C2321" s="7" t="n">
        <v>923411</v>
      </c>
      <c r="D2321" s="7" t="n">
        <v>44888</v>
      </c>
      <c r="E2321" s="8" t="n">
        <v>39782</v>
      </c>
      <c r="F2321" s="7" t="n">
        <v>5</v>
      </c>
      <c r="G2321" s="7" t="inlineStr">
        <is>
          <t>These were REALLY good! I made them for a party tonight and everyone loved them. My sauce didn't get that thicken tho but they were still very good! Thanks!!</t>
        </is>
      </c>
    </row>
    <row r="2322">
      <c r="A2322" s="7" t="n">
        <v>44239</v>
      </c>
      <c r="B2322" s="7" t="n">
        <v>527255</v>
      </c>
      <c r="C2322" s="7" t="n">
        <v>110875</v>
      </c>
      <c r="D2322" s="7" t="n">
        <v>54303</v>
      </c>
      <c r="E2322" s="8" t="n">
        <v>38385</v>
      </c>
      <c r="F2322" s="7" t="n">
        <v>5</v>
      </c>
      <c r="G2322" s="7" t="inlineStr">
        <is>
          <t>We made this with Basa last night.  Was wonderful, my kids loved it and they normally hate fish. Great recipy, thanks for posting.</t>
        </is>
      </c>
    </row>
    <row r="2323">
      <c r="A2323" s="7" t="n">
        <v>79348</v>
      </c>
      <c r="B2323" s="7" t="n">
        <v>113946</v>
      </c>
      <c r="C2323" s="7" t="n">
        <v>107583</v>
      </c>
      <c r="D2323" s="7" t="n">
        <v>235490</v>
      </c>
      <c r="E2323" s="8" t="n">
        <v>39754</v>
      </c>
      <c r="F2323" s="7" t="n">
        <v>5</v>
      </c>
      <c r="G2323" s="7" t="inlineStr">
        <is>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is>
      </c>
    </row>
    <row r="2324">
      <c r="A2324" s="7" t="n">
        <v>6368</v>
      </c>
      <c r="B2324" s="7" t="n">
        <v>777421</v>
      </c>
      <c r="C2324" s="7" t="n">
        <v>2000468141</v>
      </c>
      <c r="D2324" s="7" t="n">
        <v>438926</v>
      </c>
      <c r="E2324" s="8" t="n">
        <v>42258</v>
      </c>
      <c r="F2324" s="7" t="n">
        <v>1</v>
      </c>
      <c r="G2324" s="7" t="inlineStr">
        <is>
          <t>Way too much spice, not heat, the amount of spices should probably read teaspoon, not tablespoon.  I had to scrap off spices from the top of the soup to make it edible.</t>
        </is>
      </c>
    </row>
    <row r="2325">
      <c r="A2325" s="7" t="n">
        <v>46535</v>
      </c>
      <c r="B2325" s="7" t="n">
        <v>33799</v>
      </c>
      <c r="C2325" s="7" t="n">
        <v>90148</v>
      </c>
      <c r="D2325" s="7" t="n">
        <v>66241</v>
      </c>
      <c r="E2325" s="8" t="n">
        <v>39489</v>
      </c>
      <c r="F2325" s="7" t="n">
        <v>5</v>
      </c>
      <c r="G2325" s="7" t="inlineStr">
        <is>
          <t>Way better than "the box".</t>
        </is>
      </c>
    </row>
    <row r="2326" ht="409.5" customHeight="1">
      <c r="A2326" s="7" t="n">
        <v>80198</v>
      </c>
      <c r="B2326" s="7" t="n">
        <v>72845</v>
      </c>
      <c r="C2326" s="7" t="n">
        <v>45651</v>
      </c>
      <c r="D2326" s="7" t="n">
        <v>54269</v>
      </c>
      <c r="E2326" s="8" t="n">
        <v>37753</v>
      </c>
      <c r="F2326" s="7" t="n">
        <v>5</v>
      </c>
      <c r="G2326" s="9" t="inlineStr">
        <is>
          <t xml:space="preserve">Thank you, Thank you, Thank you!_x000D_
What a great idea! I made two cakes for a church bake sale, both of them were different. One German Chocolate and One Pineapple Upside Down Cake. I used this recipe with both, and what terrific results!_x000D_
The Church Bake Sale said they put a higher price on both of my cakes and they sold FIRST!  I made another Cherry Cake for home...the Extender Recipe made the highest, moistest and most flavorful Cherry Cake!_x000D_
This recipe is a real gem and a "keeper" </t>
        </is>
      </c>
    </row>
    <row r="2327" ht="409.5" customHeight="1">
      <c r="A2327" s="7" t="n">
        <v>90566</v>
      </c>
      <c r="B2327" s="7" t="n">
        <v>1033481</v>
      </c>
      <c r="C2327" s="7" t="n">
        <v>488200</v>
      </c>
      <c r="D2327" s="7" t="n">
        <v>272075</v>
      </c>
      <c r="E2327" s="8" t="n">
        <v>39455</v>
      </c>
      <c r="F2327" s="7" t="n">
        <v>3</v>
      </c>
      <c r="G2327" s="9" t="inlineStr">
        <is>
          <t>One word would describe this dish: interesting. I did a search for "crock pot pork loin roast" and this was one of the only ones that came up. 
First let me say the finished product was good as far as the tenderness and flavor of the roast. The preparation of this dish is what threw me off. I did not think the "deglazing" step added anything. It seemed unnecessary. I also was unclear if I should add the sauerkraut drained, or with all the liquid. I dumped about half the liquid and left the other half in.
All in all I may try this again, with some variations, for the roast was very tender and done perfectly.</t>
        </is>
      </c>
    </row>
    <row r="2328">
      <c r="A2328" s="7" t="n">
        <v>15162</v>
      </c>
      <c r="B2328" s="7" t="n">
        <v>1098868</v>
      </c>
      <c r="C2328" s="7" t="n">
        <v>1803301187</v>
      </c>
      <c r="D2328" s="7" t="n">
        <v>74275</v>
      </c>
      <c r="E2328" s="8" t="n">
        <v>41947</v>
      </c>
      <c r="F2328" s="7" t="n">
        <v>0</v>
      </c>
      <c r="G2328" s="7" t="inlineStr">
        <is>
          <t>Made this the other night and it was a big hit. Best potato soup recipe ive made.</t>
        </is>
      </c>
    </row>
    <row r="2329">
      <c r="A2329" s="7" t="n">
        <v>58466</v>
      </c>
      <c r="B2329" s="7" t="n">
        <v>983143</v>
      </c>
      <c r="C2329" s="7" t="n">
        <v>73341</v>
      </c>
      <c r="D2329" s="7" t="n">
        <v>23842</v>
      </c>
      <c r="E2329" s="8" t="n">
        <v>39769</v>
      </c>
      <c r="F2329" s="7" t="n">
        <v>5</v>
      </c>
      <c r="G2329" s="7" t="inlineStr">
        <is>
          <t>We loved this dinner!  I made it with some variations; 1.5 lbs stew meat, 2 red potatoes, no turnips, garden green beans, 1 red onion, garden celery (so good!), no celery salt and 2 bay leafs. I added frozen peas at the beginning and they were fine.</t>
        </is>
      </c>
    </row>
    <row r="2330">
      <c r="A2330" s="7" t="n">
        <v>4998</v>
      </c>
      <c r="B2330" s="7" t="n">
        <v>550113</v>
      </c>
      <c r="C2330" s="7" t="n">
        <v>179908</v>
      </c>
      <c r="D2330" s="7" t="n">
        <v>30200</v>
      </c>
      <c r="E2330" s="8" t="n">
        <v>38530</v>
      </c>
      <c r="F2330" s="7" t="n">
        <v>5</v>
      </c>
      <c r="G2330" s="7" t="inlineStr">
        <is>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is>
      </c>
    </row>
    <row r="2331">
      <c r="A2331" s="7" t="n">
        <v>124797</v>
      </c>
      <c r="B2331" s="7" t="n">
        <v>710741</v>
      </c>
      <c r="C2331" s="7" t="n">
        <v>222564</v>
      </c>
      <c r="D2331" s="7" t="n">
        <v>299873</v>
      </c>
      <c r="E2331" s="8" t="n">
        <v>41309</v>
      </c>
      <c r="F2331" s="7" t="n">
        <v>5</v>
      </c>
      <c r="G2331" s="7" t="inlineStr">
        <is>
          <t>Fantastic liquid dessert!</t>
        </is>
      </c>
    </row>
    <row r="2332">
      <c r="A2332" s="7" t="n">
        <v>2462</v>
      </c>
      <c r="B2332" s="7" t="n">
        <v>898945</v>
      </c>
      <c r="C2332" s="7" t="n">
        <v>289510</v>
      </c>
      <c r="D2332" s="7" t="n">
        <v>146394</v>
      </c>
      <c r="E2332" s="8" t="n">
        <v>39785</v>
      </c>
      <c r="F2332" s="7" t="n">
        <v>5</v>
      </c>
      <c r="G2332" s="7" t="inlineStr">
        <is>
          <t>delicious and very easy to make - but what isnt yummy smothered in a layer of cheese?? thanks for sharing</t>
        </is>
      </c>
    </row>
    <row r="2333">
      <c r="A2333" s="7" t="n">
        <v>86753</v>
      </c>
      <c r="B2333" s="7" t="n">
        <v>358190</v>
      </c>
      <c r="C2333" s="7" t="n">
        <v>1197561</v>
      </c>
      <c r="D2333" s="7" t="n">
        <v>24217</v>
      </c>
      <c r="E2333" s="8" t="n">
        <v>40352</v>
      </c>
      <c r="F2333" s="7" t="n">
        <v>5</v>
      </c>
      <c r="G2333" s="7" t="inlineStr">
        <is>
          <t>I could still tell that it was instant potatoes but it is a very good recipe (my husband prefers instant!). I followed the recipe except I used cheddar instead of mozzarella b/c that was what I had. I will be making this again. Thanks for sharing.</t>
        </is>
      </c>
    </row>
    <row r="2334">
      <c r="A2334" t="n">
        <v>22089</v>
      </c>
      <c r="B2334" t="n">
        <v>664051</v>
      </c>
      <c r="C2334" t="n">
        <v>188695</v>
      </c>
      <c r="D2334" t="n">
        <v>35038</v>
      </c>
      <c r="E2334" s="1" t="n">
        <v>39896</v>
      </c>
      <c r="F2334" t="n">
        <v>5</v>
      </c>
      <c r="G2334" t="inlineStr">
        <is>
          <t>I just love this.  The balance is quite nice. One can taste all ingredients but none overpowers.  Mainly I taste potatoes, as one should.  I served this with grilled Teriyaki chicken,  grilled asparagus, and Asian guacamole (laced with wasabi and  fresh ginger) mixed with baby spinach.  This different twist on Asian food is exciting and welcome.  Thanks so much for posting this. It's a keeper.</t>
        </is>
      </c>
    </row>
    <row r="2335">
      <c r="A2335" s="7" t="n">
        <v>64369</v>
      </c>
      <c r="B2335" s="7" t="n">
        <v>144994</v>
      </c>
      <c r="C2335" s="7" t="n">
        <v>1789175</v>
      </c>
      <c r="D2335" s="7" t="n">
        <v>429328</v>
      </c>
      <c r="E2335" s="8" t="n">
        <v>40551</v>
      </c>
      <c r="F2335" s="7" t="n">
        <v>5</v>
      </c>
      <c r="G2335" s="7" t="inlineStr">
        <is>
          <t>Deborah made this for us when she was visiting and it is FANTASTIC!</t>
        </is>
      </c>
    </row>
    <row r="2336">
      <c r="A2336" s="7" t="n">
        <v>111441</v>
      </c>
      <c r="B2336" s="7" t="n">
        <v>591433</v>
      </c>
      <c r="C2336" s="7" t="n">
        <v>524486</v>
      </c>
      <c r="D2336" s="7" t="n">
        <v>21321</v>
      </c>
      <c r="E2336" s="8" t="n">
        <v>39311</v>
      </c>
      <c r="F2336" s="7" t="n">
        <v>5</v>
      </c>
      <c r="G2336" s="7" t="inlineStr">
        <is>
          <t>My 10 year old son made these entirely on his own and they turned out great, which means that they MUST be easy to make.  Two changes we made were: 1. We used lime juice rather than lemon and 2. We used a full cup of coconut on top.  Perfect summer dessert.</t>
        </is>
      </c>
    </row>
    <row r="2337">
      <c r="A2337" s="7" t="n">
        <v>86616</v>
      </c>
      <c r="B2337" s="7" t="n">
        <v>458213</v>
      </c>
      <c r="C2337" s="7" t="n">
        <v>1084840</v>
      </c>
      <c r="D2337" s="7" t="n">
        <v>66409</v>
      </c>
      <c r="E2337" s="8" t="n">
        <v>39965</v>
      </c>
      <c r="F2337" s="7" t="n">
        <v>2</v>
      </c>
      <c r="G2337" s="7" t="inlineStr">
        <is>
          <t>For me these were not scones the batter did not turn to dough and I basically had to drop them onto my sheet. Down south we call this a sweet biscut.</t>
        </is>
      </c>
    </row>
    <row r="2338">
      <c r="A2338" s="7" t="n">
        <v>46637</v>
      </c>
      <c r="B2338" s="7" t="n">
        <v>713905</v>
      </c>
      <c r="C2338" s="7" t="n">
        <v>606329</v>
      </c>
      <c r="D2338" s="7" t="n">
        <v>14895</v>
      </c>
      <c r="E2338" s="8" t="n">
        <v>39361</v>
      </c>
      <c r="F2338" s="7" t="n">
        <v>5</v>
      </c>
      <c r="G2338" s="7" t="inlineStr">
        <is>
          <t>This was fantastic and very easy to make! I added a bit of white wine and grated cheddar cheese to mine, and mixed it in with cooked pasta, sauteed veggies, and diced ham to make a wonderful pasta dish. Thanks for posting!</t>
        </is>
      </c>
    </row>
    <row r="2339">
      <c r="A2339" s="7" t="n">
        <v>12649</v>
      </c>
      <c r="B2339" s="7" t="n">
        <v>934254</v>
      </c>
      <c r="C2339" s="7" t="n">
        <v>424000</v>
      </c>
      <c r="D2339" s="7" t="n">
        <v>200123</v>
      </c>
      <c r="E2339" s="8" t="n">
        <v>39088</v>
      </c>
      <c r="F2339" s="7" t="n">
        <v>4</v>
      </c>
      <c r="G2339" s="7" t="inlineStr">
        <is>
          <t>This is better if you add some dill and fresh pepper</t>
        </is>
      </c>
    </row>
    <row r="2340">
      <c r="A2340" s="7" t="n">
        <v>82672</v>
      </c>
      <c r="B2340" s="7" t="n">
        <v>444493</v>
      </c>
      <c r="C2340" s="7" t="n">
        <v>452355</v>
      </c>
      <c r="D2340" s="7" t="n">
        <v>225100</v>
      </c>
      <c r="E2340" s="8" t="n">
        <v>39795</v>
      </c>
      <c r="F2340" s="7" t="n">
        <v>5</v>
      </c>
      <c r="G2340" s="7" t="inlineStr">
        <is>
          <t>DH and I made these tacos for lunch today and loved them.  I halved the recipe (using 1 lb of shrimp), with the exception of the serrano peppers, of which I used 2.  The only other modification is that we used olive oil in place of vegetable oil.  I will definitely make these tacos again.  Both DH and I prefer flour tortillas, so that is what I will use next time (I had corn tortillas on hand from another recipe).  The freshly squeezed lime juice over the top is a must.  Thanks for this keeper--it makes me think of warmer days!</t>
        </is>
      </c>
    </row>
    <row r="2341">
      <c r="A2341" s="7" t="n">
        <v>114900</v>
      </c>
      <c r="B2341" s="7" t="n">
        <v>502626</v>
      </c>
      <c r="C2341" s="7" t="n">
        <v>67899</v>
      </c>
      <c r="D2341" s="7" t="n">
        <v>84869</v>
      </c>
      <c r="E2341" s="8" t="n">
        <v>38050</v>
      </c>
      <c r="F2341" s="7" t="n">
        <v>5</v>
      </c>
      <c r="G2341" s="7" t="inlineStr">
        <is>
          <t>These are fabulous muffins! I'm a big fan of anything maple, and the maple syrup in these gives them a fantastic flavor. They taste so great it's hard to believe they're healthy! The only substitution I had to make was to use soy yogurt. Thanks for a winner, Geema! These will be made often in my house.</t>
        </is>
      </c>
    </row>
    <row r="2342">
      <c r="A2342" s="7" t="n">
        <v>120627</v>
      </c>
      <c r="B2342" s="7" t="n">
        <v>6577</v>
      </c>
      <c r="C2342" s="7" t="n">
        <v>383346</v>
      </c>
      <c r="D2342" s="7" t="n">
        <v>11040</v>
      </c>
      <c r="E2342" s="8" t="n">
        <v>40644</v>
      </c>
      <c r="F2342" s="7" t="n">
        <v>5</v>
      </c>
      <c r="G2342" s="7" t="inlineStr">
        <is>
          <t>I cooked the asparagus near 5 minutes more.  Cause we don't like the asparagus too crispy.  They had good flavor with the balsamic vinegar.  Thanks Bergy :)  Made for I Recommend tag game</t>
        </is>
      </c>
    </row>
    <row r="2343">
      <c r="A2343" s="7" t="n">
        <v>110359</v>
      </c>
      <c r="B2343" s="7" t="n">
        <v>372875</v>
      </c>
      <c r="C2343" s="7" t="n">
        <v>101823</v>
      </c>
      <c r="D2343" s="7" t="n">
        <v>145569</v>
      </c>
      <c r="E2343" s="8" t="n">
        <v>39528</v>
      </c>
      <c r="F2343" s="7" t="n">
        <v>3</v>
      </c>
      <c r="G2343" s="7" t="inlineStr">
        <is>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is>
      </c>
    </row>
    <row r="2344">
      <c r="A2344" s="7" t="n">
        <v>64738</v>
      </c>
      <c r="B2344" s="7" t="n">
        <v>930223</v>
      </c>
      <c r="C2344" s="7" t="n">
        <v>52946</v>
      </c>
      <c r="D2344" s="7" t="n">
        <v>34667</v>
      </c>
      <c r="E2344" s="8" t="n">
        <v>37491</v>
      </c>
      <c r="F2344" s="7" t="n">
        <v>5</v>
      </c>
      <c r="G2344" s="7" t="inlineStr">
        <is>
          <t>I have had this and it is very very good. would recommend this highly.  My husband and children enjoyed it. It is good on the next day reheated.</t>
        </is>
      </c>
    </row>
    <row r="2345">
      <c r="A2345" s="7" t="n">
        <v>104475</v>
      </c>
      <c r="B2345" s="7" t="n">
        <v>39060</v>
      </c>
      <c r="C2345" s="7" t="n">
        <v>309819</v>
      </c>
      <c r="D2345" s="7" t="n">
        <v>220875</v>
      </c>
      <c r="E2345" s="8" t="n">
        <v>40554</v>
      </c>
      <c r="F2345" s="7" t="n">
        <v>5</v>
      </c>
      <c r="G2345" s="7" t="inlineStr">
        <is>
          <t>This was a hit with my family!!  Easiest Chicken and Dumplings I've ever made!  thanks for sharing!</t>
        </is>
      </c>
    </row>
    <row r="2346">
      <c r="A2346" s="7" t="n">
        <v>17763</v>
      </c>
      <c r="B2346" s="7" t="n">
        <v>486715</v>
      </c>
      <c r="C2346" s="7" t="n">
        <v>497948</v>
      </c>
      <c r="D2346" s="7" t="n">
        <v>380242</v>
      </c>
      <c r="E2346" s="8" t="n">
        <v>40222</v>
      </c>
      <c r="F2346" s="7" t="n">
        <v>4</v>
      </c>
      <c r="G2346" s="7" t="inlineStr">
        <is>
          <t>delicious! I added red pepper flakes to the mix... it came out great!</t>
        </is>
      </c>
    </row>
    <row r="2347">
      <c r="A2347" s="7" t="n">
        <v>53749</v>
      </c>
      <c r="B2347" s="7" t="n">
        <v>923637</v>
      </c>
      <c r="C2347" s="7" t="n">
        <v>25746</v>
      </c>
      <c r="D2347" s="7" t="n">
        <v>15839</v>
      </c>
      <c r="E2347" s="8" t="n">
        <v>37245</v>
      </c>
      <c r="F2347" s="7" t="n">
        <v>0</v>
      </c>
      <c r="G2347" s="7" t="inlineStr">
        <is>
          <t>Please rate this recipe!  :o)</t>
        </is>
      </c>
    </row>
    <row r="2348">
      <c r="A2348" s="7" t="n">
        <v>79857</v>
      </c>
      <c r="B2348" s="7" t="n">
        <v>81021</v>
      </c>
      <c r="C2348" s="7" t="n">
        <v>64780</v>
      </c>
      <c r="D2348" s="7" t="n">
        <v>23439</v>
      </c>
      <c r="E2348" s="8" t="n">
        <v>38721</v>
      </c>
      <c r="F2348" s="7" t="n">
        <v>5</v>
      </c>
      <c r="G2348" s="7" t="inlineStr">
        <is>
          <t>I've been making this for years, exactly as you have posted. Family and friends are always asking for the recipe. I usually double the recipe.</t>
        </is>
      </c>
    </row>
    <row r="2349">
      <c r="A2349" s="7" t="n">
        <v>17878</v>
      </c>
      <c r="B2349" s="7" t="n">
        <v>1003045</v>
      </c>
      <c r="C2349" s="7" t="n">
        <v>108972</v>
      </c>
      <c r="D2349" s="7" t="n">
        <v>59468</v>
      </c>
      <c r="E2349" s="8" t="n">
        <v>38045</v>
      </c>
      <c r="F2349" s="7" t="n">
        <v>4</v>
      </c>
      <c r="G2349" s="7" t="inlineStr">
        <is>
          <t>Great and easy, really tastefull. I used lime juice (that's what I can get here in razil), jasmine rice and sardo cheese, it turned out a little too acidic, but great. Next time I'll cut the lime juice.</t>
        </is>
      </c>
    </row>
    <row r="2350">
      <c r="A2350" s="7" t="n">
        <v>20451</v>
      </c>
      <c r="B2350" s="7" t="n">
        <v>648544</v>
      </c>
      <c r="C2350" s="7" t="n">
        <v>656995</v>
      </c>
      <c r="D2350" s="7" t="n">
        <v>31235</v>
      </c>
      <c r="E2350" s="8" t="n">
        <v>40133</v>
      </c>
      <c r="F2350" s="7" t="n">
        <v>5</v>
      </c>
      <c r="G2350" s="7" t="inlineStr">
        <is>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is>
      </c>
    </row>
    <row r="2351">
      <c r="A2351" s="7" t="n">
        <v>18112</v>
      </c>
      <c r="B2351" s="7" t="n">
        <v>592890</v>
      </c>
      <c r="C2351" s="7" t="n">
        <v>55104</v>
      </c>
      <c r="D2351" s="7" t="n">
        <v>21178</v>
      </c>
      <c r="E2351" s="8" t="n">
        <v>37619</v>
      </c>
      <c r="F2351" s="7" t="n">
        <v>5</v>
      </c>
      <c r="G2351" s="7" t="inlineStr">
        <is>
          <t>I am not one to cook dessert items but as all the kids were coming for Christmas, I searched out this recipe.  I did not get a chance to make the icing as they started eating it without.  A hit with all including me.</t>
        </is>
      </c>
    </row>
    <row r="2352">
      <c r="A2352" s="7" t="n">
        <v>9406</v>
      </c>
      <c r="B2352" s="7" t="n">
        <v>958629</v>
      </c>
      <c r="C2352" s="7" t="n">
        <v>1189472</v>
      </c>
      <c r="D2352" s="7" t="n">
        <v>383029</v>
      </c>
      <c r="E2352" s="8" t="n">
        <v>40828</v>
      </c>
      <c r="F2352" s="7" t="n">
        <v>2</v>
      </c>
      <c r="G2352" s="7" t="inlineStr">
        <is>
          <t>I am sorry I did not care for this at all.</t>
        </is>
      </c>
    </row>
    <row r="2353">
      <c r="A2353" s="7" t="n">
        <v>63594</v>
      </c>
      <c r="B2353" s="7" t="n">
        <v>454868</v>
      </c>
      <c r="C2353" s="7" t="n">
        <v>103224</v>
      </c>
      <c r="D2353" s="7" t="n">
        <v>57985</v>
      </c>
      <c r="E2353" s="8" t="n">
        <v>38363</v>
      </c>
      <c r="F2353" s="7" t="n">
        <v>5</v>
      </c>
      <c r="G2353" s="7" t="inlineStr">
        <is>
          <t>Fantastic bread! I would never have thought to use the pudding mixes but it really does give an extra something special. Easy to make too. I followed the receipe exactly and was very pleased with the results. Thanks!</t>
        </is>
      </c>
    </row>
    <row r="2354">
      <c r="A2354" s="7" t="n">
        <v>33111</v>
      </c>
      <c r="B2354" s="7" t="n">
        <v>384957</v>
      </c>
      <c r="C2354" s="7" t="n">
        <v>154570</v>
      </c>
      <c r="D2354" s="7" t="n">
        <v>8969</v>
      </c>
      <c r="E2354" s="8" t="n">
        <v>40265</v>
      </c>
      <c r="F2354" s="7" t="n">
        <v>5</v>
      </c>
      <c r="G2354" s="7" t="inlineStr">
        <is>
          <t>Great recipe. I added canned diced italian seasoned tomatoes and cayanne as mentioned earlier.</t>
        </is>
      </c>
    </row>
    <row r="2355">
      <c r="A2355" s="7" t="n">
        <v>102067</v>
      </c>
      <c r="B2355" s="7" t="n">
        <v>73488</v>
      </c>
      <c r="C2355" s="7" t="n">
        <v>56112</v>
      </c>
      <c r="D2355" s="7" t="n">
        <v>105337</v>
      </c>
      <c r="E2355" s="8" t="n">
        <v>38390</v>
      </c>
      <c r="F2355" s="7" t="n">
        <v>4</v>
      </c>
      <c r="G2355" s="7" t="inlineStr">
        <is>
          <t>This is a really good recipe, but I was a bit confused by the directions.  The ingredients call for 1 cup of milk with each pudding and the instructions say 3/4 cup.  I used the one cup per pudding and it turned out fine.  I also used sugar free pudding mixes because of a slight sugar problem, and that worked fine also.  Served this to a group and they all loved it.</t>
        </is>
      </c>
    </row>
    <row r="2356" ht="409.5" customHeight="1">
      <c r="A2356" s="7" t="n">
        <v>62204</v>
      </c>
      <c r="B2356" s="7" t="n">
        <v>472577</v>
      </c>
      <c r="C2356" s="7" t="n">
        <v>466212</v>
      </c>
      <c r="D2356" s="7" t="n">
        <v>108364</v>
      </c>
      <c r="E2356" s="8" t="n">
        <v>39547</v>
      </c>
      <c r="F2356" s="7" t="n">
        <v>5</v>
      </c>
      <c r="G2356" s="9" t="inlineStr">
        <is>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is>
      </c>
    </row>
    <row r="2357">
      <c r="A2357" s="7" t="n">
        <v>100224</v>
      </c>
      <c r="B2357" s="7" t="n">
        <v>984427</v>
      </c>
      <c r="C2357" s="7" t="n">
        <v>1221759</v>
      </c>
      <c r="D2357" s="7" t="n">
        <v>9272</v>
      </c>
      <c r="E2357" s="8" t="n">
        <v>39973</v>
      </c>
      <c r="F2357" s="7" t="n">
        <v>5</v>
      </c>
      <c r="G2357" s="7" t="inlineStr">
        <is>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is>
      </c>
    </row>
    <row r="2358">
      <c r="A2358" s="7" t="n">
        <v>11738</v>
      </c>
      <c r="B2358" s="7" t="n">
        <v>1052077</v>
      </c>
      <c r="C2358" s="7" t="n">
        <v>41977793</v>
      </c>
      <c r="D2358" s="7" t="n">
        <v>230519</v>
      </c>
      <c r="E2358" s="8" t="n">
        <v>41597</v>
      </c>
      <c r="F2358" s="7" t="n">
        <v>5</v>
      </c>
      <c r="G2358" s="7" t="inlineStr">
        <is>
          <t>I can&amp;#039;t believe no one has rated/reviewed this recipe.  I&amp;#039;ve been making it for years from the dogged-earred pages of the battle worn paperback book.  You can use leftover mashed potatoes - warm them and add a little half and half and whatever else suits your taste (I like to add some sauteed minced onion and some garlic powder).  You can mix the type of potato (mashed red potatoes in their skins, I throw in a sweet potato if I have one). If you boil the potatoes add an onion cut into four pieces and either remove the onion or mash it with the potatoes - don&amp;#039;t be afraid of seasoning the otherwise bland potato mixture.  I also add a little Worchestershire sauce to the meat mix so it tastes more like steak and not a meatball.  I spread barbeque sauce or catsup on the top and then drape some bacon strips on top.  Comes out moist and delicious.  A hearty one pot meal with leftovers.</t>
        </is>
      </c>
    </row>
    <row r="2359">
      <c r="A2359" s="7" t="n">
        <v>51661</v>
      </c>
      <c r="B2359" s="7" t="n">
        <v>270628</v>
      </c>
      <c r="C2359" s="7" t="n">
        <v>284922</v>
      </c>
      <c r="D2359" s="7" t="n">
        <v>155801</v>
      </c>
      <c r="E2359" s="8" t="n">
        <v>38986</v>
      </c>
      <c r="F2359" s="7" t="n">
        <v>5</v>
      </c>
      <c r="G2359" s="7" t="inlineStr">
        <is>
          <t>WOW!  I honestly could not tell you what I liked most about this cake!  The cherry pie filling was the perfect balance for the chocolate and the topping was fantastic!  We enjoyed this very much, and will definitely have it again.  Thanks so much for posting your recipe, it is fantastic :)</t>
        </is>
      </c>
    </row>
    <row r="2360">
      <c r="A2360" s="7" t="n">
        <v>16262</v>
      </c>
      <c r="B2360" s="7" t="n">
        <v>55932</v>
      </c>
      <c r="C2360" s="7" t="n">
        <v>9579</v>
      </c>
      <c r="D2360" s="7" t="n">
        <v>73450</v>
      </c>
      <c r="E2360" s="8" t="n">
        <v>38778</v>
      </c>
      <c r="F2360" s="7" t="n">
        <v>5</v>
      </c>
      <c r="G2360" s="7" t="inlineStr">
        <is>
          <t>This was very easy and fast to put together. I followed the recipe except I threw in some fresh mushrooms that I needed to use up and I used Penne instead of bow tie and it turned out great. I must say it was even better the next day. Thanks for the great recipe.</t>
        </is>
      </c>
    </row>
    <row r="2361">
      <c r="A2361" t="n">
        <v>109393</v>
      </c>
      <c r="B2361" t="n">
        <v>371758</v>
      </c>
      <c r="C2361" t="n">
        <v>228919</v>
      </c>
      <c r="D2361" t="n">
        <v>125149</v>
      </c>
      <c r="E2361" s="1" t="n">
        <v>38773</v>
      </c>
      <c r="F2361" t="n">
        <v>5</v>
      </c>
      <c r="G2361" t="inlineStr">
        <is>
          <t>This rice was GREAT.  I served it with a tasty Indian curry and I didn't like the flavors together, so be ware, it's very sweet.  I used almonds and currants this time and will try pistachios next time!</t>
        </is>
      </c>
    </row>
    <row r="2362">
      <c r="A2362" s="7" t="n">
        <v>7270</v>
      </c>
      <c r="B2362" s="7" t="n">
        <v>105510</v>
      </c>
      <c r="C2362" s="7" t="n">
        <v>128541</v>
      </c>
      <c r="D2362" s="7" t="n">
        <v>267948</v>
      </c>
      <c r="E2362" s="8" t="n">
        <v>40530</v>
      </c>
      <c r="F2362" s="7" t="n">
        <v>5</v>
      </c>
      <c r="G2362" s="7" t="inlineStr">
        <is>
          <t>These are so delicious!  At first I thought they weren't done in the middle, but have faith!  They are moist and delicious, and work perfectly.  Love that glaze, too.  Thanks for posting, Wendelina!</t>
        </is>
      </c>
    </row>
    <row r="2363">
      <c r="A2363" s="7" t="n">
        <v>56385</v>
      </c>
      <c r="B2363" s="7" t="n">
        <v>621486</v>
      </c>
      <c r="C2363" s="7" t="n">
        <v>2000907343</v>
      </c>
      <c r="D2363" s="7" t="n">
        <v>389459</v>
      </c>
      <c r="E2363" s="8" t="n">
        <v>42435</v>
      </c>
      <c r="F2363" s="7" t="n">
        <v>5</v>
      </c>
      <c r="G2363" s="7" t="inlineStr">
        <is>
          <t>These little spicy treats are amazing and always a hit. I have passed along this recipe to quite a few friends and they love it as well&amp;lt;3 Thanks for sharing. Please add more if you have any:)</t>
        </is>
      </c>
    </row>
    <row r="2364">
      <c r="A2364" s="7" t="n">
        <v>85514</v>
      </c>
      <c r="B2364" s="7" t="n">
        <v>265944</v>
      </c>
      <c r="C2364" s="7" t="n">
        <v>1968337</v>
      </c>
      <c r="D2364" s="7" t="n">
        <v>107786</v>
      </c>
      <c r="E2364" s="8" t="n">
        <v>40816</v>
      </c>
      <c r="F2364" s="7" t="n">
        <v>5</v>
      </c>
      <c r="G2364" s="7" t="inlineStr">
        <is>
          <t>Thanks for sharing!wonderful:::</t>
        </is>
      </c>
    </row>
    <row r="2365">
      <c r="A2365" s="7" t="n">
        <v>91741</v>
      </c>
      <c r="B2365" s="7" t="n">
        <v>344510</v>
      </c>
      <c r="C2365" s="7" t="n">
        <v>2124484</v>
      </c>
      <c r="D2365" s="7" t="n">
        <v>222188</v>
      </c>
      <c r="E2365" s="8" t="n">
        <v>41169</v>
      </c>
      <c r="F2365" s="7" t="n">
        <v>5</v>
      </c>
      <c r="G2365" s="7" t="inlineStr">
        <is>
          <t>Very good. Made in my kitchenaid mixer tonight after a sudden sweet tooth had me craving cupcakes. I halved the recipe because I only made 6 cupcakes. I found that I had to add 3 times as much milk to get it to the right consistency.. no big deal.</t>
        </is>
      </c>
    </row>
    <row r="2366" ht="409.5" customHeight="1">
      <c r="A2366" s="7" t="n">
        <v>108345</v>
      </c>
      <c r="B2366" s="7" t="n">
        <v>983719</v>
      </c>
      <c r="C2366" s="7" t="n">
        <v>52543</v>
      </c>
      <c r="D2366" s="7" t="n">
        <v>50575</v>
      </c>
      <c r="E2366" s="8" t="n">
        <v>38610</v>
      </c>
      <c r="F2366" s="7" t="n">
        <v>5</v>
      </c>
      <c r="G2366" s="9" t="inlineStr">
        <is>
          <t>Definitely a winner in my books - one of the most enjoyable chicken dishes I've ever eaten! I was sceptical about the dried currants but I bought a small amount from a bulk food store &amp; was pleasantly surprised how they added to the flavour. My husband (the "breast man") liked this so much that he didn't even complain that I used thighs (LOL)!_x000D_
I will make this again soon &amp; I'll be serving at my next dinner party._x000D_
Thanx Martha!</t>
        </is>
      </c>
    </row>
    <row r="2367">
      <c r="A2367" s="7" t="n">
        <v>116857</v>
      </c>
      <c r="B2367" s="7" t="n">
        <v>892833</v>
      </c>
      <c r="C2367" s="7" t="n">
        <v>292868</v>
      </c>
      <c r="D2367" s="7" t="n">
        <v>214907</v>
      </c>
      <c r="E2367" s="8" t="n">
        <v>39152</v>
      </c>
      <c r="F2367" s="7" t="n">
        <v>4</v>
      </c>
      <c r="G2367" s="7" t="inlineStr">
        <is>
          <t>Delicious pie.  I will use the "extra servings" graham cracker pie next time.</t>
        </is>
      </c>
    </row>
    <row r="2368">
      <c r="A2368" s="7" t="n">
        <v>91234</v>
      </c>
      <c r="B2368" s="7" t="n">
        <v>372116</v>
      </c>
      <c r="C2368" s="7" t="n">
        <v>68357</v>
      </c>
      <c r="D2368" s="7" t="n">
        <v>60853</v>
      </c>
      <c r="E2368" s="8" t="n">
        <v>37747</v>
      </c>
      <c r="F2368" s="7" t="n">
        <v>4</v>
      </c>
      <c r="G2368" s="7" t="inlineStr">
        <is>
          <t>I followed the recipe exactly.  The walnuts were nice and crispy, a little spicy, but a little bitter, too.  I think the cardamon was the culprit, as it overpowered the cumin and cayenne.  To me, these were not hot.</t>
        </is>
      </c>
    </row>
    <row r="2369">
      <c r="A2369" s="7" t="n">
        <v>94973</v>
      </c>
      <c r="B2369" s="7" t="n">
        <v>39014</v>
      </c>
      <c r="C2369" s="7" t="n">
        <v>175492</v>
      </c>
      <c r="D2369" s="7" t="n">
        <v>170022</v>
      </c>
      <c r="E2369" s="8" t="n">
        <v>38882</v>
      </c>
      <c r="F2369" s="7" t="n">
        <v>5</v>
      </c>
      <c r="G2369" s="7" t="inlineStr">
        <is>
          <t>Giving this cake 5 stars and wishing I could give more.  Used Grandmaof1's Fruit Cocktail Cake Icing recipe#7062 w/o the pecans or coconut.  This cake probably just fine w/o the icing as it is moist and very chocolaty, but even better with.  Thank you for sharing this excellent recipe with us.</t>
        </is>
      </c>
    </row>
    <row r="2370">
      <c r="A2370" s="7" t="n">
        <v>74964</v>
      </c>
      <c r="B2370" s="7" t="n">
        <v>772590</v>
      </c>
      <c r="C2370" s="7" t="n">
        <v>288218</v>
      </c>
      <c r="D2370" s="7" t="n">
        <v>135339</v>
      </c>
      <c r="E2370" s="8" t="n">
        <v>38900</v>
      </c>
      <c r="F2370" s="7" t="n">
        <v>5</v>
      </c>
      <c r="G2370" s="7" t="inlineStr">
        <is>
          <t>A great appetizer. I cut the pears in thin slices and lay next to them, the perorino also in slices. We enjoyed so much with a cold glass of white whine. That deserves more than 5 stars Lori!</t>
        </is>
      </c>
    </row>
    <row r="2371">
      <c r="A2371" s="7" t="n">
        <v>108786</v>
      </c>
      <c r="B2371" s="7" t="n">
        <v>1065007</v>
      </c>
      <c r="C2371" s="7" t="n">
        <v>383687</v>
      </c>
      <c r="D2371" s="7" t="n">
        <v>55600</v>
      </c>
      <c r="E2371" s="8" t="n">
        <v>39034</v>
      </c>
      <c r="F2371" s="7" t="n">
        <v>5</v>
      </c>
      <c r="G2371" s="7" t="inlineStr">
        <is>
          <t xml:space="preserve">A fabulous, fool proof recipe!!  The lamb was delicious, the onion was sweet and the juices made a beautiful gravy.  Thanks for sharing such an easy and delicious recipe.  </t>
        </is>
      </c>
    </row>
    <row r="2372">
      <c r="A2372" s="7" t="n">
        <v>10384</v>
      </c>
      <c r="B2372" s="7" t="n">
        <v>246674</v>
      </c>
      <c r="C2372" s="7" t="n">
        <v>2000832977</v>
      </c>
      <c r="D2372" s="7" t="n">
        <v>115110</v>
      </c>
      <c r="E2372" s="8" t="n">
        <v>42862</v>
      </c>
      <c r="F2372" s="7" t="n">
        <v>0</v>
      </c>
      <c r="G2372" s="7" t="inlineStr">
        <is>
          <t>If it has a crust it is not a Frittata it's a Quiche</t>
        </is>
      </c>
    </row>
    <row r="2373">
      <c r="A2373" s="7" t="n">
        <v>54807</v>
      </c>
      <c r="B2373" s="7" t="n">
        <v>1123602</v>
      </c>
      <c r="C2373" s="7" t="n">
        <v>231834</v>
      </c>
      <c r="D2373" s="7" t="n">
        <v>57679</v>
      </c>
      <c r="E2373" s="8" t="n">
        <v>38711</v>
      </c>
      <c r="F2373" s="7" t="n">
        <v>5</v>
      </c>
      <c r="G2373" s="7" t="inlineStr">
        <is>
          <t>This is my favorite Key Lime Pie - and I have tried a lot!  I really like it with a gingersnap crust -- takes it to another level. Thanks for the great pie</t>
        </is>
      </c>
    </row>
    <row r="2374">
      <c r="A2374" s="7" t="n">
        <v>93519</v>
      </c>
      <c r="B2374" s="7" t="n">
        <v>689897</v>
      </c>
      <c r="C2374" s="7" t="n">
        <v>210361</v>
      </c>
      <c r="D2374" s="7" t="n">
        <v>22390</v>
      </c>
      <c r="E2374" s="8" t="n">
        <v>38476</v>
      </c>
      <c r="F2374" s="7" t="n">
        <v>3</v>
      </c>
      <c r="G2374" s="7" t="inlineStr">
        <is>
          <t xml:space="preserve">It was My first time using a Crockpot and the experience went well We found that the meat needed more seasoning I think the next time I will marinate the loin 1 or 2 days in the fridge and then follow the recipe as is </t>
        </is>
      </c>
    </row>
    <row r="2375">
      <c r="A2375" s="7" t="n">
        <v>1976</v>
      </c>
      <c r="B2375" s="7" t="n">
        <v>577738</v>
      </c>
      <c r="C2375" s="7" t="n">
        <v>86318</v>
      </c>
      <c r="D2375" s="7" t="n">
        <v>70271</v>
      </c>
      <c r="E2375" s="8" t="n">
        <v>38153</v>
      </c>
      <c r="F2375" s="7" t="n">
        <v>4</v>
      </c>
      <c r="G2375" s="7" t="inlineStr">
        <is>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is>
      </c>
    </row>
    <row r="2376">
      <c r="A2376" s="7" t="n">
        <v>34110</v>
      </c>
      <c r="B2376" s="7" t="n">
        <v>1033198</v>
      </c>
      <c r="C2376" s="7" t="n">
        <v>278113</v>
      </c>
      <c r="D2376" s="7" t="n">
        <v>48401</v>
      </c>
      <c r="E2376" s="8" t="n">
        <v>38991</v>
      </c>
      <c r="F2376" s="7" t="n">
        <v>5</v>
      </c>
      <c r="G2376" s="7" t="inlineStr">
        <is>
          <t>WOW! Made this yesterday for a mexican party, and it was a huge success!! I did have to use the smuckers caramel, and although it was fabulous I  will try to find the cajeta for next time, out of curiosity! When I poured in the flan mixture, it did not pour on top, it went right into the cake mix, and I thought I ruined it. How surprised I was when I unmolded the cake to see that it did indeed seperate into two layers, and look amazing!! Thanks for sharing this great recipe. It is a showstopper...</t>
        </is>
      </c>
    </row>
    <row r="2377">
      <c r="A2377" s="7" t="n">
        <v>117532</v>
      </c>
      <c r="B2377" s="7" t="n">
        <v>247950</v>
      </c>
      <c r="C2377" s="7" t="n">
        <v>158086</v>
      </c>
      <c r="D2377" s="7" t="n">
        <v>215414</v>
      </c>
      <c r="E2377" s="8" t="n">
        <v>39882</v>
      </c>
      <c r="F2377" s="7" t="n">
        <v>5</v>
      </c>
      <c r="G2377" s="7" t="inlineStr">
        <is>
          <t>This was very well recieved at my Sunday Dinner, but I had to cook it longer to soften up the potatoes..though I did add extra potatoes...tasted great</t>
        </is>
      </c>
    </row>
    <row r="2378">
      <c r="A2378" s="7" t="n">
        <v>59920</v>
      </c>
      <c r="B2378" s="7" t="n">
        <v>836137</v>
      </c>
      <c r="C2378" s="7" t="n">
        <v>343641</v>
      </c>
      <c r="D2378" s="7" t="n">
        <v>186605</v>
      </c>
      <c r="E2378" s="8" t="n">
        <v>40632</v>
      </c>
      <c r="F2378" s="7" t="n">
        <v>5</v>
      </c>
      <c r="G2378" s="7" t="inlineStr">
        <is>
          <t>This recipe is a winner!  soooo good they will be gone with the wind!</t>
        </is>
      </c>
    </row>
    <row r="2379">
      <c r="A2379" s="7" t="n">
        <v>51575</v>
      </c>
      <c r="B2379" s="7" t="n">
        <v>302835</v>
      </c>
      <c r="C2379" s="7" t="n">
        <v>464080</v>
      </c>
      <c r="D2379" s="7" t="n">
        <v>362826</v>
      </c>
      <c r="E2379" s="8" t="n">
        <v>40008</v>
      </c>
      <c r="F2379" s="7" t="n">
        <v>4</v>
      </c>
      <c r="G2379" s="7" t="inlineStr">
        <is>
          <t>My first time cooking lentils. . .and I love my crock pot so this was fun.  I made the recipe as written.  My lentils were not done after 7 hours on low, so I then kicked it up to high for 2 more hours and that did the trick.  The problem then was that the meal had that all too familiar "crock pot" taste.  The sour cream is a great addition to the flavor of the lentils, so don't leave that part out.  Made for Aus/NZ Recipe Swap #30.</t>
        </is>
      </c>
    </row>
    <row r="2380">
      <c r="A2380" s="7" t="n">
        <v>30498</v>
      </c>
      <c r="B2380" s="7" t="n">
        <v>729673</v>
      </c>
      <c r="C2380" s="7" t="n">
        <v>2352152</v>
      </c>
      <c r="D2380" s="7" t="n">
        <v>303819</v>
      </c>
      <c r="E2380" s="8" t="n">
        <v>41125</v>
      </c>
      <c r="F2380" s="7" t="n">
        <v>0</v>
      </c>
      <c r="G2380" s="7" t="inlineStr">
        <is>
          <t>What a great salad!! I made the recipe for 9, using 1.5 cups of fat free Mayo &amp; then 1/4 cup of fat free Ranch dressing as well. I put in an extra Tbsp of pickle juice too. It's a garlicky salad, but SO much better than store salads. I agree it would be great with red potatoes. Doing it in the microwave was really a breeze!!</t>
        </is>
      </c>
    </row>
    <row r="2381">
      <c r="A2381" s="7" t="n">
        <v>30039</v>
      </c>
      <c r="B2381" s="7" t="n">
        <v>732022</v>
      </c>
      <c r="C2381" s="7" t="n">
        <v>581712</v>
      </c>
      <c r="D2381" s="7" t="n">
        <v>51235</v>
      </c>
      <c r="E2381" s="8" t="n">
        <v>39733</v>
      </c>
      <c r="F2381" s="7" t="n">
        <v>5</v>
      </c>
      <c r="G2381" s="7" t="inlineStr">
        <is>
          <t>Magnificent!</t>
        </is>
      </c>
    </row>
    <row r="2382">
      <c r="A2382" s="7" t="n">
        <v>7934</v>
      </c>
      <c r="B2382" s="7" t="n">
        <v>448540</v>
      </c>
      <c r="C2382" s="7" t="n">
        <v>527886</v>
      </c>
      <c r="D2382" s="7" t="n">
        <v>247657</v>
      </c>
      <c r="E2382" s="8" t="n">
        <v>39963</v>
      </c>
      <c r="F2382" s="7" t="n">
        <v>5</v>
      </c>
      <c r="G2382" s="7" t="inlineStr">
        <is>
          <t>Nice fluffy pancakes, with an elegant taste.</t>
        </is>
      </c>
    </row>
    <row r="2383">
      <c r="A2383" s="7" t="n">
        <v>30269</v>
      </c>
      <c r="B2383" s="7" t="n">
        <v>168324</v>
      </c>
      <c r="C2383" s="7" t="n">
        <v>39835</v>
      </c>
      <c r="D2383" s="7" t="n">
        <v>163204</v>
      </c>
      <c r="E2383" s="8" t="n">
        <v>38866</v>
      </c>
      <c r="F2383" s="7" t="n">
        <v>5</v>
      </c>
      <c r="G2383" s="7" t="inlineStr">
        <is>
          <t>Delicious! We prepared it in the morning and grilled it on the barbeque for supper (I omited the pepper flakes but followed everything else to a T). Tender and very flavorful! We served this with Grilled Fingerling Potatoes recipe#161542 and salad!</t>
        </is>
      </c>
    </row>
    <row r="2384" ht="409.5" customHeight="1">
      <c r="A2384" s="7" t="n">
        <v>123358</v>
      </c>
      <c r="B2384" s="7" t="n">
        <v>655970</v>
      </c>
      <c r="C2384" s="7" t="n">
        <v>29014</v>
      </c>
      <c r="D2384" s="7" t="n">
        <v>27208</v>
      </c>
      <c r="E2384" s="8" t="n">
        <v>37427</v>
      </c>
      <c r="F2384" s="7" t="n">
        <v>5</v>
      </c>
      <c r="G2384" s="9" t="inlineStr">
        <is>
          <t>Excellent, easy, and worry-free!  Followed the recipe as shown, but used only 1/2 of the Italian salad dressing package, as advised.  I saved the other half package for the next time I make this, because there WILL be a next time!  And I just used a plain ol' pot roast._x000D_
Thanks!</t>
        </is>
      </c>
    </row>
    <row r="2385">
      <c r="A2385" s="7" t="n">
        <v>86674</v>
      </c>
      <c r="B2385" s="7" t="n">
        <v>181024</v>
      </c>
      <c r="C2385" s="7" t="n">
        <v>306797</v>
      </c>
      <c r="D2385" s="7" t="n">
        <v>218316</v>
      </c>
      <c r="E2385" s="8" t="n">
        <v>39758</v>
      </c>
      <c r="F2385" s="7" t="n">
        <v>5</v>
      </c>
      <c r="G2385" s="7" t="inlineStr">
        <is>
          <t>Great cookies that were easy to make.  I used dark chocolate chips &amp; macadamia nut pieces - perfect combination.  Everyone loved them.  Thanks for sharing this keeper.</t>
        </is>
      </c>
    </row>
    <row r="2386">
      <c r="A2386" s="7" t="n">
        <v>94583</v>
      </c>
      <c r="B2386" s="7" t="n">
        <v>1071045</v>
      </c>
      <c r="C2386" s="7" t="n">
        <v>1535</v>
      </c>
      <c r="D2386" s="7" t="n">
        <v>261828</v>
      </c>
      <c r="E2386" s="8" t="n">
        <v>39605</v>
      </c>
      <c r="F2386" s="7" t="n">
        <v>3</v>
      </c>
      <c r="G2386" s="7" t="inlineStr">
        <is>
          <t>I was trying to find a LF alternative to nuts, and since I love hummus, I thought I'd try these. I baked mine for 45 minutes and they were still a little soft inside. I also didn't think you could taste the garlic. They were good, but not great.</t>
        </is>
      </c>
    </row>
    <row r="2387">
      <c r="A2387" s="7" t="n">
        <v>88175</v>
      </c>
      <c r="B2387" s="7" t="n">
        <v>518717</v>
      </c>
      <c r="C2387" s="7" t="n">
        <v>169850</v>
      </c>
      <c r="D2387" s="7" t="n">
        <v>54715</v>
      </c>
      <c r="E2387" s="8" t="n">
        <v>38506</v>
      </c>
      <c r="F2387" s="7" t="n">
        <v>5</v>
      </c>
      <c r="G2387" s="7" t="inlineStr">
        <is>
          <t>Loved it - I was on my own &amp; needed something for dinner. This was so perfect, very simple to prepare.  I just love sweet &amp; spicy. I doubled the recipe except for the chili flakes.  I found two tbsp of chili flakes was too much - next time I'll try one tbsp. Thank you</t>
        </is>
      </c>
    </row>
    <row r="2388">
      <c r="A2388" s="7" t="n">
        <v>111026</v>
      </c>
      <c r="B2388" s="7" t="n">
        <v>335752</v>
      </c>
      <c r="C2388" s="7" t="n">
        <v>42062</v>
      </c>
      <c r="D2388" s="7" t="n">
        <v>80968</v>
      </c>
      <c r="E2388" s="8" t="n">
        <v>38053</v>
      </c>
      <c r="F2388" s="7" t="n">
        <v>3</v>
      </c>
      <c r="G2388" s="7" t="inlineStr">
        <is>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is>
      </c>
    </row>
    <row r="2389">
      <c r="A2389" s="7" t="n">
        <v>101085</v>
      </c>
      <c r="B2389" s="7" t="n">
        <v>356897</v>
      </c>
      <c r="C2389" s="7" t="n">
        <v>1264070</v>
      </c>
      <c r="D2389" s="7" t="n">
        <v>42603</v>
      </c>
      <c r="E2389" s="8" t="n">
        <v>41229</v>
      </c>
      <c r="F2389" s="7" t="n">
        <v>4</v>
      </c>
      <c r="G2389" s="7" t="inlineStr">
        <is>
          <t>I love all things ranch dressing so naturally I had to try this recipe. I am so glad that I did! And even better is that hubby (who is less than trilled when I make chicken for dinner) liked it too! Success! Thank you!</t>
        </is>
      </c>
    </row>
    <row r="2390">
      <c r="A2390" s="7" t="n">
        <v>117083</v>
      </c>
      <c r="B2390" s="7" t="n">
        <v>858256</v>
      </c>
      <c r="C2390" s="7" t="n">
        <v>79946</v>
      </c>
      <c r="D2390" s="7" t="n">
        <v>94356</v>
      </c>
      <c r="E2390" s="8" t="n">
        <v>38550</v>
      </c>
      <c r="F2390" s="7" t="n">
        <v>0</v>
      </c>
      <c r="G2390" s="7" t="inlineStr">
        <is>
          <t>I make this type of omelette with the indian extra add-ins also...love the chilis and the garam masala..</t>
        </is>
      </c>
    </row>
    <row r="2391">
      <c r="A2391" s="7" t="n">
        <v>50542</v>
      </c>
      <c r="B2391" s="7" t="n">
        <v>349434</v>
      </c>
      <c r="C2391" s="7" t="n">
        <v>41578</v>
      </c>
      <c r="D2391" s="7" t="n">
        <v>177127</v>
      </c>
      <c r="E2391" s="8" t="n">
        <v>40281</v>
      </c>
      <c r="F2391" s="7" t="n">
        <v>5</v>
      </c>
      <c r="G2391" s="7" t="inlineStr">
        <is>
          <t>Oh my....we loved the combination of the dressing  ingredients for the cabbage.  Don't you just love the old favorites that have been in the family for years...simple ingredients yet full of flavor.  This is a keeper, Miss Annie, thanks for sharing it.</t>
        </is>
      </c>
    </row>
    <row r="2392">
      <c r="A2392" s="7" t="n">
        <v>58181</v>
      </c>
      <c r="B2392" s="7" t="n">
        <v>51452</v>
      </c>
      <c r="C2392" s="7" t="n">
        <v>536127</v>
      </c>
      <c r="D2392" s="7" t="n">
        <v>97632</v>
      </c>
      <c r="E2392" s="8" t="n">
        <v>40351</v>
      </c>
      <c r="F2392" s="7" t="n">
        <v>5</v>
      </c>
      <c r="G2392" s="7" t="inlineStr">
        <is>
          <t>If you use all purpose flour and want a light and airy texture add 1 tsp of vital gluten for every cup of flour or buy bread flour, then the rolls won't be so dense, as well letting them rise longer will give an airy texture.</t>
        </is>
      </c>
    </row>
    <row r="2393">
      <c r="A2393" s="7" t="n">
        <v>105159</v>
      </c>
      <c r="B2393" s="7" t="n">
        <v>1099659</v>
      </c>
      <c r="C2393" s="7" t="n">
        <v>149363</v>
      </c>
      <c r="D2393" s="7" t="n">
        <v>494369</v>
      </c>
      <c r="E2393" s="8" t="n">
        <v>41304</v>
      </c>
      <c r="F2393" s="7" t="n">
        <v>5</v>
      </c>
      <c r="G2393" s="7" t="inlineStr">
        <is>
          <t>This was delicious, we had it for a late lunch today. I love the mix of spinach and iceberg lettuce, it makes for a crunchier salad, and the bacon mixed with the ranch dressing just sent it over the top! Yummy, thanks Rita! &lt;3</t>
        </is>
      </c>
    </row>
    <row r="2394">
      <c r="A2394" s="7" t="n">
        <v>75603</v>
      </c>
      <c r="B2394" s="7" t="n">
        <v>95646</v>
      </c>
      <c r="C2394" s="7" t="n">
        <v>585476</v>
      </c>
      <c r="D2394" s="7" t="n">
        <v>68918</v>
      </c>
      <c r="E2394" s="8" t="n">
        <v>40050</v>
      </c>
      <c r="F2394" s="7" t="n">
        <v>5</v>
      </c>
      <c r="G2394" s="7" t="inlineStr">
        <is>
          <t>I used the whole half pint of cream in the scones and divided the dough into four piles to press in the berries.  Shaped each into a square of about 5" X 5".  They grew while baking.  Then, for the glaze, I used 4 T of butter, 1/3 cup orange juice, zest of one orange and about 2 cups of powdered sugar.  I nuked the butter and orange juice until the butter was melted.  Then, whisked in the sugar (without sifting).  I nuked it an additional 2 minutes.  Then, added the zest.  There were no lumps and it had thickened.  I drizzled the glaze over the scones and they were delish.</t>
        </is>
      </c>
    </row>
    <row r="2395">
      <c r="A2395" s="7" t="n">
        <v>107811</v>
      </c>
      <c r="B2395" s="7" t="n">
        <v>691975</v>
      </c>
      <c r="C2395" s="7" t="n">
        <v>163986</v>
      </c>
      <c r="D2395" s="7" t="n">
        <v>119990</v>
      </c>
      <c r="E2395" s="8" t="n">
        <v>39196</v>
      </c>
      <c r="F2395" s="7" t="n">
        <v>5</v>
      </c>
      <c r="G2395" s="7" t="inlineStr">
        <is>
          <t>Thank you Sharon for this wonderful rice pudding recipe.  I have never added heavy cream to one after it comes out of the oven, but I did as I was told and it was sooooo tasty.  We couldn't wait to sample it, so we had a big bowl BEFORE supper.  We both loved it--nice flavor and the cream---ohhhhh! It just floated in and out of the rice.  Yummy!</t>
        </is>
      </c>
    </row>
    <row r="2396">
      <c r="A2396" s="7" t="n">
        <v>34749</v>
      </c>
      <c r="B2396" s="7" t="n">
        <v>891</v>
      </c>
      <c r="C2396" s="7" t="n">
        <v>693345</v>
      </c>
      <c r="D2396" s="7" t="n">
        <v>291490</v>
      </c>
      <c r="E2396" s="8" t="n">
        <v>40350</v>
      </c>
      <c r="F2396" s="7" t="n">
        <v>5</v>
      </c>
      <c r="G2396" s="7" t="inlineStr">
        <is>
          <t>These are excellent! I took these to a BBQ yesterday, and there wasn't a crumb left. I had actually gotten this recipe in a Cooking Light ad flyer in the mail, and no one could believe it when I told them they were from Cooking Light! The flyer says to bake the brownie layer for 28 minutes, so that's what I did, and they were perfect. I also just used 4 eggs instead of 2 eggs and the egg substitute. After I spread the mint layer on, I stuck the pan in the fridge while I prepared the chocolate layer, because I didn't want the mint and chocolate to swirl together. I actually cut this into 32 squares, which was good, because they are still so sweet, even for being lighter. Several people asked for the recipe. Thanks for posting this!</t>
        </is>
      </c>
    </row>
    <row r="2397">
      <c r="A2397" s="7" t="n">
        <v>10411</v>
      </c>
      <c r="B2397" s="7" t="n">
        <v>436937</v>
      </c>
      <c r="C2397" s="7" t="n">
        <v>244595</v>
      </c>
      <c r="D2397" s="7" t="n">
        <v>100626</v>
      </c>
      <c r="E2397" s="8" t="n">
        <v>39959</v>
      </c>
      <c r="F2397" s="7" t="n">
        <v>5</v>
      </c>
      <c r="G2397" s="7" t="inlineStr">
        <is>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is>
      </c>
    </row>
    <row r="2398">
      <c r="A2398" s="7" t="n">
        <v>115955</v>
      </c>
      <c r="B2398" s="7" t="n">
        <v>847220</v>
      </c>
      <c r="C2398" s="7" t="n">
        <v>209747</v>
      </c>
      <c r="D2398" s="7" t="n">
        <v>164259</v>
      </c>
      <c r="E2398" s="8" t="n">
        <v>39766</v>
      </c>
      <c r="F2398" s="7" t="n">
        <v>5</v>
      </c>
      <c r="G2398" s="7" t="inlineStr">
        <is>
          <t>Wow oh WOW oh WOW! This drink is totally yummy! I have no clue how I missed this one but it seems that I have overlooked this gem! Better late than never I guess. I thought this drink was gonna be over the top strong because there is so much vodka in relation to the other liqueurs but this balances very nicely into one smooth cocktail of deliciousness. Kim and Rita are right! MINE ALL MINE! Thanks for an awesome recipe beautiful!</t>
        </is>
      </c>
    </row>
    <row r="2399" ht="405" customHeight="1">
      <c r="A2399" s="7" t="n">
        <v>103601</v>
      </c>
      <c r="B2399" s="7" t="n">
        <v>103902</v>
      </c>
      <c r="C2399" s="7" t="n">
        <v>78808</v>
      </c>
      <c r="D2399" s="7" t="n">
        <v>110043</v>
      </c>
      <c r="E2399" s="8" t="n">
        <v>38553</v>
      </c>
      <c r="F2399" s="7" t="n">
        <v>5</v>
      </c>
      <c r="G2399" s="9" t="inlineStr">
        <is>
          <t>This was a delicious way to enjoy spinach.  Next time I plan to include Camp Chef Eileen's suggestion of topping with a few toasted sliced almonds.  Otherwise, no changes necessary.  _x000D_
Dianne</t>
        </is>
      </c>
    </row>
    <row r="2400">
      <c r="A2400" s="7" t="n">
        <v>75584</v>
      </c>
      <c r="B2400" s="7" t="n">
        <v>1031950</v>
      </c>
      <c r="C2400" s="7" t="n">
        <v>6357</v>
      </c>
      <c r="D2400" s="7" t="n">
        <v>66789</v>
      </c>
      <c r="E2400" s="8" t="n">
        <v>37828</v>
      </c>
      <c r="F2400" s="7" t="n">
        <v>5</v>
      </c>
      <c r="G2400" s="7" t="inlineStr">
        <is>
          <t>Wow! I've never tasted anything quite like this (so flavourful!)and I just fell in love with this with the very first baby sip I took! Thank you, this is just GREAT!</t>
        </is>
      </c>
    </row>
    <row r="2401">
      <c r="A2401" s="7" t="n">
        <v>30109</v>
      </c>
      <c r="B2401" s="7" t="n">
        <v>108109</v>
      </c>
      <c r="C2401" s="7" t="n">
        <v>865936</v>
      </c>
      <c r="D2401" s="7" t="n">
        <v>311573</v>
      </c>
      <c r="E2401" s="8" t="n">
        <v>41773</v>
      </c>
      <c r="F2401" s="7" t="n">
        <v>4</v>
      </c>
      <c r="G2401" s="7" t="inlineStr">
        <is>
          <t>This are a nice, simple basic muffin recipe.  I made the blueberry variation and my husband really loved it!  I also used those extra large muffin tins and only got 4 muffins.  I don&amp;#039;t think this would make 10 regular sized muffins, but I could be wrong.  The batter tasted very sweet to me, but the finished product was not overly sweet.  Made for the Variety Event in the Contest/Events forum.</t>
        </is>
      </c>
    </row>
    <row r="2402" ht="409.5" customHeight="1">
      <c r="A2402" s="7" t="n">
        <v>28125</v>
      </c>
      <c r="B2402" s="7" t="n">
        <v>1077523</v>
      </c>
      <c r="C2402" s="7" t="n">
        <v>1180535</v>
      </c>
      <c r="D2402" s="7" t="n">
        <v>80541</v>
      </c>
      <c r="E2402" s="8" t="n">
        <v>40036</v>
      </c>
      <c r="F2402" s="7" t="n">
        <v>5</v>
      </c>
      <c r="G2402" s="9" t="inlineStr">
        <is>
          <t>Umm.....holy #^&amp;@# this is ridiculously good. It is spot-on for comstock apple-pie filling sauce (I love this stuff), but the quality is as if you were to order it at a 5-star restaurant.
I combined this with my grandmother's old cinnamon doughnut recipe to use as a base/crust. 
I then made a very traditional streusel topping of (1C Flour + 1C Brown Sugar + 5TB Shortening +2tsp cinnamon +1 tsp nutmeg).
Baked it for maybe 15M to get it crispy
I then added 2 scoops of vanilla bean ice cream and drizzled some of the left over-sauce (There is plenty, as the other reviewers said.) Needless to say, it was a A+ material for sure.</t>
        </is>
      </c>
    </row>
    <row r="2403">
      <c r="A2403" s="7" t="n">
        <v>77876</v>
      </c>
      <c r="B2403" s="7" t="n">
        <v>17313</v>
      </c>
      <c r="C2403" s="7" t="n">
        <v>625696</v>
      </c>
      <c r="D2403" s="7" t="n">
        <v>17031</v>
      </c>
      <c r="E2403" s="8" t="n">
        <v>39983</v>
      </c>
      <c r="F2403" s="7" t="n">
        <v>5</v>
      </c>
      <c r="G2403" s="7" t="inlineStr">
        <is>
          <t>I can't believe I didn't rate this when I made it.  This was AWESOME!!!!!  So easy, and a huge hit at a party.  I served in a bread bowl with bread cubes &amp; crackers.  Fantastic!!!  Would give more stars if I could.</t>
        </is>
      </c>
    </row>
    <row r="2404">
      <c r="A2404" s="7" t="n">
        <v>77223</v>
      </c>
      <c r="B2404" s="7" t="n">
        <v>285741</v>
      </c>
      <c r="C2404" s="7" t="n">
        <v>521640</v>
      </c>
      <c r="D2404" s="7" t="n">
        <v>54475</v>
      </c>
      <c r="E2404" s="8" t="n">
        <v>39324</v>
      </c>
      <c r="F2404" s="7" t="n">
        <v>5</v>
      </c>
      <c r="G2404" s="7" t="inlineStr">
        <is>
          <t>my husband made this for his parents who are from Germany and Finland.  they raved about how good it was, something they don't do much.  thanks for sharing this!</t>
        </is>
      </c>
    </row>
    <row r="2405">
      <c r="A2405" s="7" t="n">
        <v>14968</v>
      </c>
      <c r="B2405" s="7" t="n">
        <v>624622</v>
      </c>
      <c r="C2405" s="7" t="n">
        <v>200655</v>
      </c>
      <c r="D2405" s="7" t="n">
        <v>133326</v>
      </c>
      <c r="E2405" s="8" t="n">
        <v>38937</v>
      </c>
      <c r="F2405" s="7" t="n">
        <v>5</v>
      </c>
      <c r="G2405" s="7" t="inlineStr">
        <is>
          <t>Very good, but makes ALOT!!  Thanks!!</t>
        </is>
      </c>
    </row>
    <row r="2406">
      <c r="A2406" s="7" t="n">
        <v>122211</v>
      </c>
      <c r="B2406" s="7" t="n">
        <v>971286</v>
      </c>
      <c r="C2406" s="7" t="n">
        <v>424680</v>
      </c>
      <c r="D2406" s="7" t="n">
        <v>325546</v>
      </c>
      <c r="E2406" s="8" t="n">
        <v>39755</v>
      </c>
      <c r="F2406" s="7" t="n">
        <v>5</v>
      </c>
      <c r="G2406" s="7" t="inlineStr">
        <is>
          <t>Since I like iced tea, I don't often care how cold it is outside! Even made some of the fancy ice cubes just to see how that would work out, &amp; I tell you, I really enjoyed the nice fruity taste of this tea! With the indicated ice cubes &amp; the treatment of the serving glasses (which I didn't do this time around!), it'd be fit for serving very special company! Thanks for a great keeper! [Tagged, made &amp; reviewed in Beverage Tag]</t>
        </is>
      </c>
    </row>
    <row r="2407">
      <c r="A2407" s="7" t="n">
        <v>18108</v>
      </c>
      <c r="B2407" s="7" t="n">
        <v>892562</v>
      </c>
      <c r="C2407" s="7" t="n">
        <v>724516</v>
      </c>
      <c r="D2407" s="7" t="n">
        <v>211001</v>
      </c>
      <c r="E2407" s="8" t="n">
        <v>39554</v>
      </c>
      <c r="F2407" s="7" t="n">
        <v>5</v>
      </c>
      <c r="G2407" s="7" t="inlineStr">
        <is>
          <t>We absolutely loved this and just couldn't wait to eat it. We had it with home made scottish oatcakes, cheddar cheese, and side salad, for lunch. A friend gave me a big bag of onions as they were starting to shoot, so I will be making more and it might last over the summer. (dont think so ) I did'nt change a thing it was very good as it was  Thanks for a great storecupboard goody French Tart.</t>
        </is>
      </c>
    </row>
    <row r="2408" ht="409.5" customHeight="1">
      <c r="A2408" s="7" t="n">
        <v>116895</v>
      </c>
      <c r="B2408" s="7" t="n">
        <v>1071547</v>
      </c>
      <c r="C2408" s="7" t="n">
        <v>241882</v>
      </c>
      <c r="D2408" s="7" t="n">
        <v>145573</v>
      </c>
      <c r="E2408" s="8" t="n">
        <v>38676</v>
      </c>
      <c r="F2408" s="7" t="n">
        <v>5</v>
      </c>
      <c r="G2408" s="9" t="inlineStr">
        <is>
          <t>I ran across this recipe while looking for items for a Fri. after Thanksgiving brunch. OMG!! This one is definately 1st on the list. It is wonderful. My_x000D_
H said this his favorite breakfast yet. I already plan to have it Christmas morning This doesn't even count the fact that it is soooo easy.  Thanks so much for posting this GEM.</t>
        </is>
      </c>
    </row>
    <row r="2409">
      <c r="A2409" s="7" t="n">
        <v>76700</v>
      </c>
      <c r="B2409" s="7" t="n">
        <v>803037</v>
      </c>
      <c r="C2409" s="7" t="n">
        <v>112818</v>
      </c>
      <c r="D2409" s="7" t="n">
        <v>246597</v>
      </c>
      <c r="E2409" s="8" t="n">
        <v>39310</v>
      </c>
      <c r="F2409" s="7" t="n">
        <v>0</v>
      </c>
      <c r="G2409" s="7" t="inlineStr">
        <is>
          <t>Sorry, but there are too many carbs &amp; too many sugars for diabetics. Just look at the nutrition facts listed.</t>
        </is>
      </c>
    </row>
    <row r="2410">
      <c r="A2410" s="7" t="n">
        <v>94996</v>
      </c>
      <c r="B2410" s="7" t="n">
        <v>1065799</v>
      </c>
      <c r="C2410" s="7" t="n">
        <v>35414</v>
      </c>
      <c r="D2410" s="7" t="n">
        <v>13707</v>
      </c>
      <c r="E2410" s="8" t="n">
        <v>37417</v>
      </c>
      <c r="F2410" s="7" t="n">
        <v>4</v>
      </c>
      <c r="G2410" s="7" t="inlineStr">
        <is>
          <t>Nice, sticky wings! I took someone's advice and cut down on the soya sauce (to 3/4 cup)...still had great flavor. I agree with you about the aroma, Lennie...out of this world! Thanks. M&amp;Mers</t>
        </is>
      </c>
    </row>
    <row r="2411">
      <c r="A2411" s="7" t="n">
        <v>3068</v>
      </c>
      <c r="B2411" s="7" t="n">
        <v>591208</v>
      </c>
      <c r="C2411" s="7" t="n">
        <v>80353</v>
      </c>
      <c r="D2411" s="7" t="n">
        <v>181572</v>
      </c>
      <c r="E2411" s="8" t="n">
        <v>41904</v>
      </c>
      <c r="F2411" s="7" t="n">
        <v>5</v>
      </c>
      <c r="G2411" s="7" t="inlineStr">
        <is>
          <t>A delicious take on the traditional Caprese.</t>
        </is>
      </c>
    </row>
    <row r="2412">
      <c r="A2412" t="n">
        <v>60873</v>
      </c>
      <c r="B2412" t="n">
        <v>620976</v>
      </c>
      <c r="C2412" t="n">
        <v>373018</v>
      </c>
      <c r="D2412" t="n">
        <v>74629</v>
      </c>
      <c r="E2412" s="1" t="n">
        <v>40489</v>
      </c>
      <c r="F2412" t="n">
        <v>3</v>
      </c>
      <c r="G2412" t="inlineStr">
        <is>
          <t>This is pretty good, a little on the bland side but could be spiced up a bit, definitely needs salt.  Will probably make again with more spices, it's cheap, easy and good for you too!  :)</t>
        </is>
      </c>
    </row>
    <row r="2413">
      <c r="A2413" s="7" t="n">
        <v>16065</v>
      </c>
      <c r="B2413" s="7" t="n">
        <v>799075</v>
      </c>
      <c r="C2413" s="7" t="n">
        <v>424680</v>
      </c>
      <c r="D2413" s="7" t="n">
        <v>281764</v>
      </c>
      <c r="E2413" s="8" t="n">
        <v>40833</v>
      </c>
      <c r="F2413" s="7" t="n">
        <v>5</v>
      </c>
      <c r="G2413" s="7" t="inlineStr">
        <is>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is>
      </c>
    </row>
    <row r="2414">
      <c r="A2414" s="7" t="n">
        <v>125711</v>
      </c>
      <c r="B2414" s="7" t="n">
        <v>299867</v>
      </c>
      <c r="C2414" s="7" t="n">
        <v>27643</v>
      </c>
      <c r="D2414" s="7" t="n">
        <v>76491</v>
      </c>
      <c r="E2414" s="8" t="n">
        <v>38412</v>
      </c>
      <c r="F2414" s="7" t="n">
        <v>4</v>
      </c>
      <c r="G2414" s="7" t="inlineStr">
        <is>
          <t>Very good. Easy to make, and quick too. If you like intense chocolate flavor this is the one. Thanks Chris!</t>
        </is>
      </c>
    </row>
    <row r="2415">
      <c r="A2415" s="7" t="n">
        <v>91923</v>
      </c>
      <c r="B2415" s="7" t="n">
        <v>237873</v>
      </c>
      <c r="C2415" s="7" t="n">
        <v>1908928</v>
      </c>
      <c r="D2415" s="7" t="n">
        <v>144129</v>
      </c>
      <c r="E2415" s="8" t="n">
        <v>40939</v>
      </c>
      <c r="F2415" s="7" t="n">
        <v>5</v>
      </c>
      <c r="G2415" s="7" t="inlineStr">
        <is>
          <t>This dish is so flavourful.  I followed exactly to the recipe but I did not cook it for 1 hour because I doesn't have the time.  I only cooked it for about 20 (excluding the time for browning the chicken). It turns out very tasty and delicious too.  Will make this again and again.  Thanks for sharing.</t>
        </is>
      </c>
    </row>
    <row r="2416">
      <c r="A2416" s="7" t="n">
        <v>2424</v>
      </c>
      <c r="B2416" s="7" t="n">
        <v>1072032</v>
      </c>
      <c r="C2416" s="7" t="n">
        <v>231671</v>
      </c>
      <c r="D2416" s="7" t="n">
        <v>145573</v>
      </c>
      <c r="E2416" s="8" t="n">
        <v>38753</v>
      </c>
      <c r="F2416" s="7" t="n">
        <v>5</v>
      </c>
      <c r="G2416" s="7" t="inlineStr">
        <is>
          <t>I have been making these for years and they are always a hit. I have cut down on the sugar, used Splenda, used 1/3 fat cream cheese...whatever I have on hand...and we've never been disappointed. I pinch the rolls together to make a more solid crust. These are delicious.</t>
        </is>
      </c>
    </row>
    <row r="2417">
      <c r="A2417" s="7" t="n">
        <v>58782</v>
      </c>
      <c r="B2417" s="7" t="n">
        <v>940040</v>
      </c>
      <c r="C2417" s="7" t="n">
        <v>723192</v>
      </c>
      <c r="D2417" s="7" t="n">
        <v>47195</v>
      </c>
      <c r="E2417" s="8" t="n">
        <v>39725</v>
      </c>
      <c r="F2417" s="7" t="n">
        <v>5</v>
      </c>
      <c r="G2417" s="7" t="inlineStr">
        <is>
          <t>I can't believe how tasty and crisp these turned out, and how simple to make!  I used a vegetable peeler to slice the potatoes thin. Thank you!</t>
        </is>
      </c>
    </row>
    <row r="2418">
      <c r="A2418" s="7" t="n">
        <v>86700</v>
      </c>
      <c r="B2418" s="7" t="n">
        <v>365106</v>
      </c>
      <c r="C2418" s="7" t="n">
        <v>424680</v>
      </c>
      <c r="D2418" s="7" t="n">
        <v>322923</v>
      </c>
      <c r="E2418" s="8" t="n">
        <v>39700</v>
      </c>
      <c r="F2418" s="7" t="n">
        <v>5</v>
      </c>
      <c r="G2418" s="7" t="inlineStr">
        <is>
          <t>This was A GREAT DIP that I included with a handful of others for company this past weekend! The only thing I changed was to use lemon pepper instead of the called for S&amp;P, but that's just a presonal preference of mine! Thanks for the recipe ~ I'll be making it again soon! [Tagged, made &amp; reviewed in Please Review My Recipe]</t>
        </is>
      </c>
    </row>
    <row r="2419">
      <c r="A2419" s="7" t="n">
        <v>78048</v>
      </c>
      <c r="B2419" s="7" t="n">
        <v>1070284</v>
      </c>
      <c r="C2419" s="7" t="n">
        <v>2000305496</v>
      </c>
      <c r="D2419" s="7" t="n">
        <v>82985</v>
      </c>
      <c r="E2419" s="8" t="n">
        <v>43319</v>
      </c>
      <c r="F2419" s="7" t="n">
        <v>5</v>
      </c>
      <c r="G2419" s="7" t="inlineStr">
        <is>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is>
      </c>
    </row>
    <row r="2420">
      <c r="A2420" s="7" t="n">
        <v>74029</v>
      </c>
      <c r="B2420" s="7" t="n">
        <v>631672</v>
      </c>
      <c r="C2420" s="7" t="n">
        <v>280166</v>
      </c>
      <c r="D2420" s="7" t="n">
        <v>116322</v>
      </c>
      <c r="E2420" s="8" t="n">
        <v>39055</v>
      </c>
      <c r="F2420" s="7" t="n">
        <v>5</v>
      </c>
      <c r="G2420" s="7" t="inlineStr">
        <is>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is>
      </c>
    </row>
    <row r="2421">
      <c r="A2421" s="7" t="n">
        <v>38458</v>
      </c>
      <c r="B2421" s="7" t="n">
        <v>611967</v>
      </c>
      <c r="C2421" s="7" t="n">
        <v>843891</v>
      </c>
      <c r="D2421" s="7" t="n">
        <v>238994</v>
      </c>
      <c r="E2421" s="8" t="n">
        <v>39996</v>
      </c>
      <c r="F2421" s="7" t="n">
        <v>5</v>
      </c>
      <c r="G2421" s="7" t="inlineStr">
        <is>
          <t>Fantastic!  So easy to make, and amazingly yummy.</t>
        </is>
      </c>
    </row>
    <row r="2422">
      <c r="A2422" s="7" t="n">
        <v>44328</v>
      </c>
      <c r="B2422" s="7" t="n">
        <v>668924</v>
      </c>
      <c r="C2422" s="7" t="n">
        <v>945248</v>
      </c>
      <c r="D2422" s="7" t="n">
        <v>131206</v>
      </c>
      <c r="E2422" s="8" t="n">
        <v>40267</v>
      </c>
      <c r="F2422" s="7" t="n">
        <v>5</v>
      </c>
      <c r="G2422" s="7" t="inlineStr">
        <is>
          <t>We loved everything about these delicious muffins.  They were gone in no time, and everyone asked me to make them again soon!  I loved the apples and nuts.  What a great change for breakfast, or anytime for that matter!</t>
        </is>
      </c>
    </row>
    <row r="2423">
      <c r="A2423" s="7" t="n">
        <v>84047</v>
      </c>
      <c r="B2423" s="7" t="n">
        <v>2147</v>
      </c>
      <c r="C2423" s="7" t="n">
        <v>56734</v>
      </c>
      <c r="D2423" s="7" t="n">
        <v>161887</v>
      </c>
      <c r="E2423" s="8" t="n">
        <v>38949</v>
      </c>
      <c r="F2423" s="7" t="n">
        <v>4</v>
      </c>
      <c r="G2423" s="7" t="inlineStr">
        <is>
          <t xml:space="preserve">Made this on a weekend when it was raining out.  It was great! </t>
        </is>
      </c>
    </row>
    <row r="2424">
      <c r="A2424" s="7" t="n">
        <v>76617</v>
      </c>
      <c r="B2424" s="7" t="n">
        <v>345514</v>
      </c>
      <c r="C2424" s="7" t="n">
        <v>1181635</v>
      </c>
      <c r="D2424" s="7" t="n">
        <v>9736</v>
      </c>
      <c r="E2424" s="8" t="n">
        <v>40193</v>
      </c>
      <c r="F2424" s="7" t="n">
        <v>5</v>
      </c>
      <c r="G2424" s="7" t="inlineStr">
        <is>
          <t>I included this recipe in a Christmas brunch.  I used jalapeno velveta cheese in stead of the regular velveeta.  Everyone took seconds!</t>
        </is>
      </c>
    </row>
    <row r="2425">
      <c r="A2425" s="7" t="n">
        <v>5179</v>
      </c>
      <c r="B2425" s="7" t="n">
        <v>888082</v>
      </c>
      <c r="C2425" s="7" t="n">
        <v>325318</v>
      </c>
      <c r="D2425" s="7" t="n">
        <v>78151</v>
      </c>
      <c r="E2425" s="8" t="n">
        <v>39404</v>
      </c>
      <c r="F2425" s="7" t="n">
        <v>5</v>
      </c>
      <c r="G2425" s="7" t="inlineStr">
        <is>
          <t>Excellent. I didn't have coriander, so I just left it out and it was still excellent.  I'm about to make it for the second time for guests&gt;</t>
        </is>
      </c>
    </row>
    <row r="2426">
      <c r="A2426" s="7" t="n">
        <v>112874</v>
      </c>
      <c r="B2426" s="7" t="n">
        <v>104280</v>
      </c>
      <c r="C2426" s="7" t="n">
        <v>344231</v>
      </c>
      <c r="D2426" s="7" t="n">
        <v>97469</v>
      </c>
      <c r="E2426" s="8" t="n">
        <v>39812</v>
      </c>
      <c r="F2426" s="7" t="n">
        <v>5</v>
      </c>
      <c r="G2426" s="7" t="inlineStr">
        <is>
          <t>Delightful recipe which brought back some great foodie memories.  Very nice!  Thanks</t>
        </is>
      </c>
    </row>
    <row r="2427" ht="285" customHeight="1">
      <c r="A2427" s="7" t="n">
        <v>122157</v>
      </c>
      <c r="B2427" s="7" t="n">
        <v>291802</v>
      </c>
      <c r="C2427" s="7" t="n">
        <v>27443</v>
      </c>
      <c r="D2427" s="7" t="n">
        <v>20689</v>
      </c>
      <c r="E2427" s="8" t="n">
        <v>39098</v>
      </c>
      <c r="F2427" s="7" t="n">
        <v>5</v>
      </c>
      <c r="G2427" s="9" t="inlineStr">
        <is>
          <t>This is so good, I had only used Muenster cheese on sandwiches, melted it is mmmmmm, mmmmmmm good!_x000D_
Thanks for sharing</t>
        </is>
      </c>
    </row>
    <row r="2428">
      <c r="A2428" s="7" t="n">
        <v>44053</v>
      </c>
      <c r="B2428" s="7" t="n">
        <v>614524</v>
      </c>
      <c r="C2428" s="7" t="n">
        <v>695933</v>
      </c>
      <c r="D2428" s="7" t="n">
        <v>250615</v>
      </c>
      <c r="E2428" s="8" t="n">
        <v>41345</v>
      </c>
      <c r="F2428" s="7" t="n">
        <v>4</v>
      </c>
      <c r="G2428" s="7" t="inlineStr">
        <is>
          <t>I do like the Rum Cake</t>
        </is>
      </c>
    </row>
    <row r="2429">
      <c r="A2429" s="7" t="n">
        <v>119181</v>
      </c>
      <c r="B2429" s="7" t="n">
        <v>1125690</v>
      </c>
      <c r="C2429" s="7" t="n">
        <v>242205</v>
      </c>
      <c r="D2429" s="7" t="n">
        <v>325571</v>
      </c>
      <c r="E2429" s="8" t="n">
        <v>40090</v>
      </c>
      <c r="F2429" s="7" t="n">
        <v>5</v>
      </c>
      <c r="G2429" s="7" t="inlineStr">
        <is>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is>
      </c>
    </row>
    <row r="2430">
      <c r="A2430" s="7" t="n">
        <v>60474</v>
      </c>
      <c r="B2430" s="7" t="n">
        <v>469066</v>
      </c>
      <c r="C2430" s="7" t="n">
        <v>220348</v>
      </c>
      <c r="D2430" s="7" t="n">
        <v>393970</v>
      </c>
      <c r="E2430" s="8" t="n">
        <v>40289</v>
      </c>
      <c r="F2430" s="7" t="n">
        <v>5</v>
      </c>
      <c r="G2430" s="7" t="inlineStr">
        <is>
          <t>It was so nice and warm yesterday and today, that I made this twice. It's so good! Definetely will have more during the summer.</t>
        </is>
      </c>
    </row>
    <row r="2431">
      <c r="A2431" s="7" t="n">
        <v>6758</v>
      </c>
      <c r="B2431" s="7" t="n">
        <v>63456</v>
      </c>
      <c r="C2431" s="7" t="n">
        <v>431813</v>
      </c>
      <c r="D2431" s="7" t="n">
        <v>273675</v>
      </c>
      <c r="E2431" s="8" t="n">
        <v>39571</v>
      </c>
      <c r="F2431" s="7" t="n">
        <v>5</v>
      </c>
      <c r="G2431" s="7" t="inlineStr">
        <is>
          <t>Very tasty and quick side dish!  Cranberry and orange are always a nice pairing, and it turns out they work well with carrots too.  Yummy!    Thanks Carin C.  Made for PAC Spring 2008.</t>
        </is>
      </c>
    </row>
    <row r="2432">
      <c r="A2432" s="7" t="n">
        <v>62308</v>
      </c>
      <c r="B2432" s="7" t="n">
        <v>336887</v>
      </c>
      <c r="C2432" s="7" t="n">
        <v>2002310009</v>
      </c>
      <c r="D2432" s="7" t="n">
        <v>30908</v>
      </c>
      <c r="E2432" s="8" t="n">
        <v>43396</v>
      </c>
      <c r="F2432" s="7" t="n">
        <v>5</v>
      </c>
      <c r="G2432" s="7" t="inlineStr">
        <is>
          <t>It's so good. Added a little mayo because didn't have enough sour cream for double batch. Peas, Mushrooms and Spinach. Crust on top looks fantastic. Can't wait for family to taste.</t>
        </is>
      </c>
    </row>
    <row r="2433">
      <c r="A2433" s="7" t="n">
        <v>59451</v>
      </c>
      <c r="B2433" s="7" t="n">
        <v>705155</v>
      </c>
      <c r="C2433" s="7" t="n">
        <v>1485962</v>
      </c>
      <c r="D2433" s="7" t="n">
        <v>399652</v>
      </c>
      <c r="E2433" s="8" t="n">
        <v>40163</v>
      </c>
      <c r="F2433" s="7" t="n">
        <v>5</v>
      </c>
      <c r="G2433" s="7" t="inlineStr">
        <is>
          <t>These are great my son loves them. Made them for a cookie party last year and asked to make them this year.</t>
        </is>
      </c>
    </row>
    <row r="2434">
      <c r="A2434" s="7" t="n">
        <v>8025</v>
      </c>
      <c r="B2434" s="7" t="n">
        <v>878820</v>
      </c>
      <c r="C2434" s="7" t="n">
        <v>461834</v>
      </c>
      <c r="D2434" s="7" t="n">
        <v>304102</v>
      </c>
      <c r="E2434" s="8" t="n">
        <v>39826</v>
      </c>
      <c r="F2434" s="7" t="n">
        <v>5</v>
      </c>
      <c r="G2434" s="7" t="inlineStr">
        <is>
          <t>I love fried potatoes and I use Paula Deen's house seasoning on just about everything so knew I would love this recipe.  I made these to go along with baked pork steaks and green beans and it was a perfect match.  Thanks for sharing the recipe.  Made for photo tag.</t>
        </is>
      </c>
    </row>
    <row r="2435">
      <c r="A2435" s="7" t="n">
        <v>84277</v>
      </c>
      <c r="B2435" s="7" t="n">
        <v>54236</v>
      </c>
      <c r="C2435" s="7" t="n">
        <v>88910</v>
      </c>
      <c r="D2435" s="7" t="n">
        <v>294646</v>
      </c>
      <c r="E2435" s="8" t="n">
        <v>39611</v>
      </c>
      <c r="F2435" s="7" t="n">
        <v>5</v>
      </c>
      <c r="G2435" s="7" t="inlineStr">
        <is>
          <t>Good to see a sensible vegan pancake recipes. There are plenty of these recipes around with long lists of completely unnecessary ingredients. The best way to make vegan/ eggless pancakes is simply to use no eggs but add enough liquid to obtain a suitable consistency, and a bit of baking powder. You can make almost any kind of pancake this way.</t>
        </is>
      </c>
    </row>
    <row r="2436" ht="195" customHeight="1">
      <c r="A2436" s="7" t="n">
        <v>59937</v>
      </c>
      <c r="B2436" s="7" t="n">
        <v>480484</v>
      </c>
      <c r="C2436" s="7" t="n">
        <v>667847</v>
      </c>
      <c r="D2436" s="7" t="n">
        <v>267776</v>
      </c>
      <c r="E2436" s="8" t="n">
        <v>39413</v>
      </c>
      <c r="F2436" s="7" t="n">
        <v>4</v>
      </c>
      <c r="G2436" s="9" t="inlineStr">
        <is>
          <t>My family loved this recipe they disappeared before my very eyes.
So easy to make.</t>
        </is>
      </c>
    </row>
    <row r="2437">
      <c r="A2437" s="7" t="n">
        <v>63517</v>
      </c>
      <c r="B2437" s="7" t="n">
        <v>1122972</v>
      </c>
      <c r="C2437" s="7" t="n">
        <v>242729</v>
      </c>
      <c r="D2437" s="7" t="n">
        <v>266239</v>
      </c>
      <c r="E2437" s="8" t="n">
        <v>40312</v>
      </c>
      <c r="F2437" s="7" t="n">
        <v>5</v>
      </c>
      <c r="G2437" s="7" t="inlineStr">
        <is>
          <t>I grew up with marmite soldiers Tis darlink, but we will pass that by for now! Made with your kind gift of vegemite and 7 cereal bread. A great and classic brekkie for a marmite lover and now a vegemite lover! Malcolm was envious of my little soldiers and insisted I made him some.......being a bit of a Germaine Greer, (not really!) I told him to make his own! He gave them a big thumbs up too! Made for the recipe swap in the Oz/NZ forum and the Home Style cooking event in Photos. Merci, FS :-)</t>
        </is>
      </c>
    </row>
    <row r="2438">
      <c r="A2438" s="7" t="n">
        <v>12644</v>
      </c>
      <c r="B2438" s="7" t="n">
        <v>662819</v>
      </c>
      <c r="C2438" s="7" t="n">
        <v>1063977</v>
      </c>
      <c r="D2438" s="7" t="n">
        <v>2803</v>
      </c>
      <c r="E2438" s="8" t="n">
        <v>40015</v>
      </c>
      <c r="F2438" s="7" t="n">
        <v>5</v>
      </c>
      <c r="G2438" s="7" t="inlineStr">
        <is>
          <t>Wonderful!!  I love the flavor of this dish.  It's totally worth the time to make it!  I halved the recipe and it still worked great.  I wasn't sure how long to bake it or on what temperature so I kind of guessed.  I baked it about 15 minutes on 350 and then increased the temperature to 400 for a little while.</t>
        </is>
      </c>
    </row>
    <row r="2439">
      <c r="A2439" s="7" t="n">
        <v>106078</v>
      </c>
      <c r="B2439" s="7" t="n">
        <v>539915</v>
      </c>
      <c r="C2439" s="7" t="n">
        <v>589729</v>
      </c>
      <c r="D2439" s="7" t="n">
        <v>139718</v>
      </c>
      <c r="E2439" s="8" t="n">
        <v>39446</v>
      </c>
      <c r="F2439" s="7" t="n">
        <v>5</v>
      </c>
      <c r="G2439" s="7" t="inlineStr">
        <is>
          <t>Good Dahl. I made this as directed and served it a couple of times with various curries. I also froze some and used it about 2 months later and it was still great. Thanks for the posting. I highly recommend this recipe.</t>
        </is>
      </c>
    </row>
    <row r="2440">
      <c r="A2440" s="7" t="n">
        <v>58120</v>
      </c>
      <c r="B2440" s="7" t="n">
        <v>228248</v>
      </c>
      <c r="C2440" s="7" t="n">
        <v>442988</v>
      </c>
      <c r="D2440" s="7" t="n">
        <v>21047</v>
      </c>
      <c r="E2440" s="8" t="n">
        <v>39779</v>
      </c>
      <c r="F2440" s="7" t="n">
        <v>5</v>
      </c>
      <c r="G2440" s="7" t="inlineStr">
        <is>
          <t>Wonderful pie!  I loved the flavor of it -- the bit of molasses made it a perfect New England Thanksgiving dessert.  I have to laugh, though; I didn't notice until JUST NOW that this makes two pies, not one.  I poured the whole thing into a single pie shell and it made a spectacular -- ONE spectacular -- pie.  It took a little longer to cook, but not that much longer -- maybe ten minutes.  This is my new favorite pumpkin pie recipe!</t>
        </is>
      </c>
    </row>
    <row r="2441">
      <c r="A2441" s="7" t="n">
        <v>82391</v>
      </c>
      <c r="B2441" s="7" t="n">
        <v>312456</v>
      </c>
      <c r="C2441" s="7" t="n">
        <v>2001667998</v>
      </c>
      <c r="D2441" s="7" t="n">
        <v>378778</v>
      </c>
      <c r="E2441" s="8" t="n">
        <v>42959</v>
      </c>
      <c r="F2441" s="7" t="n">
        <v>5</v>
      </c>
      <c r="G2441" s="7" t="inlineStr">
        <is>
          <t>Best chocolate chip cookie recipe ever! I remember as a young girl buying the Betty Crocker recipe book that came in a binder. I baked these cookies for my children when they were young. the only thing that I did differently was add an extra 1/2 cup of flour and a teaspoon of baking powder. Cookies always came out nice thick and chewy!</t>
        </is>
      </c>
    </row>
    <row r="2442">
      <c r="A2442" s="7" t="n">
        <v>38383</v>
      </c>
      <c r="B2442" s="7" t="n">
        <v>483651</v>
      </c>
      <c r="C2442" s="7" t="n">
        <v>315565</v>
      </c>
      <c r="D2442" s="7" t="n">
        <v>437715</v>
      </c>
      <c r="E2442" s="8" t="n">
        <v>40941</v>
      </c>
      <c r="F2442" s="7" t="n">
        <v>5</v>
      </c>
      <c r="G2442" s="7" t="inlineStr">
        <is>
          <t>I scaled this back serve 4 though if I had made the recipe as written for 16 I could well have eaten all it alone with no problems. It is a gorgeous cake. Mine was a lot "flatter" than the pic shown but that is probably due to making a smaller version. As I was out of sultanas and raisins I used half a jar of fruit mince as my dried fruit and 2 huge apples and this really made a delicious dessert</t>
        </is>
      </c>
    </row>
    <row r="2443">
      <c r="A2443" s="7" t="n">
        <v>3591</v>
      </c>
      <c r="B2443" s="7" t="n">
        <v>714688</v>
      </c>
      <c r="C2443" s="7" t="n">
        <v>82616</v>
      </c>
      <c r="D2443" s="7" t="n">
        <v>94643</v>
      </c>
      <c r="E2443" s="8" t="n">
        <v>38489</v>
      </c>
      <c r="F2443" s="7" t="n">
        <v>5</v>
      </c>
      <c r="G2443" s="7" t="inlineStr">
        <is>
          <t>I made these potatoes tonight along with carla's chicken dish recipe#3284 and they were both wonderful.</t>
        </is>
      </c>
    </row>
    <row r="2444">
      <c r="A2444" s="7" t="n">
        <v>54998</v>
      </c>
      <c r="B2444" s="7" t="n">
        <v>203830</v>
      </c>
      <c r="C2444" s="7" t="n">
        <v>1139501</v>
      </c>
      <c r="D2444" s="7" t="n">
        <v>83789</v>
      </c>
      <c r="E2444" s="8" t="n">
        <v>41819</v>
      </c>
      <c r="F2444" s="7" t="n">
        <v>0</v>
      </c>
      <c r="G2444" s="7" t="inlineStr">
        <is>
          <t>Only used 3/4 cup of sugar, 3 cups of strawberries and only 1 1/2 cup of rhubarb</t>
        </is>
      </c>
    </row>
    <row r="2445">
      <c r="A2445" s="7" t="n">
        <v>24708</v>
      </c>
      <c r="B2445" s="7" t="n">
        <v>316395</v>
      </c>
      <c r="C2445" s="7" t="n">
        <v>98063</v>
      </c>
      <c r="D2445" s="7" t="n">
        <v>183232</v>
      </c>
      <c r="E2445" s="8" t="n">
        <v>39632</v>
      </c>
      <c r="F2445" s="7" t="n">
        <v>4</v>
      </c>
      <c r="G2445" s="7" t="inlineStr">
        <is>
          <t>I like this quite a lot, though I found it a bit too sweet as it was. I added some miso paste and was very happy with the end result. (Ate it with brown rice.) Thanks for sharing!</t>
        </is>
      </c>
    </row>
    <row r="2446">
      <c r="A2446" s="7" t="n">
        <v>57963</v>
      </c>
      <c r="B2446" s="7" t="n">
        <v>269497</v>
      </c>
      <c r="C2446" s="7" t="n">
        <v>1637413</v>
      </c>
      <c r="D2446" s="7" t="n">
        <v>376156</v>
      </c>
      <c r="E2446" s="8" t="n">
        <v>41190</v>
      </c>
      <c r="F2446" s="7" t="n">
        <v>5</v>
      </c>
      <c r="G2446" s="7" t="inlineStr">
        <is>
          <t>I love it! Have been making it for the last three years...I also add mushroom and garlic to steak chopped up to little pieces for the filling so delicious thanks for posting!</t>
        </is>
      </c>
    </row>
    <row r="2447">
      <c r="A2447" s="7" t="n">
        <v>113230</v>
      </c>
      <c r="B2447" s="7" t="n">
        <v>781441</v>
      </c>
      <c r="C2447" s="7" t="n">
        <v>104295</v>
      </c>
      <c r="D2447" s="7" t="n">
        <v>16692</v>
      </c>
      <c r="E2447" s="8" t="n">
        <v>38202</v>
      </c>
      <c r="F2447" s="7" t="n">
        <v>3</v>
      </c>
      <c r="G2447" s="7" t="inlineStr">
        <is>
          <t>I really wanted to love this.  Really I did.  I tasted all the fruit before I put it in (except the cranberries), and the end product was bitter.  Really bitter.  I don't know how I went wrong!?  It was edible with lots and lots of ice cream, but I'm not sure what to do with all that is left.  I may try to add some more sugar or something.  I will try this again and hope that maybe I just got bad fruit...because I love the idea of this recipe.  I'm so sorry!</t>
        </is>
      </c>
    </row>
    <row r="2448">
      <c r="A2448" s="7" t="n">
        <v>19752</v>
      </c>
      <c r="B2448" s="7" t="n">
        <v>1103549</v>
      </c>
      <c r="C2448" s="7" t="n">
        <v>199848</v>
      </c>
      <c r="D2448" s="7" t="n">
        <v>429772</v>
      </c>
      <c r="E2448" s="8" t="n">
        <v>40348</v>
      </c>
      <c r="F2448" s="7" t="n">
        <v>5</v>
      </c>
      <c r="G2448" s="7" t="inlineStr">
        <is>
          <t>I am a big fan of leeks and I really loved this simply-prepared side dish.   Browned butter makes any veggie taste like candy and this is no exception.    I made this just as written and thought it was fabulous.  Thanx for a new leek recipe!</t>
        </is>
      </c>
    </row>
    <row r="2449">
      <c r="A2449" s="7" t="n">
        <v>4248</v>
      </c>
      <c r="B2449" s="7" t="n">
        <v>48027</v>
      </c>
      <c r="C2449" s="7" t="n">
        <v>2002155884</v>
      </c>
      <c r="D2449" s="7" t="n">
        <v>345232</v>
      </c>
      <c r="E2449" s="8" t="n">
        <v>43237</v>
      </c>
      <c r="F2449" s="7" t="n">
        <v>5</v>
      </c>
      <c r="G2449" s="7" t="inlineStr">
        <is>
          <t>This recipe was great! I didn’t change a thing. The corn dogs were crispy and sweet!</t>
        </is>
      </c>
    </row>
    <row r="2450">
      <c r="A2450" s="7" t="n">
        <v>104671</v>
      </c>
      <c r="B2450" s="7" t="n">
        <v>657126</v>
      </c>
      <c r="C2450" s="7" t="n">
        <v>1683623</v>
      </c>
      <c r="D2450" s="7" t="n">
        <v>27208</v>
      </c>
      <c r="E2450" s="8" t="n">
        <v>40434</v>
      </c>
      <c r="F2450" s="7" t="n">
        <v>5</v>
      </c>
      <c r="G2450" s="7" t="inlineStr">
        <is>
          <t>I made this for my husband (who is NOT a roast fan) and 3 boys. I used an arm roast and added baby carrots and about 8-10 red potatoes cut in half. I also used a can of low sodium beef broth instead of water and only used 1/2 the packet of ranch dressing. There were NO leftovers ! I will definately make it again !</t>
        </is>
      </c>
    </row>
    <row r="2451">
      <c r="A2451" s="7" t="n">
        <v>49132</v>
      </c>
      <c r="B2451" s="7" t="n">
        <v>699838</v>
      </c>
      <c r="C2451" s="7" t="n">
        <v>53959</v>
      </c>
      <c r="D2451" s="7" t="n">
        <v>207877</v>
      </c>
      <c r="E2451" s="8" t="n">
        <v>39126</v>
      </c>
      <c r="F2451" s="7" t="n">
        <v>5</v>
      </c>
      <c r="G2451" s="7" t="inlineStr">
        <is>
          <t>This was really good. I used chicken tenders and followed the direction exactly. I made it to go with a hawaiian type stuffing and they went together perfectly.</t>
        </is>
      </c>
    </row>
    <row r="2452">
      <c r="A2452" s="7" t="n">
        <v>97325</v>
      </c>
      <c r="B2452" s="7" t="n">
        <v>498596</v>
      </c>
      <c r="C2452" s="7" t="n">
        <v>910726</v>
      </c>
      <c r="D2452" s="7" t="n">
        <v>440739</v>
      </c>
      <c r="E2452" s="8" t="n">
        <v>40489</v>
      </c>
      <c r="F2452" s="7" t="n">
        <v>4</v>
      </c>
      <c r="G2452" s="7" t="inlineStr">
        <is>
          <t>I enjoyed this although I did use 1/2 white vinegar and 1/2 balsamic, also added a few more spices to the dressing. I know but couldnt leave well enough alone...tasty, would make again but not quite 5 star...&lt;br/&gt;Good luck and thanks.</t>
        </is>
      </c>
    </row>
    <row r="2453">
      <c r="A2453" s="7" t="n">
        <v>64758</v>
      </c>
      <c r="B2453" s="7" t="n">
        <v>968493</v>
      </c>
      <c r="C2453" s="7" t="n">
        <v>930100</v>
      </c>
      <c r="D2453" s="7" t="n">
        <v>467385</v>
      </c>
      <c r="E2453" s="8" t="n">
        <v>40858</v>
      </c>
      <c r="F2453" s="7" t="n">
        <v>4</v>
      </c>
      <c r="G2453" s="7" t="inlineStr">
        <is>
          <t>I couldn't find a can of mixed beans so i used all black beans.  The mixture held together well so I made the burger size.  I will make again sometime :)</t>
        </is>
      </c>
    </row>
    <row r="2454">
      <c r="A2454" s="7" t="n">
        <v>112620</v>
      </c>
      <c r="B2454" s="7" t="n">
        <v>752685</v>
      </c>
      <c r="C2454" s="7" t="n">
        <v>1197229</v>
      </c>
      <c r="D2454" s="7" t="n">
        <v>330664</v>
      </c>
      <c r="E2454" s="8" t="n">
        <v>40275</v>
      </c>
      <c r="F2454" s="7" t="n">
        <v>5</v>
      </c>
      <c r="G2454" s="7" t="inlineStr">
        <is>
          <t>Love it. Super easy and delish. We've added various veggies to the dish as well (bell peppers or green beans). Thanks for sharing!</t>
        </is>
      </c>
    </row>
    <row r="2455">
      <c r="A2455" s="7" t="n">
        <v>113052</v>
      </c>
      <c r="B2455" s="7" t="n">
        <v>547043</v>
      </c>
      <c r="C2455" s="7" t="n">
        <v>169430</v>
      </c>
      <c r="D2455" s="7" t="n">
        <v>338453</v>
      </c>
      <c r="E2455" s="8" t="n">
        <v>39807</v>
      </c>
      <c r="F2455" s="7" t="n">
        <v>5</v>
      </c>
      <c r="G2455" s="7" t="inlineStr">
        <is>
          <t>Where do I start? First I think that I need to say that this is without doubt the very best roast chicken I have ever made or eaten anywhere! I decided to make this for Christmas dinner back in Nov and kept looking at the recipe on and off for that month wondering what I'd gotten myself into. Christmas rolled around and as it was tagged for Photo Tag there was nothing for it but to forge ahead and I did. It is a lot easier than I had anticipated! ok, it takes awhile but most of that time is spent waiting. As my bird was still semi frozen on Christmas Eve I had to apply the salt crust early on Christmas morning and find a place for it back in the fridge. It sat there for 8 hours. I was quite surprised at how the crust clings to the chicken and found that to remove it all (if you wanted to) you would need to rinse it off. It took no time to apply the seasoning that was ready and waiting and there is nothing to cutting an onion and lemon in half and stuffing them inside. About the onion and lemon, I was truly amazed at how they flavored every bit of the chicken. I didn't try the drumstick but the pieces of breast and thigh that I tried were fully flavored, incredibly moist and tender. Every bite was your dream chicken dinner come true! I could not have chosen a better recipe for Christmas Dinner nor can I praise this highly enough. I just wish that I could give it 10 stars. Made for Santa's Secret in Photo Tag.</t>
        </is>
      </c>
    </row>
    <row r="2456">
      <c r="A2456" s="7" t="n">
        <v>30975</v>
      </c>
      <c r="B2456" s="7" t="n">
        <v>285887</v>
      </c>
      <c r="C2456" s="7" t="n">
        <v>101376</v>
      </c>
      <c r="D2456" s="7" t="n">
        <v>169770</v>
      </c>
      <c r="E2456" s="8" t="n">
        <v>38942</v>
      </c>
      <c r="F2456" s="7" t="n">
        <v>4</v>
      </c>
      <c r="G2456" s="7" t="inlineStr">
        <is>
          <t>Very good hot chocolate recipe! I go to an Amish Bulk store and get "black cocoa" ... very dark ... very good ;)  Made the recipe exactly as stated , loved the flavor that heating the cinammon sticks with the milk adds!! Thanks for a great hot cocoa recipe!</t>
        </is>
      </c>
    </row>
    <row r="2457">
      <c r="A2457" s="7" t="n">
        <v>66462</v>
      </c>
      <c r="B2457" s="7" t="n">
        <v>829730</v>
      </c>
      <c r="C2457" s="7" t="n">
        <v>772912</v>
      </c>
      <c r="D2457" s="7" t="n">
        <v>48494</v>
      </c>
      <c r="E2457" s="8" t="n">
        <v>39741</v>
      </c>
      <c r="F2457" s="7" t="n">
        <v>4</v>
      </c>
      <c r="G2457" s="7" t="inlineStr">
        <is>
          <t>What a great idea to bake these! Loved the concept and the flavor was nice. However, mine did stick to the pan (yes, I sprayed it well) and only browned on one side. I will definitely try making these again.</t>
        </is>
      </c>
    </row>
    <row r="2458">
      <c r="A2458" s="7" t="n">
        <v>90433</v>
      </c>
      <c r="B2458" s="7" t="n">
        <v>824048</v>
      </c>
      <c r="C2458" s="7" t="n">
        <v>182878</v>
      </c>
      <c r="D2458" s="7" t="n">
        <v>78814</v>
      </c>
      <c r="E2458" s="8" t="n">
        <v>39488</v>
      </c>
      <c r="F2458" s="7" t="n">
        <v>5</v>
      </c>
      <c r="G2458" s="7" t="inlineStr">
        <is>
          <t>Wow! This is the ultimate comfort food. It took a little time to make, but the end results were definately worth it. Used green onions, which added a nice touch of color. A keeper!</t>
        </is>
      </c>
    </row>
    <row r="2459">
      <c r="A2459" s="7" t="n">
        <v>56663</v>
      </c>
      <c r="B2459" s="7" t="n">
        <v>1064559</v>
      </c>
      <c r="C2459" s="7" t="n">
        <v>1800094038</v>
      </c>
      <c r="D2459" s="7" t="n">
        <v>265481</v>
      </c>
      <c r="E2459" s="8" t="n">
        <v>41548</v>
      </c>
      <c r="F2459" s="7" t="n">
        <v>0</v>
      </c>
      <c r="G2459" s="7" t="inlineStr">
        <is>
          <t>Omg this was truely amazing and Very tastey ! Thank you for posting :)</t>
        </is>
      </c>
    </row>
    <row r="2460" ht="409.5" customHeight="1">
      <c r="A2460" s="7" t="n">
        <v>19987</v>
      </c>
      <c r="B2460" s="7" t="n">
        <v>1012014</v>
      </c>
      <c r="C2460" s="7" t="n">
        <v>1426364</v>
      </c>
      <c r="D2460" s="7" t="n">
        <v>135753</v>
      </c>
      <c r="E2460" s="8" t="n">
        <v>40131</v>
      </c>
      <c r="F2460" s="7" t="n">
        <v>5</v>
      </c>
      <c r="G2460" s="9" t="inlineStr">
        <is>
          <t>This was really good!
I actually used the chicken from soup, after it had been boiling for 45 min, but it into pieces and placed it in a roaster. I basted every 10 min for 30 min and it turned out really juicy and tasty.
Thanks a lot!</t>
        </is>
      </c>
    </row>
    <row r="2461">
      <c r="A2461" s="7" t="n">
        <v>68028</v>
      </c>
      <c r="B2461" s="7" t="n">
        <v>596166</v>
      </c>
      <c r="C2461" s="7" t="n">
        <v>461834</v>
      </c>
      <c r="D2461" s="7" t="n">
        <v>229419</v>
      </c>
      <c r="E2461" s="8" t="n">
        <v>39609</v>
      </c>
      <c r="F2461" s="7" t="n">
        <v>5</v>
      </c>
      <c r="G2461" s="7" t="inlineStr">
        <is>
          <t>Made this for dinner and I did do it a little different, in that I baked it with all ingredients (except sauce) covered in the oven as I already had potatoes baking.  This worked out well and then I put them on the grill and used "Montgomery Inn Barbeque Sauce".  These were just finger licking delicious!!!  Made for South/Central America Region for ZWT4.  Thanks Jim for a wonderful recipe!!!!</t>
        </is>
      </c>
    </row>
    <row r="2462">
      <c r="A2462" s="7" t="n">
        <v>67974</v>
      </c>
      <c r="B2462" s="7" t="n">
        <v>190891</v>
      </c>
      <c r="C2462" s="7" t="n">
        <v>652644</v>
      </c>
      <c r="D2462" s="7" t="n">
        <v>148864</v>
      </c>
      <c r="E2462" s="8" t="n">
        <v>39403</v>
      </c>
      <c r="F2462" s="7" t="n">
        <v>5</v>
      </c>
      <c r="G2462" s="7" t="inlineStr">
        <is>
          <t>This is like drinking dessert!</t>
        </is>
      </c>
    </row>
    <row r="2463">
      <c r="A2463" s="7" t="n">
        <v>89267</v>
      </c>
      <c r="B2463" s="7" t="n">
        <v>1093404</v>
      </c>
      <c r="C2463" s="7" t="n">
        <v>480195</v>
      </c>
      <c r="D2463" s="7" t="n">
        <v>459763</v>
      </c>
      <c r="E2463" s="8" t="n">
        <v>41127</v>
      </c>
      <c r="F2463" s="7" t="n">
        <v>5</v>
      </c>
      <c r="G2463" s="7" t="inlineStr">
        <is>
          <t>I used manuka honey to make this super healthy. It was a delicious drink I served at Sunday brunch. Thanks for sharing the recipe.</t>
        </is>
      </c>
    </row>
    <row r="2464">
      <c r="A2464" s="7" t="n">
        <v>55223</v>
      </c>
      <c r="B2464" s="7" t="n">
        <v>171582</v>
      </c>
      <c r="C2464" s="7" t="n">
        <v>166642</v>
      </c>
      <c r="D2464" s="7" t="n">
        <v>272588</v>
      </c>
      <c r="E2464" s="8" t="n">
        <v>39554</v>
      </c>
      <c r="F2464" s="7" t="n">
        <v>4</v>
      </c>
      <c r="G2464" s="7" t="inlineStr">
        <is>
          <t>This is a very tasty dish and easy to make on a busy night. I love that the cream cheese and sour cream are not noticeable in the finished product, but they add a delicious creaminess to the recipe. I did add some Italian seasoning as suggested in the introduction. It doesn't look very appetizing when putting it in the oven, but when done baking and with the added melted cheese, it looks good. My family enjoyed this as well. Thanks for sharing!</t>
        </is>
      </c>
    </row>
    <row r="2465">
      <c r="A2465" s="7" t="n">
        <v>95978</v>
      </c>
      <c r="B2465" s="7" t="n">
        <v>22163</v>
      </c>
      <c r="C2465" s="7" t="n">
        <v>248292</v>
      </c>
      <c r="D2465" s="7" t="n">
        <v>96256</v>
      </c>
      <c r="E2465" s="8" t="n">
        <v>39425</v>
      </c>
      <c r="F2465" s="7" t="n">
        <v>5</v>
      </c>
      <c r="G2465" s="7" t="inlineStr">
        <is>
          <t>Wonderful! Thank you for making my "boring" tuna salad more fun to eat. I would have never thought to mix tuna with cottage cheese but it works. I love the crunch of bell pepper and the refreshing flavor of the cucumber. I didn't have the nuts or olives but I find this salad perfect as is. I only added some freshly ground black pepper. This is a recipe I plan to make often. Thanks Countrywife for posting!</t>
        </is>
      </c>
    </row>
    <row r="2466">
      <c r="A2466" s="7" t="n">
        <v>101309</v>
      </c>
      <c r="B2466" s="7" t="n">
        <v>510396</v>
      </c>
      <c r="C2466" s="7" t="n">
        <v>130133</v>
      </c>
      <c r="D2466" s="7" t="n">
        <v>89207</v>
      </c>
      <c r="E2466" s="8" t="n">
        <v>40958</v>
      </c>
      <c r="F2466" s="7" t="n">
        <v>4</v>
      </c>
      <c r="G2466" s="7" t="inlineStr">
        <is>
          <t>I frosted some Baker's One Bowl Brownies with this recipe.  The reason I am giving it 4 stars is because I think it needed just a dash of salt.  Thanks for sharing.</t>
        </is>
      </c>
    </row>
    <row r="2467">
      <c r="A2467" s="7" t="n">
        <v>115518</v>
      </c>
      <c r="B2467" s="7" t="n">
        <v>62773</v>
      </c>
      <c r="C2467" s="7" t="n">
        <v>145352</v>
      </c>
      <c r="D2467" s="7" t="n">
        <v>434180</v>
      </c>
      <c r="E2467" s="8" t="n">
        <v>40616</v>
      </c>
      <c r="F2467" s="7" t="n">
        <v>4</v>
      </c>
      <c r="G2467" s="7" t="inlineStr">
        <is>
          <t>This came together quickly and was very pretty. Went well with our chicken. Made for PAC 2011.</t>
        </is>
      </c>
    </row>
    <row r="2468">
      <c r="A2468" s="7" t="n">
        <v>22428</v>
      </c>
      <c r="B2468" s="7" t="n">
        <v>317254</v>
      </c>
      <c r="C2468" s="7" t="n">
        <v>875884</v>
      </c>
      <c r="D2468" s="7" t="n">
        <v>23775</v>
      </c>
      <c r="E2468" s="8" t="n">
        <v>41356</v>
      </c>
      <c r="F2468" s="7" t="n">
        <v>5</v>
      </c>
      <c r="G2468" s="7" t="inlineStr">
        <is>
          <t>Winner winner, spaghetti and eggplant balls dinner!  My 5-year-old son and I made these for dinner tonight and we both agreed that they were delicious.  I used fresh onion and garlic, added a little nutritional yeast for fun, and oregano, basil, and fennel for the spices.  I did find that I needed a LOT more than 1 cup of breadcrumbs in order to get them to form, and even then they were not quite totally spherical.  They were still really tasty though, and had a good texture.  These will definitely be on our menu again!  By the way, my son insists that since they don&amp;#039;t contain meat, they should be called &amp;quot;eggplant balls&amp;quot; and not &amp;quot;eggplant meatballs&amp;quot;.  haha!</t>
        </is>
      </c>
    </row>
    <row r="2469">
      <c r="A2469" s="7" t="n">
        <v>26047</v>
      </c>
      <c r="B2469" s="7" t="n">
        <v>545387</v>
      </c>
      <c r="C2469" s="7" t="n">
        <v>237951</v>
      </c>
      <c r="D2469" s="7" t="n">
        <v>299438</v>
      </c>
      <c r="E2469" s="8" t="n">
        <v>39751</v>
      </c>
      <c r="F2469" s="7" t="n">
        <v>5</v>
      </c>
      <c r="G2469" s="7" t="inlineStr">
        <is>
          <t>Just great on a chilly fall night!  I wanted to use the whole can of pumpkin (which is 1 and 3/4 cups), so I doubled the seasonings except for the red pepper flakes.  The 1/2 tsp. was enough of that for me!  Absolutely loved it and will make again.  I served plain cooked spinach and cornbread with it.  Thanks for a wonderful recipe.</t>
        </is>
      </c>
    </row>
    <row r="2470">
      <c r="A2470" t="n">
        <v>20442</v>
      </c>
      <c r="B2470" t="n">
        <v>620988</v>
      </c>
      <c r="C2470" t="n">
        <v>1209204</v>
      </c>
      <c r="D2470" t="n">
        <v>74629</v>
      </c>
      <c r="E2470" s="1" t="n">
        <v>40604</v>
      </c>
      <c r="F2470" t="n">
        <v>4</v>
      </c>
      <c r="G2470" t="inlineStr">
        <is>
          <t>i only give a four because the cooking time and temp were off.  i cooked at 325 for 50 mins and it there was still a lot of liquid.  i continued to cook at 350 for approx 10 more mins.  i, then, added feta cheese to the top.  i also added cayenne pepper, cumin,  and more garlic powder.  it was delicious.  my daughter even ate it and she is a picky eater.  thanks for the recipe.  will try again and again with different variations (Rotel?).</t>
        </is>
      </c>
    </row>
    <row r="2471">
      <c r="A2471" s="7" t="n">
        <v>90225</v>
      </c>
      <c r="B2471" s="7" t="n">
        <v>935791</v>
      </c>
      <c r="C2471" s="7" t="n">
        <v>2000446753</v>
      </c>
      <c r="D2471" s="7" t="n">
        <v>399616</v>
      </c>
      <c r="E2471" s="8" t="n">
        <v>42334</v>
      </c>
      <c r="F2471" s="7" t="n">
        <v>5</v>
      </c>
      <c r="G2471" s="7" t="inlineStr">
        <is>
          <t>Asked the Hubs to stop on the way home for Arugula and he got spinach by mistake. Hummm.  Oh well why not  I removed the stems and wilted it slightly in a pan with a little bacon grease and a pinch of garlic powder.  All else remained the same.  This was without a doubt a happy &amp;#039;mistake&amp;#039; we will be having again.</t>
        </is>
      </c>
    </row>
    <row r="2472">
      <c r="A2472" s="7" t="n">
        <v>88833</v>
      </c>
      <c r="B2472" s="7" t="n">
        <v>1124716</v>
      </c>
      <c r="C2472" s="7" t="n">
        <v>702173</v>
      </c>
      <c r="D2472" s="7" t="n">
        <v>149265</v>
      </c>
      <c r="E2472" s="8" t="n">
        <v>39441</v>
      </c>
      <c r="F2472" s="7" t="n">
        <v>2</v>
      </c>
      <c r="G2472" s="7" t="inlineStr">
        <is>
          <t>Not what I was expecting.  It was more like chili dip when I wanted more of a cheese dip.  Only one out of my eight friends liked it.  Maybe I did something wrong?!</t>
        </is>
      </c>
    </row>
    <row r="2473">
      <c r="A2473" s="7" t="n">
        <v>86308</v>
      </c>
      <c r="B2473" s="7" t="n">
        <v>837529</v>
      </c>
      <c r="C2473" s="7" t="n">
        <v>1085836</v>
      </c>
      <c r="D2473" s="7" t="n">
        <v>338612</v>
      </c>
      <c r="E2473" s="8" t="n">
        <v>39802</v>
      </c>
      <c r="F2473" s="7" t="n">
        <v>5</v>
      </c>
      <c r="G2473" s="7" t="inlineStr">
        <is>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is>
      </c>
    </row>
    <row r="2474">
      <c r="A2474" s="7" t="n">
        <v>61574</v>
      </c>
      <c r="B2474" s="7" t="n">
        <v>656559</v>
      </c>
      <c r="C2474" s="7" t="n">
        <v>544576</v>
      </c>
      <c r="D2474" s="7" t="n">
        <v>27208</v>
      </c>
      <c r="E2474" s="8" t="n">
        <v>39296</v>
      </c>
      <c r="F2474" s="7" t="n">
        <v>5</v>
      </c>
      <c r="G2474" s="7" t="inlineStr">
        <is>
          <t>This roast is everything everyone on here said it is!! It was absolutely delicious. DH took one bite and said "wow". I used a 4lb round roast and cooked for about 6 hours. I also used half the ranch as everyone suggested as well. Added some carrots and potatoes which also came out Oh so good!!! And of course I was able to make a really good gravy. This is now my new default roast recipe. I think I will make it again next week. Thanks yooper!!</t>
        </is>
      </c>
    </row>
    <row r="2475">
      <c r="A2475" s="7" t="n">
        <v>112120</v>
      </c>
      <c r="B2475" s="7" t="n">
        <v>663502</v>
      </c>
      <c r="C2475" s="7" t="n">
        <v>949568</v>
      </c>
      <c r="D2475" s="7" t="n">
        <v>296092</v>
      </c>
      <c r="E2475" s="8" t="n">
        <v>41226</v>
      </c>
      <c r="F2475" s="7" t="n">
        <v>4</v>
      </c>
      <c r="G2475" s="7" t="inlineStr">
        <is>
          <t>Very tasty and light, worthy of both a special dinner and a normal Tuesday night.  I almost gave it five stars just for the new way to make a white sauce - that was wild, and it worked!!  Good Looking - you're fantastic!  Made for PAC 2012</t>
        </is>
      </c>
    </row>
    <row r="2476">
      <c r="A2476" s="7" t="n">
        <v>102682</v>
      </c>
      <c r="B2476" s="7" t="n">
        <v>621864</v>
      </c>
      <c r="C2476" s="7" t="n">
        <v>2260613</v>
      </c>
      <c r="D2476" s="7" t="n">
        <v>417289</v>
      </c>
      <c r="E2476" s="8" t="n">
        <v>41342</v>
      </c>
      <c r="F2476" s="7" t="n">
        <v>5</v>
      </c>
      <c r="G2476" s="7" t="inlineStr">
        <is>
          <t>This is an excellent recipe.  Easy to make and I serve it with shrimp, chicken or pork.  It is a favorite on Labor Day weekend.  Stitts' Southern Table is an excellent cookbook.</t>
        </is>
      </c>
    </row>
    <row r="2477">
      <c r="A2477" s="7" t="n">
        <v>104638</v>
      </c>
      <c r="B2477" s="7" t="n">
        <v>136807</v>
      </c>
      <c r="C2477" s="7" t="n">
        <v>821269</v>
      </c>
      <c r="D2477" s="7" t="n">
        <v>44888</v>
      </c>
      <c r="E2477" s="8" t="n">
        <v>41309</v>
      </c>
      <c r="F2477" s="7" t="n">
        <v>5</v>
      </c>
      <c r="G2477" s="7" t="inlineStr">
        <is>
          <t>Made these for Superbowl ...OMGOSH! FANTASTIC and so easy ... very tasty, very tender and turned out gorgeous ... definitely a keeper ..I will never fry wings again</t>
        </is>
      </c>
    </row>
    <row r="2478">
      <c r="A2478" s="7" t="n">
        <v>22597</v>
      </c>
      <c r="B2478" s="7" t="n">
        <v>1121489</v>
      </c>
      <c r="C2478" s="7" t="n">
        <v>67728</v>
      </c>
      <c r="D2478" s="7" t="n">
        <v>425447</v>
      </c>
      <c r="E2478" s="8" t="n">
        <v>40346</v>
      </c>
      <c r="F2478" s="7" t="n">
        <v>5</v>
      </c>
      <c r="G2478" s="7" t="inlineStr">
        <is>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is>
      </c>
    </row>
    <row r="2479">
      <c r="A2479" s="7" t="n">
        <v>64049</v>
      </c>
      <c r="B2479" s="7" t="n">
        <v>422742</v>
      </c>
      <c r="C2479" s="7" t="n">
        <v>96177</v>
      </c>
      <c r="D2479" s="7" t="n">
        <v>318596</v>
      </c>
      <c r="E2479" s="8" t="n">
        <v>39993</v>
      </c>
      <c r="F2479" s="7" t="n">
        <v>5</v>
      </c>
      <c r="G2479" s="7" t="inlineStr">
        <is>
          <t>Delish, I added more serrano, we like it very hot and fresh ground black pepper as well. Made for 123 tag, another keeper TXGrif!!!</t>
        </is>
      </c>
    </row>
    <row r="2480" ht="285" customHeight="1">
      <c r="A2480" s="7" t="n">
        <v>29246</v>
      </c>
      <c r="B2480" s="7" t="n">
        <v>815565</v>
      </c>
      <c r="C2480" s="7" t="n">
        <v>210406</v>
      </c>
      <c r="D2480" s="7" t="n">
        <v>89177</v>
      </c>
      <c r="E2480" s="8" t="n">
        <v>38518</v>
      </c>
      <c r="F2480" s="7" t="n">
        <v>5</v>
      </c>
      <c r="G2480" s="9" t="inlineStr">
        <is>
          <t>Very yummy!_x000D_
I cooked it on the stove and just used a bag of mixed veggies in place of veggies. Yummy!_x000D_
I think we will freeze some of it also</t>
        </is>
      </c>
    </row>
    <row r="2481">
      <c r="A2481" s="7" t="n">
        <v>104344</v>
      </c>
      <c r="B2481" s="7" t="n">
        <v>467908</v>
      </c>
      <c r="C2481" s="7" t="n">
        <v>705251</v>
      </c>
      <c r="D2481" s="7" t="n">
        <v>445997</v>
      </c>
      <c r="E2481" s="8" t="n">
        <v>40716</v>
      </c>
      <c r="F2481" s="7" t="n">
        <v>4</v>
      </c>
      <c r="G2481" s="7" t="inlineStr">
        <is>
          <t>Sweeeet!  This is a great way to serve ice cream for dessert and actually be able to limit portion sizes without question.  It is sweet so a smaller portion goes a long way which is wonderful!  You get a nice taste with the combination of caramel, chocolate and nuts (I used chopped peanuts - a fav for us with ice cream) and then the vanilla ice cream.  Followed recipe exactly regarding directions and had no issues at all.  Tagged &amp; made in the Photo Tag game.</t>
        </is>
      </c>
    </row>
    <row r="2482">
      <c r="A2482" t="n">
        <v>104726</v>
      </c>
      <c r="B2482" t="n">
        <v>302017</v>
      </c>
      <c r="C2482" t="n">
        <v>301703</v>
      </c>
      <c r="D2482" t="n">
        <v>82797</v>
      </c>
      <c r="E2482" s="1" t="n">
        <v>38981</v>
      </c>
      <c r="F2482" t="n">
        <v>5</v>
      </c>
      <c r="G2482" t="inlineStr">
        <is>
          <t>I added all of the optional ingredients. These really are KILLER cookies. Crisp on the outside and chewy in the middle.</t>
        </is>
      </c>
    </row>
    <row r="2483">
      <c r="A2483" s="7" t="n">
        <v>8782</v>
      </c>
      <c r="B2483" s="7" t="n">
        <v>1020099</v>
      </c>
      <c r="C2483" s="7" t="n">
        <v>244548</v>
      </c>
      <c r="D2483" s="7" t="n">
        <v>49591</v>
      </c>
      <c r="E2483" s="8" t="n">
        <v>38771</v>
      </c>
      <c r="F2483" s="7" t="n">
        <v>5</v>
      </c>
      <c r="G2483" s="7" t="inlineStr">
        <is>
          <t xml:space="preserve">Everybody at home loved it, specially my little nephew. </t>
        </is>
      </c>
    </row>
    <row r="2484">
      <c r="A2484" s="7" t="n">
        <v>50144</v>
      </c>
      <c r="B2484" s="7" t="n">
        <v>430600</v>
      </c>
      <c r="C2484" s="7" t="n">
        <v>2414156</v>
      </c>
      <c r="D2484" s="7" t="n">
        <v>495124</v>
      </c>
      <c r="E2484" s="8" t="n">
        <v>41317</v>
      </c>
      <c r="F2484" s="7" t="n">
        <v>5</v>
      </c>
      <c r="G2484" s="7" t="inlineStr">
        <is>
          <t>Absolutely fabulous!</t>
        </is>
      </c>
    </row>
    <row r="2485">
      <c r="A2485" s="7" t="n">
        <v>4687</v>
      </c>
      <c r="B2485" s="7" t="n">
        <v>356706</v>
      </c>
      <c r="C2485" s="7" t="n">
        <v>171303</v>
      </c>
      <c r="D2485" s="7" t="n">
        <v>42603</v>
      </c>
      <c r="E2485" s="8" t="n">
        <v>38373</v>
      </c>
      <c r="F2485" s="7" t="n">
        <v>5</v>
      </c>
      <c r="G2485" s="7" t="inlineStr">
        <is>
          <t>Delish.  I used fat free ranch dressing with good results.  The chicken was very moist and the coating nice &amp; crunchy.  Thank you KeyWee for the no brainer!</t>
        </is>
      </c>
    </row>
    <row r="2486">
      <c r="A2486" s="7" t="n">
        <v>98203</v>
      </c>
      <c r="B2486" s="7" t="n">
        <v>194944</v>
      </c>
      <c r="C2486" s="7" t="n">
        <v>770430</v>
      </c>
      <c r="D2486" s="7" t="n">
        <v>8432</v>
      </c>
      <c r="E2486" s="8" t="n">
        <v>39499</v>
      </c>
      <c r="F2486" s="7" t="n">
        <v>5</v>
      </c>
      <c r="G2486" s="7" t="inlineStr">
        <is>
          <t>Mmm, mmm, mmm!  I've been looking for something new, and easy, to do with pork chops.  The pork chops themselves are good, but the gravy is delicious!</t>
        </is>
      </c>
    </row>
    <row r="2487">
      <c r="A2487" s="7" t="n">
        <v>30174</v>
      </c>
      <c r="B2487" s="7" t="n">
        <v>570220</v>
      </c>
      <c r="C2487" s="7" t="n">
        <v>33159</v>
      </c>
      <c r="D2487" s="7" t="n">
        <v>139965</v>
      </c>
      <c r="E2487" s="8" t="n">
        <v>38895</v>
      </c>
      <c r="F2487" s="7" t="n">
        <v>3</v>
      </c>
      <c r="G2487" s="7" t="inlineStr">
        <is>
          <t>This method creates perfectly, juicy chicken.  However, we didn't think it had any flavour at all.</t>
        </is>
      </c>
    </row>
    <row r="2488">
      <c r="A2488" s="7" t="n">
        <v>71280</v>
      </c>
      <c r="B2488" s="7" t="n">
        <v>1024304</v>
      </c>
      <c r="C2488" s="7" t="n">
        <v>899120</v>
      </c>
      <c r="D2488" s="7" t="n">
        <v>111777</v>
      </c>
      <c r="E2488" s="8" t="n">
        <v>39782</v>
      </c>
      <c r="F2488" s="7" t="n">
        <v>5</v>
      </c>
      <c r="G2488" s="7" t="inlineStr">
        <is>
          <t>Oh my!!!  Until now, I thought Marie Calendar made the best pot pie ever.....now I know that I DO!!!  If I could give 7 stars I would!  For me, this was one of those things that just turned out even better than you imagined.  I followed the recipe closely.  Cooked my cubed chicken breast in a little olive oil with onion and garlic just till no longer pink.  Used a frozen veggie mix of carrots, peas and corn and 2 of the refrigerated pie crusts.  You could really do any number of ingredient combinations for this recipe (I thought about potatoes, celery, mushrooms, green beans, etc.)....but I'm pretty sure when I make it again, I will make it exactly the same!  Yummy!</t>
        </is>
      </c>
    </row>
    <row r="2489">
      <c r="A2489" s="7" t="n">
        <v>124161</v>
      </c>
      <c r="B2489" s="7" t="n">
        <v>543386</v>
      </c>
      <c r="C2489" s="7" t="n">
        <v>66008</v>
      </c>
      <c r="D2489" s="7" t="n">
        <v>75658</v>
      </c>
      <c r="E2489" s="8" t="n">
        <v>38283</v>
      </c>
      <c r="F2489" s="7" t="n">
        <v>5</v>
      </c>
      <c r="G2489" s="7" t="inlineStr">
        <is>
          <t>Mmmm.... I made this yesterday and ate some warm then as well as cold today. Great soft cookie! I made precisely 3 dozen!! I baked them on one of those thermal cookie sheets (with the two layers with air between them.) I actually had to bake them 14-15 minutes in my oven. So, obviously, everyone needs to watch their own oven and baking pan for the right amount of time. Lots of chocolate chips in this recipe :)</t>
        </is>
      </c>
    </row>
    <row r="2490">
      <c r="A2490" s="7" t="n">
        <v>80135</v>
      </c>
      <c r="B2490" s="7" t="n">
        <v>192620</v>
      </c>
      <c r="C2490" s="7" t="n">
        <v>537872</v>
      </c>
      <c r="D2490" s="7" t="n">
        <v>116610</v>
      </c>
      <c r="E2490" s="8" t="n">
        <v>40128</v>
      </c>
      <c r="F2490" s="7" t="n">
        <v>5</v>
      </c>
      <c r="G2490" s="7" t="inlineStr">
        <is>
          <t>These are so yummy. I had smaller Asparagus so I cooked the bacon for about 10 minutes first (I used turkey bacon and regular bacon) then I cooked olive oil and garlic in a pan and poured it all in a zip lock bag and tossed together. I wrapped the bacon around 4 pieces of the Asparagus and cooked for 10 minutes it was perfect! Everyone loved it and it had suck a nice presentation.</t>
        </is>
      </c>
    </row>
    <row r="2491">
      <c r="A2491" s="7" t="n">
        <v>15299</v>
      </c>
      <c r="B2491" s="7" t="n">
        <v>531952</v>
      </c>
      <c r="C2491" s="7" t="n">
        <v>451700</v>
      </c>
      <c r="D2491" s="7" t="n">
        <v>308056</v>
      </c>
      <c r="E2491" s="8" t="n">
        <v>39625</v>
      </c>
      <c r="F2491" s="7" t="n">
        <v>5</v>
      </c>
      <c r="G2491" s="7" t="inlineStr">
        <is>
          <t>Absolutely wonderful! I had to peel the apples since both DD and DH don't like them with skin on in muffins and I used almonds instead of walnuts since that's what I had and I had to use mixed spice since I'd run out of ground allspice. Not too sweet and incredibly MOIST! Only after I'd made the batter and topping I noticed that I didn't have enough muffin cases so I then decided to bake it as 1 big cake in a 9x13" pan. I made some extra topping since we love crumb toppings! I couldn't divide the batter into two to spread some of the nut mixture inbetween since there wasn't enough batter (because the pan was big), I then realised I should have used a 9x7" pan. I had already poured the batter in the bigger pan so I left it at that. Baked for 35 minutes and it turned out excellent! Did I mention they were super moist and not too sweet! I had to share them with my neighbours and they said 'it's lovely'! Thank you, HokiesLady, for sharing this wonderful recipe, I definitely will be making it again! :)</t>
        </is>
      </c>
    </row>
    <row r="2492">
      <c r="A2492" s="7" t="n">
        <v>54313</v>
      </c>
      <c r="B2492" s="7" t="n">
        <v>969048</v>
      </c>
      <c r="C2492" s="7" t="n">
        <v>2578867</v>
      </c>
      <c r="D2492" s="7" t="n">
        <v>48799</v>
      </c>
      <c r="E2492" s="8" t="n">
        <v>41264</v>
      </c>
      <c r="F2492" s="7" t="n">
        <v>3</v>
      </c>
      <c r="G2492" s="7" t="inlineStr">
        <is>
          <t>Tad bit too sweet.  I would add an additional can of coconut milk.</t>
        </is>
      </c>
    </row>
    <row r="2493">
      <c r="A2493" s="7" t="n">
        <v>17018</v>
      </c>
      <c r="B2493" s="7" t="n">
        <v>675717</v>
      </c>
      <c r="C2493" s="7" t="n">
        <v>169969</v>
      </c>
      <c r="D2493" s="7" t="n">
        <v>142504</v>
      </c>
      <c r="E2493" s="8" t="n">
        <v>38727</v>
      </c>
      <c r="F2493" s="7" t="n">
        <v>5</v>
      </c>
      <c r="G2493" s="7" t="inlineStr">
        <is>
          <t>These are so cute! And are a very healthy snack for kids (or adults). I cut an organic fruit roll up for the tail and wiskers instead of using candy. My pears were beheaded so I just cut one of the halves and fashioned a quick mouse head. These are fun to make and eat! Thanks Rita!!!</t>
        </is>
      </c>
    </row>
    <row r="2494">
      <c r="A2494" s="7" t="n">
        <v>58184</v>
      </c>
      <c r="B2494" s="7" t="n">
        <v>843445</v>
      </c>
      <c r="C2494" s="7" t="n">
        <v>29196</v>
      </c>
      <c r="D2494" s="7" t="n">
        <v>354701</v>
      </c>
      <c r="E2494" s="8" t="n">
        <v>40304</v>
      </c>
      <c r="F2494" s="7" t="n">
        <v>5</v>
      </c>
      <c r="G2494" s="7" t="inlineStr">
        <is>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is>
      </c>
    </row>
    <row r="2495">
      <c r="A2495" s="7" t="n">
        <v>9616</v>
      </c>
      <c r="B2495" s="7" t="n">
        <v>667590</v>
      </c>
      <c r="C2495" s="7" t="n">
        <v>61660</v>
      </c>
      <c r="D2495" s="7" t="n">
        <v>71483</v>
      </c>
      <c r="E2495" s="8" t="n">
        <v>39541</v>
      </c>
      <c r="F2495" s="7" t="n">
        <v>5</v>
      </c>
      <c r="G2495" s="7" t="inlineStr">
        <is>
          <t>I left out the graham crackers and cream soda, but rimmed the glass with the caramel sauce.  I chilled really well so it was nice and cold.  I really liked the hint of apple flavor mixed with the sweetness of the caramel.  I used the Apple Pucker.  Made for the US Regional Tag Game.</t>
        </is>
      </c>
    </row>
    <row r="2496">
      <c r="A2496" s="7" t="n">
        <v>103388</v>
      </c>
      <c r="B2496" s="7" t="n">
        <v>724990</v>
      </c>
      <c r="C2496" s="7" t="n">
        <v>50778</v>
      </c>
      <c r="D2496" s="7" t="n">
        <v>37645</v>
      </c>
      <c r="E2496" s="8" t="n">
        <v>37636</v>
      </c>
      <c r="F2496" s="7" t="n">
        <v>5</v>
      </c>
      <c r="G2496" s="7" t="inlineStr">
        <is>
          <t xml:space="preserve">Loved these! Topped them with some some butter icing I had leftover from a previous recipe.  Whisked in some OJ and orange zest to loosen the refrigerated icing and spread over the warm scones.  A bit like orange cinnamon rolls.  </t>
        </is>
      </c>
    </row>
    <row r="2497">
      <c r="A2497" s="7" t="n">
        <v>121472</v>
      </c>
      <c r="B2497" s="7" t="n">
        <v>95261</v>
      </c>
      <c r="C2497" s="7" t="n">
        <v>199848</v>
      </c>
      <c r="D2497" s="7" t="n">
        <v>17751</v>
      </c>
      <c r="E2497" s="8" t="n">
        <v>38452</v>
      </c>
      <c r="F2497" s="7" t="n">
        <v>5</v>
      </c>
      <c r="G2497" s="7" t="inlineStr">
        <is>
          <t>Loved this recipe!  I made some with cinnamon sugar, some with lots of butter and salt and some lightly buttered and salted.  They were all great!  I took some to my parents' house...they couldn't believe they weren't from a pretzel shop!</t>
        </is>
      </c>
    </row>
    <row r="2498">
      <c r="A2498" s="7" t="n">
        <v>106175</v>
      </c>
      <c r="B2498" s="7" t="n">
        <v>595221</v>
      </c>
      <c r="C2498" s="7" t="n">
        <v>280271</v>
      </c>
      <c r="D2498" s="7" t="n">
        <v>383645</v>
      </c>
      <c r="E2498" s="8" t="n">
        <v>40108</v>
      </c>
      <c r="F2498" s="7" t="n">
        <v>5</v>
      </c>
      <c r="G2498" s="7" t="inlineStr">
        <is>
          <t>Delicious! I also cut the recipe in half but used a 9X7 inch baking dish. The noodles fit perfectly in the pan with three layers of three noodles overlapping a bit. I used a sweet Italian sausage. Loved the flavor of the sauce. I did add an additional oz of cream cheese giving me 1 oz per layer. The cream cheese doesn't melt but does give you a nice burst of cheesiness when you bite into it. Thanks for posting. :)</t>
        </is>
      </c>
    </row>
    <row r="2499">
      <c r="A2499" s="7" t="n">
        <v>111905</v>
      </c>
      <c r="B2499" s="7" t="n">
        <v>266135</v>
      </c>
      <c r="C2499" s="7" t="n">
        <v>2288293</v>
      </c>
      <c r="D2499" s="7" t="n">
        <v>107786</v>
      </c>
      <c r="E2499" s="8" t="n">
        <v>41841</v>
      </c>
      <c r="F2499" s="7" t="n">
        <v>0</v>
      </c>
      <c r="G2499" s="7" t="inlineStr">
        <is>
          <t>By far the best ribs you will ever have from the oven and better than most BBQ places by me. Everytime i make these we there are no left overs they are my daughters ( 10 years old) favorite.</t>
        </is>
      </c>
    </row>
    <row r="2500">
      <c r="A2500" s="7" t="n">
        <v>38517</v>
      </c>
      <c r="B2500" s="7" t="n">
        <v>442440</v>
      </c>
      <c r="C2500" s="7" t="n">
        <v>736274</v>
      </c>
      <c r="D2500" s="7" t="n">
        <v>271659</v>
      </c>
      <c r="E2500" s="8" t="n">
        <v>39468</v>
      </c>
      <c r="F2500" s="7" t="n">
        <v>4</v>
      </c>
      <c r="G2500" s="7" t="inlineStr">
        <is>
          <t>Very Simple and tasty!  This is a great quick recipe!</t>
        </is>
      </c>
    </row>
    <row r="2501">
      <c r="A2501" s="7" t="n">
        <v>12034</v>
      </c>
      <c r="B2501" s="7" t="n">
        <v>602489</v>
      </c>
      <c r="C2501" s="7" t="n">
        <v>897771</v>
      </c>
      <c r="D2501" s="7" t="n">
        <v>254860</v>
      </c>
      <c r="E2501" s="8" t="n">
        <v>39757</v>
      </c>
      <c r="F2501" s="7" t="n">
        <v>5</v>
      </c>
      <c r="G2501" s="7" t="inlineStr">
        <is>
          <t>Excellent recipe, however, I made a few changes. I used 1 can of chickpeas (which I drained and rinsed), a whole jalepeno (seeded), 2 garlic cloves and lemon to taste, the rest of the ingredients I used in same portions as the recipe. Also, because I drained and rinsed the chickpeas, I added some water to the mix. The outcome was delicious, it tastes the same as the spicy cilantro hummus I usually buy at the farmers market! Thanks for the recipe Jess!</t>
        </is>
      </c>
    </row>
    <row r="2502">
      <c r="A2502" s="7" t="n">
        <v>29280</v>
      </c>
      <c r="B2502" s="7" t="n">
        <v>1088692</v>
      </c>
      <c r="C2502" s="7" t="n">
        <v>1783373</v>
      </c>
      <c r="D2502" s="7" t="n">
        <v>485807</v>
      </c>
      <c r="E2502" s="8" t="n">
        <v>41353</v>
      </c>
      <c r="F2502" s="7" t="n">
        <v>3</v>
      </c>
      <c r="G2502" s="7" t="inlineStr">
        <is>
          <t>Thought I&amp;#039;d go really Irish this past weekend for St. Patrick&amp;#039;s Day and made this to go along with corned beef.  This is the first time that I&amp;#039;ve seen Caesar&amp;#039;s dressing added to potato pancakes and it&amp;#039;s a novel idea, but I&amp;#039;m not sure it added to the flavoring.  I believe that maybe sauteing the onions to bring out their flavor prior to adding it to potato mixture may have enhanced the flavors.  This one needs a bit of tweaking for a more successful outcome.  Made it for PRMR tag game.  Thank you Annacia for sharing.</t>
        </is>
      </c>
    </row>
    <row r="2503">
      <c r="A2503" s="7" t="n">
        <v>116195</v>
      </c>
      <c r="B2503" s="7" t="n">
        <v>791391</v>
      </c>
      <c r="C2503" s="7" t="n">
        <v>129582</v>
      </c>
      <c r="D2503" s="7" t="n">
        <v>4205</v>
      </c>
      <c r="E2503" s="8" t="n">
        <v>38233</v>
      </c>
      <c r="F2503" s="7" t="n">
        <v>5</v>
      </c>
      <c r="G2503" s="7" t="inlineStr">
        <is>
          <t>Very close to Olive Garden... I did have to thin it out a bit with milk but still very delicious. I now have a new Alfredo recipe, thanks!</t>
        </is>
      </c>
    </row>
    <row r="2504">
      <c r="A2504" s="7" t="n">
        <v>27727</v>
      </c>
      <c r="B2504" s="7" t="n">
        <v>1049173</v>
      </c>
      <c r="C2504" s="7" t="n">
        <v>597538</v>
      </c>
      <c r="D2504" s="7" t="n">
        <v>102274</v>
      </c>
      <c r="E2504" s="8" t="n">
        <v>39891</v>
      </c>
      <c r="F2504" s="7" t="n">
        <v>5</v>
      </c>
      <c r="G2504" s="7" t="inlineStr">
        <is>
          <t>Belly rubbing good!  We all agree it's the best we have ever had!</t>
        </is>
      </c>
    </row>
    <row r="2505">
      <c r="A2505" s="7" t="n">
        <v>110787</v>
      </c>
      <c r="B2505" s="7" t="n">
        <v>922020</v>
      </c>
      <c r="C2505" s="7" t="n">
        <v>527016</v>
      </c>
      <c r="D2505" s="7" t="n">
        <v>18583</v>
      </c>
      <c r="E2505" s="8" t="n">
        <v>39264</v>
      </c>
      <c r="F2505" s="7" t="n">
        <v>5</v>
      </c>
      <c r="G2505" s="7" t="inlineStr">
        <is>
          <t>New to the kitchen and trying to make a "French" meal in a hurry...I accidently skipped the milk and butter! Amazingly, these still came out great! My guest raved! As mentioned before, they reheat well also! Thank you!!!</t>
        </is>
      </c>
    </row>
    <row r="2506">
      <c r="A2506" s="7" t="n">
        <v>121161</v>
      </c>
      <c r="B2506" s="7" t="n">
        <v>179341</v>
      </c>
      <c r="C2506" s="7" t="n">
        <v>131674</v>
      </c>
      <c r="D2506" s="7" t="n">
        <v>206035</v>
      </c>
      <c r="E2506" s="8" t="n">
        <v>39538</v>
      </c>
      <c r="F2506" s="7" t="n">
        <v>4</v>
      </c>
      <c r="G2506" s="7" t="inlineStr">
        <is>
          <t>Very rich but very easy to make.  I did add capers and I like the saltiness it added.  I dipped some roasted cauliflower in this also.  Made for Photo Tag.</t>
        </is>
      </c>
    </row>
    <row r="2507">
      <c r="A2507" s="7" t="n">
        <v>81512</v>
      </c>
      <c r="B2507" s="7" t="n">
        <v>641909</v>
      </c>
      <c r="C2507" s="7" t="n">
        <v>169130</v>
      </c>
      <c r="D2507" s="7" t="n">
        <v>259408</v>
      </c>
      <c r="E2507" s="8" t="n">
        <v>39442</v>
      </c>
      <c r="F2507" s="7" t="n">
        <v>5</v>
      </c>
      <c r="G2507" s="7" t="inlineStr">
        <is>
          <t>I loved making fondue this way.  It was so much easier than on the stove, where I tend to burn the cheese. I served it right out of the crock.  Dipped in bread, broccoli, carrots, shrimp, apple, and pear.  Sprinkled on some nutmeg for added flavor.  Amazing &amp; simple!</t>
        </is>
      </c>
    </row>
    <row r="2508">
      <c r="A2508" s="7" t="n">
        <v>11995</v>
      </c>
      <c r="B2508" s="7" t="n">
        <v>30135</v>
      </c>
      <c r="C2508" s="7" t="n">
        <v>374506</v>
      </c>
      <c r="D2508" s="7" t="n">
        <v>44633</v>
      </c>
      <c r="E2508" s="8" t="n">
        <v>39420</v>
      </c>
      <c r="F2508" s="7" t="n">
        <v>4</v>
      </c>
      <c r="G2508" s="7" t="inlineStr">
        <is>
          <t>My mom use to make a yum yum when I was growing up. I never got the recipe form her but this sounds a lot like it.  I just don't know what all that sugar is for.  I only used 8oz of cool whip and I didn't use any sugar.  It was great!!</t>
        </is>
      </c>
    </row>
    <row r="2509">
      <c r="A2509" s="7" t="n">
        <v>110601</v>
      </c>
      <c r="B2509" s="7" t="n">
        <v>984259</v>
      </c>
      <c r="C2509" s="7" t="n">
        <v>690349</v>
      </c>
      <c r="D2509" s="7" t="n">
        <v>9272</v>
      </c>
      <c r="E2509" s="8" t="n">
        <v>39687</v>
      </c>
      <c r="F2509" s="7" t="n">
        <v>5</v>
      </c>
      <c r="G2509" s="7" t="inlineStr">
        <is>
          <t>Excellent.  A tad sweet for me, so next time I'll reduce the sugar, but otherwise an awesome salsa.</t>
        </is>
      </c>
    </row>
    <row r="2510">
      <c r="A2510" s="7" t="n">
        <v>51020</v>
      </c>
      <c r="B2510" s="7" t="n">
        <v>85442</v>
      </c>
      <c r="C2510" s="7" t="n">
        <v>169430</v>
      </c>
      <c r="D2510" s="7" t="n">
        <v>363721</v>
      </c>
      <c r="E2510" s="8" t="n">
        <v>40141</v>
      </c>
      <c r="F2510" s="7" t="n">
        <v>5</v>
      </c>
      <c r="G2510" s="7" t="inlineStr">
        <is>
          <t>Sometimes we get so carried away with adding things to recipes that have stood the test of time on their own that we forget forget how good the basic was and why it became a classic in the first place. If you try this banana bread you'll remember that the chocolate chips, nuts, cherries, coconut and so on aren't really necessary and that a good recipe can stand on it own very well. I used 3/4 cup of Splenda for the sugar but all else was by the recipe. Made for *Partying The Diabetic Way*.</t>
        </is>
      </c>
    </row>
    <row r="2511" ht="409.5" customHeight="1">
      <c r="A2511" s="7" t="n">
        <v>23497</v>
      </c>
      <c r="B2511" s="7" t="n">
        <v>1083796</v>
      </c>
      <c r="C2511" s="7" t="n">
        <v>1587949</v>
      </c>
      <c r="D2511" s="7" t="n">
        <v>331859</v>
      </c>
      <c r="E2511" s="8" t="n">
        <v>40267</v>
      </c>
      <c r="F2511" s="7" t="n">
        <v>3</v>
      </c>
      <c r="G2511" s="9" t="inlineStr">
        <is>
          <t>Hmmm. mix review on this one. I loved the idea of a lemony alfredo, but 1/2 cup lemon juice seemed a bit much, and it was. My husband thought it was too much lemon. My 5 yr old won't eat it past the first bite and he eats everything, indian, thai, sushi etc. I rated it 3 stars because I did like it, but as my husband pointed out, I love sour patch kids and extremely strong/spicy flavors. 
 So, 0 stars from my kid, 2 from my husband, 3 from me. Perhaps less lemon juice would be better but thank you for sharing, its all a matter of personal taste. :)</t>
        </is>
      </c>
    </row>
    <row r="2512">
      <c r="A2512" s="7" t="n">
        <v>25773</v>
      </c>
      <c r="B2512" s="7" t="n">
        <v>580241</v>
      </c>
      <c r="C2512" s="7" t="n">
        <v>2298708</v>
      </c>
      <c r="D2512" s="7" t="n">
        <v>45069</v>
      </c>
      <c r="E2512" s="8" t="n">
        <v>41310</v>
      </c>
      <c r="F2512" s="7" t="n">
        <v>5</v>
      </c>
      <c r="G2512" s="7" t="inlineStr">
        <is>
          <t>The best ever</t>
        </is>
      </c>
    </row>
    <row r="2513">
      <c r="A2513" s="7" t="n">
        <v>82487</v>
      </c>
      <c r="B2513" s="7" t="n">
        <v>1067730</v>
      </c>
      <c r="C2513" s="7" t="n">
        <v>264339</v>
      </c>
      <c r="D2513" s="7" t="n">
        <v>56460</v>
      </c>
      <c r="E2513" s="8" t="n">
        <v>40004</v>
      </c>
      <c r="F2513" s="7" t="n">
        <v>5</v>
      </c>
      <c r="G2513" s="7" t="inlineStr">
        <is>
          <t>ok so...I read the joybird's review this afternoon and decided to try this...OH HOW GOOD it was in my coffee ONLY I took it a step further...after adding the vanilla syrup I added a BIG teaspoon of smuckers hot fudge ice cream topping,,oh my how I enjoyed this easy vanilla syrup.. the possibilities with this are endlesss  THANK YOU for sharing</t>
        </is>
      </c>
    </row>
    <row r="2514">
      <c r="A2514" s="7" t="n">
        <v>103800</v>
      </c>
      <c r="B2514" s="7" t="n">
        <v>201483</v>
      </c>
      <c r="C2514" s="7" t="n">
        <v>192581</v>
      </c>
      <c r="D2514" s="7" t="n">
        <v>121447</v>
      </c>
      <c r="E2514" s="8" t="n">
        <v>38909</v>
      </c>
      <c r="F2514" s="7" t="n">
        <v>5</v>
      </c>
      <c r="G2514" s="7" t="inlineStr">
        <is>
          <t>This paté wasn't so unusual, in my opinion anyway, but it was awfully good, more than 5 stars!  We ate this on garlic bread as an entrée.  Asked my boyfriend what he thought, and he said, is there more?  Fortunately for him there was.  I used mild black olives for this and I don't recommend using a stronger olive as the flavor would be pretty intense.  Thanks as usual Mrs. B!</t>
        </is>
      </c>
    </row>
    <row r="2515" ht="409.5" customHeight="1">
      <c r="A2515" s="7" t="n">
        <v>49949</v>
      </c>
      <c r="B2515" s="7" t="n">
        <v>341139</v>
      </c>
      <c r="C2515" s="7" t="n">
        <v>309526</v>
      </c>
      <c r="D2515" s="7" t="n">
        <v>15283</v>
      </c>
      <c r="E2515" s="8" t="n">
        <v>39707</v>
      </c>
      <c r="F2515" s="7" t="n">
        <v>5</v>
      </c>
      <c r="G2515" s="9" t="inlineStr">
        <is>
          <t>We had this soup for lunch today ... it was wonderful! We made it exactly as written and it was great!  Thank you for sharing, Mirj
UPDATE:  In making this soup again, I decided that instead of dealing with having to puree the hot soup in several batches, I grated the carrots in the food processor first. Although the texture is a little different, the presentation and taste are still first rate!</t>
        </is>
      </c>
    </row>
    <row r="2516">
      <c r="A2516" s="7" t="n">
        <v>63087</v>
      </c>
      <c r="B2516" s="7" t="n">
        <v>241749</v>
      </c>
      <c r="C2516" s="7" t="n">
        <v>227978</v>
      </c>
      <c r="D2516" s="7" t="n">
        <v>33767</v>
      </c>
      <c r="E2516" s="8" t="n">
        <v>41665</v>
      </c>
      <c r="F2516" s="7" t="n">
        <v>5</v>
      </c>
      <c r="G2516" s="7" t="inlineStr">
        <is>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is>
      </c>
    </row>
    <row r="2517">
      <c r="A2517" s="7" t="n">
        <v>26655</v>
      </c>
      <c r="B2517" s="7" t="n">
        <v>510345</v>
      </c>
      <c r="C2517" s="7" t="n">
        <v>435109</v>
      </c>
      <c r="D2517" s="7" t="n">
        <v>89207</v>
      </c>
      <c r="E2517" s="8" t="n">
        <v>40464</v>
      </c>
      <c r="F2517" s="7" t="n">
        <v>5</v>
      </c>
      <c r="G2517" s="7" t="inlineStr">
        <is>
          <t>OH MY GOSH!!!! Kittencal, you've done it again! This is the best chocolate butter cream I've ever had! I'm used to a slightly gritty texture with butter creams because of all the powdered sugar, but this is smooth and creamy. I decorate cakes as a hobby and this will definitely be the only chocolate butter cream I will ever use again! I tried the medium (1/2 c. cocoa powder) version and I'm excited to try the others. So easy and so incredibly delicious!</t>
        </is>
      </c>
    </row>
    <row r="2518">
      <c r="A2518" s="7" t="n">
        <v>17398</v>
      </c>
      <c r="B2518" s="7" t="n">
        <v>162126</v>
      </c>
      <c r="C2518" s="7" t="n">
        <v>341338</v>
      </c>
      <c r="D2518" s="7" t="n">
        <v>134951</v>
      </c>
      <c r="E2518" s="8" t="n">
        <v>39372</v>
      </c>
      <c r="F2518" s="7" t="n">
        <v>4</v>
      </c>
      <c r="G2518" s="7" t="inlineStr">
        <is>
          <t>I enjoyed this dish but wasn't really impressed. My DH, on the other hand, thought it was really great, hence the 4 stars. Like other reviewers, I sprinkled lemon juice on the scallops before breading them, and did finish them in the oven. Next time, I think I'll put them on a parchment paper lined sheet and do them completely in the oven at about 350 F. for 8 to 10 minutes, depending on the size of the scallops. The Romano cheese was a wonderful idea, and I particularly enjoyed the little "crusties" that were left in the skillet. Thanks for posting  - it really was quite good.</t>
        </is>
      </c>
    </row>
    <row r="2519">
      <c r="A2519" s="7" t="n">
        <v>71913</v>
      </c>
      <c r="B2519" s="7" t="n">
        <v>112688</v>
      </c>
      <c r="C2519" s="7" t="n">
        <v>50610</v>
      </c>
      <c r="D2519" s="7" t="n">
        <v>90166</v>
      </c>
      <c r="E2519" s="8" t="n">
        <v>38177</v>
      </c>
      <c r="F2519" s="7" t="n">
        <v>0</v>
      </c>
      <c r="G2519" s="7" t="inlineStr">
        <is>
          <t>Delicious!!! Plus plus deluxe!</t>
        </is>
      </c>
    </row>
    <row r="2520">
      <c r="A2520" s="7" t="n">
        <v>59798</v>
      </c>
      <c r="B2520" s="7" t="n">
        <v>912708</v>
      </c>
      <c r="C2520" s="7" t="n">
        <v>27783</v>
      </c>
      <c r="D2520" s="7" t="n">
        <v>49014</v>
      </c>
      <c r="E2520" s="8" t="n">
        <v>37730</v>
      </c>
      <c r="F2520" s="7" t="n">
        <v>5</v>
      </c>
      <c r="G2520" s="7" t="inlineStr">
        <is>
          <t xml:space="preserve">This is very tasty and rich.  I first tired using a wire whisk and found it very bothersome to keep whisking away, boiling, whisking, etc.  Then I tried this with an electric frother whisk and it was a much more pleasant experience- if you have one,that is definitely the best way to go here.  I used a bar of bitterwseet Lindt chocolate in this, which worked very nicely.  </t>
        </is>
      </c>
    </row>
    <row r="2521">
      <c r="A2521" s="7" t="n">
        <v>110993</v>
      </c>
      <c r="B2521" s="7" t="n">
        <v>141159</v>
      </c>
      <c r="C2521" s="7" t="n">
        <v>251917</v>
      </c>
      <c r="D2521" s="7" t="n">
        <v>178133</v>
      </c>
      <c r="E2521" s="8" t="n">
        <v>40191</v>
      </c>
      <c r="F2521" s="7" t="n">
        <v>5</v>
      </c>
      <c r="G2521" s="7" t="inlineStr">
        <is>
          <t>Comfort Cafe Jan. 2010: OUTSTANDING - perfectly compliments my morning coffee!</t>
        </is>
      </c>
    </row>
    <row r="2522">
      <c r="A2522" s="7" t="n">
        <v>69318</v>
      </c>
      <c r="B2522" s="7" t="n">
        <v>286978</v>
      </c>
      <c r="C2522" s="7" t="n">
        <v>37449</v>
      </c>
      <c r="D2522" s="7" t="n">
        <v>19991</v>
      </c>
      <c r="E2522" s="8" t="n">
        <v>37563</v>
      </c>
      <c r="F2522" s="7" t="n">
        <v>5</v>
      </c>
      <c r="G2522" s="7" t="inlineStr">
        <is>
          <t>Lorac, I really enjoyed this spicy popcorn! A nice change from regular popcorn! Thanks!</t>
        </is>
      </c>
    </row>
    <row r="2523">
      <c r="A2523" s="7" t="n">
        <v>103746</v>
      </c>
      <c r="B2523" s="7" t="n">
        <v>296985</v>
      </c>
      <c r="C2523" s="7" t="n">
        <v>174096</v>
      </c>
      <c r="D2523" s="7" t="n">
        <v>50385</v>
      </c>
      <c r="E2523" s="8" t="n">
        <v>39617</v>
      </c>
      <c r="F2523" s="7" t="n">
        <v>5</v>
      </c>
      <c r="G2523" s="7" t="inlineStr">
        <is>
          <t>Fantastic!  I used olive oil instead of butter to make the sauce, as well as my favorite heavy cream substitute.  I also omitted the salt and added chopped portabella mushrooms and spinach to make it a one-dish meal-- it was absolutely wonderful!  The sauce was a little salty for me, so next time I will be sure to use reduced-sodium chicken broth.  Thanks for a keeper!</t>
        </is>
      </c>
    </row>
    <row r="2524">
      <c r="A2524" s="7" t="n">
        <v>71798</v>
      </c>
      <c r="B2524" s="7" t="n">
        <v>536551</v>
      </c>
      <c r="C2524" s="7" t="n">
        <v>207176</v>
      </c>
      <c r="D2524" s="7" t="n">
        <v>216575</v>
      </c>
      <c r="E2524" s="8" t="n">
        <v>39310</v>
      </c>
      <c r="F2524" s="7" t="n">
        <v>5</v>
      </c>
      <c r="G2524" s="7" t="inlineStr">
        <is>
          <t>We all liked this a lot.  Had it with salmon.  I didn't chop the onion fine and one of my kids avoided the onions but they were tender and gave the rice a nice flavor.  I covered the pot during the simmering and after 10 minutes, I uncovered until the liquid was absorbed.</t>
        </is>
      </c>
    </row>
    <row r="2525">
      <c r="A2525" s="7" t="n">
        <v>17686</v>
      </c>
      <c r="B2525" s="7" t="n">
        <v>1042915</v>
      </c>
      <c r="C2525" s="7" t="n">
        <v>1391018</v>
      </c>
      <c r="D2525" s="7" t="n">
        <v>17073</v>
      </c>
      <c r="E2525" s="8" t="n">
        <v>40077</v>
      </c>
      <c r="F2525" s="7" t="n">
        <v>5</v>
      </c>
      <c r="G2525" s="7" t="inlineStr">
        <is>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is>
      </c>
    </row>
    <row r="2526">
      <c r="A2526" s="7" t="n">
        <v>37335</v>
      </c>
      <c r="B2526" s="7" t="n">
        <v>454757</v>
      </c>
      <c r="C2526" s="7" t="n">
        <v>305531</v>
      </c>
      <c r="D2526" s="7" t="n">
        <v>343170</v>
      </c>
      <c r="E2526" s="8" t="n">
        <v>41136</v>
      </c>
      <c r="F2526" s="7" t="n">
        <v>5</v>
      </c>
      <c r="G2526" s="7" t="inlineStr">
        <is>
          <t>I loved this salad! I truly wasn't sure what to expect - especially with the chutney in the dressing, but I loved every bite of it. The mango chutney and the curry added such great flavor while there were lots of textures that were great. Thanks breezermom for a nice keeper. Made for ZWT8 - India.</t>
        </is>
      </c>
    </row>
    <row r="2527">
      <c r="A2527" s="7" t="n">
        <v>53428</v>
      </c>
      <c r="B2527" s="7" t="n">
        <v>6544</v>
      </c>
      <c r="C2527" s="7" t="n">
        <v>993604</v>
      </c>
      <c r="D2527" s="7" t="n">
        <v>150831</v>
      </c>
      <c r="E2527" s="8" t="n">
        <v>40614</v>
      </c>
      <c r="F2527" s="7" t="n">
        <v>5</v>
      </c>
      <c r="G2527" s="7" t="inlineStr">
        <is>
          <t>This is a tasty frozen treat.  I made exactly as written.  I really enjoyed the ginger.  Made for Newest Zaar tag.</t>
        </is>
      </c>
    </row>
    <row r="2528">
      <c r="A2528" s="7" t="n">
        <v>61872</v>
      </c>
      <c r="B2528" s="7" t="n">
        <v>767546</v>
      </c>
      <c r="C2528" s="7" t="n">
        <v>95743</v>
      </c>
      <c r="D2528" s="7" t="n">
        <v>125632</v>
      </c>
      <c r="E2528" s="8" t="n">
        <v>39474</v>
      </c>
      <c r="F2528" s="7" t="n">
        <v>5</v>
      </c>
      <c r="G2528" s="7" t="inlineStr">
        <is>
          <t>I made this with fresh WA cherries and it was AWESOME. 27* when served over Greek yogurt. I did cut back a little on the extract or it would have been overwhelming for Dh.</t>
        </is>
      </c>
    </row>
    <row r="2529">
      <c r="A2529" s="7" t="n">
        <v>78437</v>
      </c>
      <c r="B2529" s="7" t="n">
        <v>433142</v>
      </c>
      <c r="C2529" s="7" t="n">
        <v>744367</v>
      </c>
      <c r="D2529" s="7" t="n">
        <v>28648</v>
      </c>
      <c r="E2529" s="8" t="n">
        <v>39772</v>
      </c>
      <c r="F2529" s="7" t="n">
        <v>5</v>
      </c>
      <c r="G2529" s="7" t="inlineStr">
        <is>
          <t>my cuboards were bare and i had two ham steaks in the freezer and needed a side dish, when i came across this i thought of using the hamsteaks to make the omlet but decided to just make the eggs and leave the rest out, and top them with cheese.  i must say!!!!!!!!! great scrambled egg recipe. and super super easy, i was a little weary of the flour in the eggs but wow they taste great and the kids and DH love them. thanks for the great recipe.</t>
        </is>
      </c>
    </row>
    <row r="2530">
      <c r="A2530" s="7" t="n">
        <v>80788</v>
      </c>
      <c r="B2530" s="7" t="n">
        <v>104708</v>
      </c>
      <c r="C2530" s="7" t="n">
        <v>1269563</v>
      </c>
      <c r="D2530" s="7" t="n">
        <v>65064</v>
      </c>
      <c r="E2530" s="8" t="n">
        <v>40348</v>
      </c>
      <c r="F2530" s="7" t="n">
        <v>5</v>
      </c>
      <c r="G2530" s="7" t="inlineStr">
        <is>
          <t>This is the standard dessert for every family function.  I rarely have leftovers.  Everybody loves it.</t>
        </is>
      </c>
    </row>
    <row r="2531">
      <c r="A2531" s="7" t="n">
        <v>103092</v>
      </c>
      <c r="B2531" s="7" t="n">
        <v>783002</v>
      </c>
      <c r="C2531" s="7" t="n">
        <v>482376</v>
      </c>
      <c r="D2531" s="7" t="n">
        <v>490139</v>
      </c>
      <c r="E2531" s="8" t="n">
        <v>41244</v>
      </c>
      <c r="F2531" s="7" t="n">
        <v>5</v>
      </c>
      <c r="G2531" s="7" t="inlineStr">
        <is>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is>
      </c>
    </row>
    <row r="2532">
      <c r="A2532" s="7" t="n">
        <v>25831</v>
      </c>
      <c r="B2532" s="7" t="n">
        <v>332400</v>
      </c>
      <c r="C2532" s="7" t="n">
        <v>128473</v>
      </c>
      <c r="D2532" s="7" t="n">
        <v>144965</v>
      </c>
      <c r="E2532" s="8" t="n">
        <v>38840</v>
      </c>
      <c r="F2532" s="7" t="n">
        <v>5</v>
      </c>
      <c r="G2532" s="7" t="inlineStr">
        <is>
          <t>This was a lovely tender pie, with a beautiful light and fluffy custard and very fragrant, tasty  apple slices. Very quick and easy to make. Wish I could give more than 5*s. Thanks for sharing Southern Polar Bear.</t>
        </is>
      </c>
    </row>
    <row r="2533">
      <c r="A2533" s="7" t="n">
        <v>9906</v>
      </c>
      <c r="B2533" s="7" t="n">
        <v>58249</v>
      </c>
      <c r="C2533" s="7" t="n">
        <v>823722</v>
      </c>
      <c r="D2533" s="7" t="n">
        <v>103732</v>
      </c>
      <c r="E2533" s="8" t="n">
        <v>40276</v>
      </c>
      <c r="F2533" s="7" t="n">
        <v>5</v>
      </c>
      <c r="G2533" s="7" t="inlineStr">
        <is>
          <t>This is my favorite pancake syrup recipe....even better than store bought!</t>
        </is>
      </c>
    </row>
    <row r="2534">
      <c r="A2534" s="7" t="n">
        <v>43183</v>
      </c>
      <c r="B2534" s="7" t="n">
        <v>176532</v>
      </c>
      <c r="C2534" s="7" t="n">
        <v>1208137</v>
      </c>
      <c r="D2534" s="7" t="n">
        <v>373824</v>
      </c>
      <c r="E2534" s="8" t="n">
        <v>39981</v>
      </c>
      <c r="F2534" s="7" t="n">
        <v>0</v>
      </c>
      <c r="G2534" s="7" t="inlineStr">
        <is>
          <t>"I Like Chicken And Cheese Steaks" !!  :)  :)</t>
        </is>
      </c>
    </row>
    <row r="2535">
      <c r="A2535" s="7" t="n">
        <v>18264</v>
      </c>
      <c r="B2535" s="7" t="n">
        <v>204845</v>
      </c>
      <c r="C2535" s="7" t="n">
        <v>53959</v>
      </c>
      <c r="D2535" s="7" t="n">
        <v>78938</v>
      </c>
      <c r="E2535" s="8" t="n">
        <v>38795</v>
      </c>
      <c r="F2535" s="7" t="n">
        <v>5</v>
      </c>
      <c r="G2535" s="7" t="inlineStr">
        <is>
          <t>My husband and I really loved these. It was a great new way to fix green beans. Unfortunatly my daughters said they were too spicy. Oh well, all the more for us.</t>
        </is>
      </c>
    </row>
    <row r="2536">
      <c r="A2536" s="7" t="n">
        <v>39164</v>
      </c>
      <c r="B2536" s="7" t="n">
        <v>1073091</v>
      </c>
      <c r="C2536" s="7" t="n">
        <v>486725</v>
      </c>
      <c r="D2536" s="7" t="n">
        <v>413849</v>
      </c>
      <c r="E2536" s="8" t="n">
        <v>40394</v>
      </c>
      <c r="F2536" s="7" t="n">
        <v>5</v>
      </c>
      <c r="G2536" s="7" t="inlineStr">
        <is>
          <t>Oh yes, this is delicious! I used green enchilada sauce, since that's what I had on hand, and doubled it. I also used less cheese. Served 3-4.</t>
        </is>
      </c>
    </row>
    <row r="2537">
      <c r="A2537" s="7" t="n">
        <v>68698</v>
      </c>
      <c r="B2537" s="7" t="n">
        <v>1065455</v>
      </c>
      <c r="C2537" s="7" t="n">
        <v>129652</v>
      </c>
      <c r="D2537" s="7" t="n">
        <v>354651</v>
      </c>
      <c r="E2537" s="8" t="n">
        <v>40040</v>
      </c>
      <c r="F2537" s="7" t="n">
        <v>3</v>
      </c>
      <c r="G2537" s="7" t="inlineStr">
        <is>
          <t>The macaroons tasted different from what I'm used to in regards to macaroons.  They weren't as sweet and were slightly too salty.  The chocolate definitely helps!  I made these as a dessert option for a luau.  They were the least popular.</t>
        </is>
      </c>
    </row>
    <row r="2538">
      <c r="A2538" s="7" t="n">
        <v>80307</v>
      </c>
      <c r="B2538" s="7" t="n">
        <v>1109588</v>
      </c>
      <c r="C2538" s="7" t="n">
        <v>2000345803</v>
      </c>
      <c r="D2538" s="7" t="n">
        <v>155430</v>
      </c>
      <c r="E2538" s="8" t="n">
        <v>42203</v>
      </c>
      <c r="F2538" s="7" t="n">
        <v>5</v>
      </c>
      <c r="G2538" s="7" t="inlineStr">
        <is>
          <t>This is by far the best bread recipe ever.  In fact it&amp;#039;s the only vegan recipe I&amp;#039;ve tried that actually works! I certainly doesn&amp;#039;t last long; even the kids love it. I added some dried herbs and some garlic powder and the aroma was amazing - served it up with spicy pasta and it was gone. This one is definitely a keeper :-)</t>
        </is>
      </c>
    </row>
    <row r="2539">
      <c r="A2539" s="7" t="n">
        <v>19315</v>
      </c>
      <c r="B2539" s="7" t="n">
        <v>882209</v>
      </c>
      <c r="C2539" s="7" t="n">
        <v>326787</v>
      </c>
      <c r="D2539" s="7" t="n">
        <v>284450</v>
      </c>
      <c r="E2539" s="8" t="n">
        <v>40907</v>
      </c>
      <c r="F2539" s="7" t="n">
        <v>5</v>
      </c>
      <c r="G2539" s="7" t="inlineStr">
        <is>
          <t>A wonderful and truely unique fruit salad. I made for our Christmas dinner and everyone loved it. I made as directed except I did not use as much Cool Whip as it called for. Next time I will cut it down even more, and just use 1 8oz tub. I also used 2 cans of fruit cocktail instead of 1. I added the coconut in with the fruit instead of putting it on top. I especially love the butterscotch flavor, so I recomend using that flavor. Will be making again for sure! UPDATE!!! I made this again for Christmas dinner and this time I used Coconut Cream pudding and left out the coconut in the salad, wow it was wonderful. I so love this recipe and the coconut pudding made the coconut just perfect for those who do not care that much for the coconut taste. Excellent!!</t>
        </is>
      </c>
    </row>
    <row r="2540">
      <c r="A2540" s="7" t="n">
        <v>45949</v>
      </c>
      <c r="B2540" s="7" t="n">
        <v>1033213</v>
      </c>
      <c r="C2540" s="7" t="n">
        <v>532179</v>
      </c>
      <c r="D2540" s="7" t="n">
        <v>48401</v>
      </c>
      <c r="E2540" s="8" t="n">
        <v>39349</v>
      </c>
      <c r="F2540" s="7" t="n">
        <v>5</v>
      </c>
      <c r="G2540" s="7" t="inlineStr">
        <is>
          <t>Amazing! What a beautiful, unique, and delicious cake!! I did use authentic cajeta and HIGHLY recommend that instead of the caramel. The cajeta has the signature flavor of goats milk, almost a bit tart but sweet, and adds another dimension to the fabulous flavors of chocolate and creamy flan. The texture is outstanding!!! I will make this again and again! Thanks!!! ****Ah, just made this again and it came apart after inverting it and removing the bundt. Oops... I forgot to spray the pan with Pam.  Now I know for next time!</t>
        </is>
      </c>
    </row>
    <row r="2541">
      <c r="A2541" s="7" t="n">
        <v>79973</v>
      </c>
      <c r="B2541" s="7" t="n">
        <v>451938</v>
      </c>
      <c r="C2541" s="7" t="n">
        <v>463202</v>
      </c>
      <c r="D2541" s="7" t="n">
        <v>169374</v>
      </c>
      <c r="E2541" s="8" t="n">
        <v>39597</v>
      </c>
      <c r="F2541" s="7" t="n">
        <v>4</v>
      </c>
      <c r="G2541" s="7" t="inlineStr">
        <is>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is>
      </c>
    </row>
    <row r="2542">
      <c r="A2542" s="7" t="n">
        <v>57187</v>
      </c>
      <c r="B2542" s="7" t="n">
        <v>988499</v>
      </c>
      <c r="C2542" s="7" t="n">
        <v>452355</v>
      </c>
      <c r="D2542" s="7" t="n">
        <v>481304</v>
      </c>
      <c r="E2542" s="8" t="n">
        <v>41415</v>
      </c>
      <c r="F2542" s="7" t="n">
        <v>5</v>
      </c>
      <c r="G2542" s="7" t="inlineStr">
        <is>
          <t>This took a little more prep than I would normally like for a work night, so next time I would make this on a weekend or when I have a bit more time.  However, the flavors did not disappoint and tasted fresh and summer-like.  I realized once I started cooking that I did not have a fresh red bell pepper so I subbed a cup of jarred roasted red pepper.  This worked great, if not enhanced the dish.  I had about 4 cups of fresh tomato, so I used 1 can of diced tomato with juice for the remaining 2 cups. This also seemed fine.  Unless I am mistaken, the recipe did not specify where the garlic and balsamic came in.  I added it in the step with the basil before the tomatoes.  I found, perhaps because I used a can of diced tomtoes with juice, that the sauce was plenty &amp;quot;saucy&amp;quot; without the reserved pasta water, so I omitted it.  I grated the Parmesan and Pecorino to taste over the individual servings, which was likely more than the recipe called for (I especially loved the Pecorino).  This was a very tasty dinner and I&amp;#039;m looking forward to leftovers.  Made for Photo Tag, Spring 2013.</t>
        </is>
      </c>
    </row>
    <row r="2543">
      <c r="A2543" s="7" t="n">
        <v>81998</v>
      </c>
      <c r="B2543" s="7" t="n">
        <v>803491</v>
      </c>
      <c r="C2543" s="7" t="n">
        <v>2000429267</v>
      </c>
      <c r="D2543" s="7" t="n">
        <v>465662</v>
      </c>
      <c r="E2543" s="8" t="n">
        <v>42241</v>
      </c>
      <c r="F2543" s="7" t="n">
        <v>0</v>
      </c>
      <c r="G2543" s="7" t="inlineStr">
        <is>
          <t>I want to try it first. Im searching for a good one. Thanks.</t>
        </is>
      </c>
    </row>
    <row r="2544" ht="409.5" customHeight="1">
      <c r="A2544" t="n">
        <v>125481</v>
      </c>
      <c r="B2544" t="n">
        <v>620957</v>
      </c>
      <c r="C2544" t="n">
        <v>94243</v>
      </c>
      <c r="D2544" t="n">
        <v>74629</v>
      </c>
      <c r="E2544" s="1" t="n">
        <v>40197</v>
      </c>
      <c r="F2544" t="n">
        <v>4</v>
      </c>
      <c r="G2544" s="2" t="inlineStr">
        <is>
          <t>This was a good, easy recipe.  I doubled it and added a can of Italian diced tomatoes.  It needed some salt and I had to bake it about 25 minutes longer before all the liquid was gone, but it was very simple and tasty!_x000D_
_x000D_
Thanks~</t>
        </is>
      </c>
    </row>
    <row r="2545">
      <c r="A2545" s="7" t="n">
        <v>106617</v>
      </c>
      <c r="B2545" s="7" t="n">
        <v>232315</v>
      </c>
      <c r="C2545" s="7" t="n">
        <v>135470</v>
      </c>
      <c r="D2545" s="7" t="n">
        <v>200833</v>
      </c>
      <c r="E2545" s="8" t="n">
        <v>40348</v>
      </c>
      <c r="F2545" s="7" t="n">
        <v>5</v>
      </c>
      <c r="G2545" s="7" t="inlineStr">
        <is>
          <t>Lovely scones, the orange was just right and I loved the pecans on top. I ended up using all the juice from the orange for the dough to be able to come together I also used the whole egg because I wasn't paying close enough attention : ) I served these with raspberry freezer jam and whipped cream. Thanks you Unruly Cookie! Made for ZWT 6 for the Unrulies Under the Influence.</t>
        </is>
      </c>
    </row>
    <row r="2546">
      <c r="A2546" s="7" t="n">
        <v>123946</v>
      </c>
      <c r="B2546" s="7" t="n">
        <v>742387</v>
      </c>
      <c r="C2546" s="7" t="n">
        <v>1803372771</v>
      </c>
      <c r="D2546" s="7" t="n">
        <v>154959</v>
      </c>
      <c r="E2546" s="8" t="n">
        <v>41963</v>
      </c>
      <c r="F2546" s="7" t="n">
        <v>5</v>
      </c>
      <c r="G2546" s="7" t="inlineStr">
        <is>
          <t>This is it. My family has a long history with Steak N Shake. I, myself, worked there for over 2 years. I even won the title of The Master of the Grill for our area and came in second place in our district. This recipe is spot on. If you know anything about S N S chili macs, you know that their meat sauce is very unusual. That&amp;#039;s what makes the defining difference. I have yet to discover their secrets, it always came to the restaurants prepackaged. The only suggestion that I have is to buy their chili. You can buy at at the restaurants and some grocery stores carry it. A couple Tbsp is enough to do the trick to give it that more authentic taste. BTW, they always used Heinz ketchup for the sauce.&amp;lt;br/&amp;gt;&amp;lt;br/&amp;gt;They have changed very little over the years. The traditional chili mac doesn&amp;#039;t have chili, it just has the meat sauce and the red sauce with the spaghetti. The chili 5 ways added chili, extra meat sauce, shredded Cheddar ?n jack cheese and diced onion (we used green onion back in the 80&amp;#039;s, I think they use a different kind now). They always had Romano cheese and I think it gives it just the right finishing, B-A-M! (In the words of Emeril Lagasse.)</t>
        </is>
      </c>
    </row>
    <row r="2547">
      <c r="A2547" s="7" t="n">
        <v>71261</v>
      </c>
      <c r="B2547" s="7" t="n">
        <v>413374</v>
      </c>
      <c r="C2547" s="7" t="n">
        <v>12118</v>
      </c>
      <c r="D2547" s="7" t="n">
        <v>37984</v>
      </c>
      <c r="E2547" s="8" t="n">
        <v>37524</v>
      </c>
      <c r="F2547" s="7" t="n">
        <v>5</v>
      </c>
      <c r="G2547" s="7" t="inlineStr">
        <is>
          <t xml:space="preserve">What a great meal!  This would be perfect to show off at any family dinner, potluck or just for your family after work.  I think it would be really good with egg noodles in place of rice too.  </t>
        </is>
      </c>
    </row>
    <row r="2548">
      <c r="A2548" s="7" t="n">
        <v>4351</v>
      </c>
      <c r="B2548" s="7" t="n">
        <v>458194</v>
      </c>
      <c r="C2548" s="7" t="n">
        <v>382112</v>
      </c>
      <c r="D2548" s="7" t="n">
        <v>66409</v>
      </c>
      <c r="E2548" s="8" t="n">
        <v>39416</v>
      </c>
      <c r="F2548" s="7" t="n">
        <v>5</v>
      </c>
      <c r="G2548" s="7" t="inlineStr">
        <is>
          <t>I put in the 1/3 cup sugar, used Blue Bonnet Homestyle margarine (1/2 the fat) and cut it to 1/3 cup.  I put 1/2 teaspoon of cinnamon in with the flour and added 3/4 cup cinnamon chips.  They turned out WONDERFUL.  My Husband even eats them like they are going out style.  Thanks so much for sharing this recipe.  I can make these in 10 minutes just like it says.</t>
        </is>
      </c>
    </row>
    <row r="2549">
      <c r="A2549" s="7" t="n">
        <v>14095</v>
      </c>
      <c r="B2549" s="7" t="n">
        <v>631457</v>
      </c>
      <c r="C2549" s="7" t="n">
        <v>339544</v>
      </c>
      <c r="D2549" s="7" t="n">
        <v>94469</v>
      </c>
      <c r="E2549" s="8" t="n">
        <v>41214</v>
      </c>
      <c r="F2549" s="7" t="n">
        <v>5</v>
      </c>
      <c r="G2549" s="7" t="inlineStr">
        <is>
          <t>We love, love, love this salad dressing!  Great recipe.</t>
        </is>
      </c>
    </row>
    <row r="2550">
      <c r="A2550" s="7" t="n">
        <v>94409</v>
      </c>
      <c r="B2550" s="7" t="n">
        <v>19245</v>
      </c>
      <c r="C2550" s="7" t="n">
        <v>2000406496</v>
      </c>
      <c r="D2550" s="7" t="n">
        <v>248244</v>
      </c>
      <c r="E2550" s="8" t="n">
        <v>42232</v>
      </c>
      <c r="F2550" s="7" t="n">
        <v>1</v>
      </c>
      <c r="G2550" s="7" t="inlineStr">
        <is>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is>
      </c>
    </row>
    <row r="2551">
      <c r="A2551" s="7" t="n">
        <v>23745</v>
      </c>
      <c r="B2551" s="7" t="n">
        <v>1283</v>
      </c>
      <c r="C2551" s="7" t="n">
        <v>169430</v>
      </c>
      <c r="D2551" s="7" t="n">
        <v>109578</v>
      </c>
      <c r="E2551" s="8" t="n">
        <v>39180</v>
      </c>
      <c r="F2551" s="7" t="n">
        <v>4</v>
      </c>
      <c r="G2551" s="7" t="inlineStr">
        <is>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is>
      </c>
    </row>
    <row r="2552">
      <c r="A2552" s="7" t="n">
        <v>20659</v>
      </c>
      <c r="B2552" s="7" t="n">
        <v>246830</v>
      </c>
      <c r="C2552" s="7" t="n">
        <v>157425</v>
      </c>
      <c r="D2552" s="7" t="n">
        <v>326404</v>
      </c>
      <c r="E2552" s="8" t="n">
        <v>39872</v>
      </c>
      <c r="F2552" s="7" t="n">
        <v>5</v>
      </c>
      <c r="G2552" s="7" t="inlineStr">
        <is>
          <t>I love fruity tropical drinks so five stars for this drink! Little bit of tang from the lemonade, I used Simply Lemonade, and it worked great for this recipe. Thank you Sara 76 for posting this recipe, I will be making it again soon. Made and reviewed for the Vegetarian Forums Recipe Swap #7.</t>
        </is>
      </c>
    </row>
    <row r="2553">
      <c r="A2553" s="7" t="n">
        <v>111419</v>
      </c>
      <c r="B2553" s="7" t="n">
        <v>941095</v>
      </c>
      <c r="C2553" s="7" t="n">
        <v>5060</v>
      </c>
      <c r="D2553" s="7" t="n">
        <v>73792</v>
      </c>
      <c r="E2553" s="8" t="n">
        <v>37936</v>
      </c>
      <c r="F2553" s="7" t="n">
        <v>5</v>
      </c>
      <c r="G2553" s="7" t="inlineStr">
        <is>
          <t>I don't have a pampered chef slicer either, I used my mandolin to slice them nice and thin.  My oven may be off, not sure, but I burned the first batch, the second batch I watched very closely and they turned out great after only one and one half hours. They were still slightly soft but I didn't want to take the risk of overdoing them again. They did crisp up some as they were cooling. In any case they are delichious!! and I will be making more. Thanks for a great recipe.</t>
        </is>
      </c>
    </row>
    <row r="2554">
      <c r="A2554" s="7" t="n">
        <v>125122</v>
      </c>
      <c r="B2554" s="7" t="n">
        <v>342550</v>
      </c>
      <c r="C2554" s="7" t="n">
        <v>581245</v>
      </c>
      <c r="D2554" s="7" t="n">
        <v>121714</v>
      </c>
      <c r="E2554" s="8" t="n">
        <v>39760</v>
      </c>
      <c r="F2554" s="7" t="n">
        <v>5</v>
      </c>
      <c r="G2554" s="7" t="inlineStr">
        <is>
          <t>Really tasty! I would say they are too sweet and would cut the sugars by 1/4 cup each, but otherwise, completely delicious and not worth docking stars for. I used a combo of white rice, sorghum and potato starch flour, used the non-hydrogenated vegetable shortening and GFCF chocolate chips because by daughter is autistic,  and we loved them!</t>
        </is>
      </c>
    </row>
    <row r="2555">
      <c r="A2555" s="7" t="n">
        <v>22027</v>
      </c>
      <c r="B2555" s="7" t="n">
        <v>843052</v>
      </c>
      <c r="C2555" s="7" t="n">
        <v>155498</v>
      </c>
      <c r="D2555" s="7" t="n">
        <v>261982</v>
      </c>
      <c r="E2555" s="8" t="n">
        <v>40628</v>
      </c>
      <c r="F2555" s="7" t="n">
        <v>3</v>
      </c>
      <c r="G2555" s="7" t="inlineStr">
        <is>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is>
      </c>
    </row>
    <row r="2556">
      <c r="A2556" s="7" t="n">
        <v>96981</v>
      </c>
      <c r="B2556" s="7" t="n">
        <v>325740</v>
      </c>
      <c r="C2556" s="7" t="n">
        <v>65955</v>
      </c>
      <c r="D2556" s="7" t="n">
        <v>56508</v>
      </c>
      <c r="E2556" s="8" t="n">
        <v>38273</v>
      </c>
      <c r="F2556" s="7" t="n">
        <v>3</v>
      </c>
      <c r="G2556" s="7" t="inlineStr">
        <is>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is>
      </c>
    </row>
    <row r="2557">
      <c r="A2557" s="7" t="n">
        <v>7354</v>
      </c>
      <c r="B2557" s="7" t="n">
        <v>63907</v>
      </c>
      <c r="C2557" s="7" t="n">
        <v>118163</v>
      </c>
      <c r="D2557" s="7" t="n">
        <v>87131</v>
      </c>
      <c r="E2557" s="8" t="n">
        <v>38144</v>
      </c>
      <c r="F2557" s="7" t="n">
        <v>5</v>
      </c>
      <c r="G2557" s="7" t="inlineStr">
        <is>
          <t>I made this for my friends pastry and jar baskets that I make annually for them and it was a big hit. They said that this is great on crackers of biscuits, and also that I need to make more, lol. They thank you very much and so do I for this great recipe.</t>
        </is>
      </c>
    </row>
    <row r="2558">
      <c r="A2558" s="7" t="n">
        <v>81073</v>
      </c>
      <c r="B2558" s="7" t="n">
        <v>259656</v>
      </c>
      <c r="C2558" s="7" t="n">
        <v>1175921</v>
      </c>
      <c r="D2558" s="7" t="n">
        <v>194521</v>
      </c>
      <c r="E2558" s="8" t="n">
        <v>40035</v>
      </c>
      <c r="F2558" s="7" t="n">
        <v>5</v>
      </c>
      <c r="G2558" s="7" t="inlineStr">
        <is>
          <t>This recipe is absolutely lovely!! I omitted the mushrooms as I don't like them. The chicken came tender and the sauce is really good. Also, leftovers taste great the next day as the chicken has had more time to marinate.</t>
        </is>
      </c>
    </row>
    <row r="2559">
      <c r="A2559" s="7" t="n">
        <v>24960</v>
      </c>
      <c r="B2559" s="7" t="n">
        <v>984475</v>
      </c>
      <c r="C2559" s="7" t="n">
        <v>1269015</v>
      </c>
      <c r="D2559" s="7" t="n">
        <v>9272</v>
      </c>
      <c r="E2559" s="8" t="n">
        <v>40153</v>
      </c>
      <c r="F2559" s="7" t="n">
        <v>5</v>
      </c>
      <c r="G2559" s="7" t="inlineStr">
        <is>
          <t>I made a very small serving of this to go with our quesadillas and guacamole and the family raved about this salsa. I thought it was a bit too sweet, and will probably cut back on the sugar just a little bit in the future (but I also left out the jalapeno). But we're never going to want Pace or any other storebought salsa again!</t>
        </is>
      </c>
    </row>
    <row r="2560">
      <c r="A2560" s="7" t="n">
        <v>33016</v>
      </c>
      <c r="B2560" s="7" t="n">
        <v>680996</v>
      </c>
      <c r="C2560" s="7" t="n">
        <v>199020</v>
      </c>
      <c r="D2560" s="7" t="n">
        <v>108248</v>
      </c>
      <c r="E2560" s="8" t="n">
        <v>38753</v>
      </c>
      <c r="F2560" s="7" t="n">
        <v>4</v>
      </c>
      <c r="G2560" s="7" t="inlineStr">
        <is>
          <t>I have to say I prefer the cookies to the bars.  It is the exact same recipe; the only difference is the directions.  Thanks for sharing.</t>
        </is>
      </c>
    </row>
    <row r="2561">
      <c r="A2561" s="7" t="n">
        <v>61572</v>
      </c>
      <c r="B2561" s="7" t="n">
        <v>127840</v>
      </c>
      <c r="C2561" s="7" t="n">
        <v>2025389</v>
      </c>
      <c r="D2561" s="7" t="n">
        <v>93743</v>
      </c>
      <c r="E2561" s="8" t="n">
        <v>41111</v>
      </c>
      <c r="F2561" s="7" t="n">
        <v>5</v>
      </c>
      <c r="G2561" s="7" t="inlineStr">
        <is>
          <t>I just made this for a triple layer vanilla cake for a wedding shower at my father in law's workplace.  It is already to die for!  I think I'll make this or substitute blueberries for our reveal party (sex of our baby) I am planning in September.  I bet blueberries, peaches or banana would be other great fruits to substitute.  I can't wait to hear the reviews I get on this cake.  This is so worth making verses that pre made stuff you can get at a bake shop.  I can't wait to post a pic of this and the cake!</t>
        </is>
      </c>
    </row>
    <row r="2562">
      <c r="A2562" s="7" t="n">
        <v>56525</v>
      </c>
      <c r="B2562" s="7" t="n">
        <v>744247</v>
      </c>
      <c r="C2562" s="7" t="n">
        <v>765074</v>
      </c>
      <c r="D2562" s="7" t="n">
        <v>48635</v>
      </c>
      <c r="E2562" s="8" t="n">
        <v>40181</v>
      </c>
      <c r="F2562" s="7" t="n">
        <v>5</v>
      </c>
      <c r="G2562" s="7" t="inlineStr">
        <is>
          <t>Great pancakes. I love the fact that I am not having to melt and then cool butter in this recipe! This is our new go-to recipe for pancakes. Thanks for sharing with everyone.</t>
        </is>
      </c>
    </row>
    <row r="2563">
      <c r="A2563" t="n">
        <v>108292</v>
      </c>
      <c r="B2563" t="n">
        <v>715925</v>
      </c>
      <c r="C2563" t="n">
        <v>142463</v>
      </c>
      <c r="D2563" t="n">
        <v>59148</v>
      </c>
      <c r="E2563" s="1" t="n">
        <v>38322</v>
      </c>
      <c r="F2563" t="n">
        <v>5</v>
      </c>
      <c r="G2563" t="inlineStr">
        <is>
          <t>oh my GOSH... I could drink this all day every day...lol.  Went through 4 double pitchers on Thanksgiving (no, not just by myself).  Yummy.  Yes, great for a hot afternoon, but great for anytime!</t>
        </is>
      </c>
    </row>
    <row r="2564">
      <c r="A2564" s="7" t="n">
        <v>98788</v>
      </c>
      <c r="B2564" s="7" t="n">
        <v>1094890</v>
      </c>
      <c r="C2564" s="7" t="n">
        <v>50643</v>
      </c>
      <c r="D2564" s="7" t="n">
        <v>34854</v>
      </c>
      <c r="E2564" s="8" t="n">
        <v>37470</v>
      </c>
      <c r="F2564" s="7" t="n">
        <v>5</v>
      </c>
      <c r="G2564" s="7" t="inlineStr">
        <is>
          <t>I made these for my Dad's retirement party. What a cool and frosty-fruity  delight. Perfect for a hot summer evening. My family and guests all enjoyed this. Thank-you :)</t>
        </is>
      </c>
    </row>
    <row r="2565">
      <c r="A2565" s="7" t="n">
        <v>111097</v>
      </c>
      <c r="B2565" s="7" t="n">
        <v>13286</v>
      </c>
      <c r="C2565" s="7" t="n">
        <v>17803</v>
      </c>
      <c r="D2565" s="7" t="n">
        <v>209168</v>
      </c>
      <c r="E2565" s="8" t="n">
        <v>41053</v>
      </c>
      <c r="F2565" s="7" t="n">
        <v>5</v>
      </c>
      <c r="G2565" s="7" t="inlineStr">
        <is>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is>
      </c>
    </row>
    <row r="2566">
      <c r="A2566" s="7" t="n">
        <v>51166</v>
      </c>
      <c r="B2566" s="7" t="n">
        <v>163411</v>
      </c>
      <c r="C2566" s="7" t="n">
        <v>2000492386</v>
      </c>
      <c r="D2566" s="7" t="n">
        <v>12157</v>
      </c>
      <c r="E2566" s="8" t="n">
        <v>42270</v>
      </c>
      <c r="F2566" s="7" t="n">
        <v>1</v>
      </c>
      <c r="G2566" s="7" t="inlineStr">
        <is>
          <t>This is a soggy burito not an enchilada :( very disappointed</t>
        </is>
      </c>
    </row>
    <row r="2567">
      <c r="A2567" s="7" t="n">
        <v>76</v>
      </c>
      <c r="B2567" s="7" t="n">
        <v>263219</v>
      </c>
      <c r="C2567" s="7" t="n">
        <v>176615</v>
      </c>
      <c r="D2567" s="7" t="n">
        <v>182403</v>
      </c>
      <c r="E2567" s="8" t="n">
        <v>39361</v>
      </c>
      <c r="F2567" s="7" t="n">
        <v>5</v>
      </c>
      <c r="G2567" s="7" t="inlineStr">
        <is>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is>
      </c>
    </row>
    <row r="2568">
      <c r="A2568" s="7" t="n">
        <v>125453</v>
      </c>
      <c r="B2568" s="7" t="n">
        <v>735217</v>
      </c>
      <c r="C2568" s="7" t="n">
        <v>2001265469</v>
      </c>
      <c r="D2568" s="7" t="n">
        <v>342934</v>
      </c>
      <c r="E2568" s="8" t="n">
        <v>42697</v>
      </c>
      <c r="F2568" s="7" t="n">
        <v>5</v>
      </c>
      <c r="G2568" s="7" t="inlineStr">
        <is>
          <t>If you purchase a little of Charley Browns owner Iconix Brand, you'll be able to buy a lifetime of popcorn with the profits!!!</t>
        </is>
      </c>
    </row>
    <row r="2569">
      <c r="A2569" s="7" t="n">
        <v>74968</v>
      </c>
      <c r="B2569" s="7" t="n">
        <v>609080</v>
      </c>
      <c r="C2569" s="7" t="n">
        <v>305531</v>
      </c>
      <c r="D2569" s="7" t="n">
        <v>314281</v>
      </c>
      <c r="E2569" s="8" t="n">
        <v>39663</v>
      </c>
      <c r="F2569" s="7" t="n">
        <v>5</v>
      </c>
      <c r="G2569" s="7" t="inlineStr">
        <is>
          <t>Great bread! DH brought a baguette home instead of the correct bread, lol, but it still tasted very good. Simple, easy, and tasty. Thanks again Kit for another keeper. Made for Newest Zaar Tag.</t>
        </is>
      </c>
    </row>
    <row r="2570">
      <c r="A2570" s="7" t="n">
        <v>79911</v>
      </c>
      <c r="B2570" s="7" t="n">
        <v>519477</v>
      </c>
      <c r="C2570" s="7" t="n">
        <v>972632</v>
      </c>
      <c r="D2570" s="7" t="n">
        <v>93989</v>
      </c>
      <c r="E2570" s="8" t="n">
        <v>40023</v>
      </c>
      <c r="F2570" s="7" t="n">
        <v>0</v>
      </c>
      <c r="G2570" s="7" t="inlineStr">
        <is>
          <t>These were amazing.  I used regular malt powder instead of the chocolate kind.  The frosting was so good and I will use it for other desserts. Thank you.</t>
        </is>
      </c>
    </row>
    <row r="2571">
      <c r="A2571" s="7" t="n">
        <v>105616</v>
      </c>
      <c r="B2571" s="7" t="n">
        <v>569514</v>
      </c>
      <c r="C2571" s="7" t="n">
        <v>2000747636</v>
      </c>
      <c r="D2571" s="7" t="n">
        <v>372087</v>
      </c>
      <c r="E2571" s="8" t="n">
        <v>42353</v>
      </c>
      <c r="F2571" s="7" t="n">
        <v>5</v>
      </c>
      <c r="G2571" s="7" t="inlineStr">
        <is>
          <t>I enjoyed doing this recipe. I changed the vanilla for some agave which is something was recommended. They&amp;#039;re in the oven right now and they look perfect! Smells great, and definitely a winner in my books!</t>
        </is>
      </c>
    </row>
    <row r="2572">
      <c r="A2572" t="n">
        <v>104526</v>
      </c>
      <c r="B2572" t="n">
        <v>933764</v>
      </c>
      <c r="C2572" t="n">
        <v>527886</v>
      </c>
      <c r="D2572" t="n">
        <v>456742</v>
      </c>
      <c r="E2572" s="1" t="n">
        <v>40692</v>
      </c>
      <c r="F2572" t="n">
        <v>3</v>
      </c>
      <c r="G2572" t="inlineStr">
        <is>
          <t>Not entirely to my taste, although I like the tomato/papaya pairing, with some chile spice. I might try again without the asian influence of sesame oil and soy sauce - there seemed to be simply too many flavor influences jumbled together. The flavor developed quite a bit after being in the refrigerator overnight. I used a fairly sweet tomato; I think something more acidic might work better, to balance the slickness and sweetness of the papaya.</t>
        </is>
      </c>
    </row>
    <row r="2573">
      <c r="A2573" s="7" t="n">
        <v>56341</v>
      </c>
      <c r="B2573" s="7" t="n">
        <v>414565</v>
      </c>
      <c r="C2573" s="7" t="n">
        <v>2000244623</v>
      </c>
      <c r="D2573" s="7" t="n">
        <v>324032</v>
      </c>
      <c r="E2573" s="8" t="n">
        <v>42157</v>
      </c>
      <c r="F2573" s="7" t="n">
        <v>5</v>
      </c>
      <c r="G2573" s="7" t="inlineStr">
        <is>
          <t>I made this for Christmas lunch and the cold mix of the salsa on the hot fritters were perfect for an Australian summer meal. Perfect amount of heat from the meal. I added 1 whole avocado diced to the salsa. Beautiful!!</t>
        </is>
      </c>
    </row>
    <row r="2574">
      <c r="A2574" s="7" t="n">
        <v>30703</v>
      </c>
      <c r="B2574" s="7" t="n">
        <v>424860</v>
      </c>
      <c r="C2574" s="7" t="n">
        <v>6357</v>
      </c>
      <c r="D2574" s="7" t="n">
        <v>153890</v>
      </c>
      <c r="E2574" s="8" t="n">
        <v>38749</v>
      </c>
      <c r="F2574" s="7" t="n">
        <v>3</v>
      </c>
      <c r="G2574" s="7" t="inlineStr">
        <is>
          <t>Tried these yesterday evening but I'm not very happy with the final product. These were much less sweet than I expected. I would add more sugar next time. Baked for about 20 minutes. I like these uncooked, they taste much better. Sorry Aunt Bev, this one was a disappointment.</t>
        </is>
      </c>
    </row>
    <row r="2575">
      <c r="A2575" s="7" t="n">
        <v>1705</v>
      </c>
      <c r="B2575" s="7" t="n">
        <v>580255</v>
      </c>
      <c r="C2575" s="7" t="n">
        <v>1800061925</v>
      </c>
      <c r="D2575" s="7" t="n">
        <v>45069</v>
      </c>
      <c r="E2575" s="8" t="n">
        <v>41532</v>
      </c>
      <c r="F2575" s="7" t="n">
        <v>1</v>
      </c>
      <c r="G2575" s="7" t="inlineStr">
        <is>
          <t>Zzzz. Boring! This is tasteless, it has no flavor, no spice. It&amp;#039;s basically red water with meat chunks. Yuck! I added more of the spice mix because it didn&amp;#039;t seem like enough, as well as a can of Ro-Tel and a fresh jalape&amp;ntilde;o, but even after that it tastes bland. I&amp;#039;d be so embarrassed if I was going to make this for someone other than my husband. Keep looking!</t>
        </is>
      </c>
    </row>
    <row r="2576">
      <c r="A2576" s="7" t="n">
        <v>53501</v>
      </c>
      <c r="B2576" s="7" t="n">
        <v>369749</v>
      </c>
      <c r="C2576" s="7" t="n">
        <v>1666443</v>
      </c>
      <c r="D2576" s="7" t="n">
        <v>323289</v>
      </c>
      <c r="E2576" s="8" t="n">
        <v>40945</v>
      </c>
      <c r="F2576" s="7" t="n">
        <v>5</v>
      </c>
      <c r="G2576" s="7" t="inlineStr">
        <is>
          <t>So Easy and SO GOOD.  Off the chain good.</t>
        </is>
      </c>
    </row>
    <row r="2577">
      <c r="A2577" s="7" t="n">
        <v>104025</v>
      </c>
      <c r="B2577" s="7" t="n">
        <v>655816</v>
      </c>
      <c r="C2577" s="7" t="n">
        <v>994658</v>
      </c>
      <c r="D2577" s="7" t="n">
        <v>156900</v>
      </c>
      <c r="E2577" s="8" t="n">
        <v>39978</v>
      </c>
      <c r="F2577" s="7" t="n">
        <v>4</v>
      </c>
      <c r="G2577" s="7" t="inlineStr">
        <is>
          <t>Great recipe.  I found I had to double the spices and add curry powder to get it to my taste.  I added in about 6 tablespoons of yogurt when it had about 5 mins of cooking time left.  Also added in fresh corriander at the end.  Thanks for the recipe!</t>
        </is>
      </c>
    </row>
    <row r="2578">
      <c r="A2578" s="7" t="n">
        <v>32958</v>
      </c>
      <c r="B2578" s="7" t="n">
        <v>177021</v>
      </c>
      <c r="C2578" s="7" t="n">
        <v>64642</v>
      </c>
      <c r="D2578" s="7" t="n">
        <v>215814</v>
      </c>
      <c r="E2578" s="8" t="n">
        <v>39220</v>
      </c>
      <c r="F2578" s="7" t="n">
        <v>0</v>
      </c>
      <c r="G2578" s="7" t="inlineStr">
        <is>
          <t>This is the very same recipe I have in a post WWII cookbook from a time when things like butter and flour were rationed.</t>
        </is>
      </c>
    </row>
    <row r="2579">
      <c r="A2579" s="7" t="n">
        <v>26927</v>
      </c>
      <c r="B2579" s="7" t="n">
        <v>193779</v>
      </c>
      <c r="C2579" s="7" t="n">
        <v>128447</v>
      </c>
      <c r="D2579" s="7" t="n">
        <v>258522</v>
      </c>
      <c r="E2579" s="8" t="n">
        <v>39482</v>
      </c>
      <c r="F2579" s="7" t="n">
        <v>5</v>
      </c>
      <c r="G2579" s="7" t="inlineStr">
        <is>
          <t>My family loved this recipe.  My 24 yr old son took 10 bars home with him when he left.  Very delicious.</t>
        </is>
      </c>
    </row>
    <row r="2580">
      <c r="A2580" s="7" t="n">
        <v>40769</v>
      </c>
      <c r="B2580" s="7" t="n">
        <v>860723</v>
      </c>
      <c r="C2580" s="7" t="n">
        <v>383346</v>
      </c>
      <c r="D2580" s="7" t="n">
        <v>27971</v>
      </c>
      <c r="E2580" s="8" t="n">
        <v>41575</v>
      </c>
      <c r="F2580" s="7" t="n">
        <v>5</v>
      </c>
      <c r="G2580" s="7" t="inlineStr">
        <is>
          <t>These are so yummy.  The vinegar adds a nice zing to the deviled eggs.  They reminded the ones my mother made when I was living with my parents.  Thanks Bev :)  Made for Cooking tag mania</t>
        </is>
      </c>
    </row>
    <row r="2581" ht="409.5" customHeight="1">
      <c r="A2581" s="7" t="n">
        <v>40632</v>
      </c>
      <c r="B2581" s="7" t="n">
        <v>577490</v>
      </c>
      <c r="C2581" s="7" t="n">
        <v>736741</v>
      </c>
      <c r="D2581" s="7" t="n">
        <v>29636</v>
      </c>
      <c r="E2581" s="8" t="n">
        <v>39596</v>
      </c>
      <c r="F2581" s="7" t="n">
        <v>2</v>
      </c>
      <c r="G2581" s="9" t="inlineStr">
        <is>
          <t>This is not how Dunkin Donuts iced coffee is made. Firstly, the cup is supposed to be completely full of ice, then the sugar is added first, next the cream, then the coffee. Also, the cream and sugar isn't equal. There is an automatic dispenser of cream at Dunkin Donuts, and it goes by the size coffee you're getting, regardless if it's iced or hot. It goes by 1 tbs(extra small for people who like little cream), 2 tbs(small- for all small coffee's and iced coffee's), 3 tbs(for all medium coffee's and iced coffee's, 4 tbs(for all large coffee's and iced coffee's, 5 tbs(for all extra large coffee's)
I know that because I used to be  an employee. The sugar is done is the same amounts, from an automatic dispenser. So, I'd suggest using more ice for this drink and less cream. Great recipe though, they do have the best coffee!</t>
        </is>
      </c>
    </row>
    <row r="2582">
      <c r="A2582" s="7" t="n">
        <v>121626</v>
      </c>
      <c r="B2582" s="7" t="n">
        <v>770542</v>
      </c>
      <c r="C2582" s="7" t="n">
        <v>1222615</v>
      </c>
      <c r="D2582" s="7" t="n">
        <v>141047</v>
      </c>
      <c r="E2582" s="8" t="n">
        <v>40360</v>
      </c>
      <c r="F2582" s="7" t="n">
        <v>5</v>
      </c>
      <c r="G2582" s="7" t="inlineStr">
        <is>
          <t>I love bran muffins and I love blueberry muffins but never would have thought to combine them.  They combine deliciously!  I made the recipe exactly as stated and got 12 nice size muffins.</t>
        </is>
      </c>
    </row>
    <row r="2583">
      <c r="A2583" s="7" t="n">
        <v>3391</v>
      </c>
      <c r="B2583" s="7" t="n">
        <v>150942</v>
      </c>
      <c r="C2583" s="7" t="n">
        <v>724516</v>
      </c>
      <c r="D2583" s="7" t="n">
        <v>413691</v>
      </c>
      <c r="E2583" s="8" t="n">
        <v>40243</v>
      </c>
      <c r="F2583" s="7" t="n">
        <v>4</v>
      </c>
      <c r="G2583" s="7" t="inlineStr">
        <is>
          <t>I have never made a sweet like this before and I thought my DH would like this, I was right he loved the taste. The lemon and orange zest came through well, but it was the cinnamon that was the strongest and my DH loves cinnamon. I think  mine was a bit thick I think it is meant to be a bit thinner but next time I will do better. Made for RSC#15</t>
        </is>
      </c>
    </row>
    <row r="2584">
      <c r="A2584" s="7" t="n">
        <v>68876</v>
      </c>
      <c r="B2584" s="7" t="n">
        <v>1074800</v>
      </c>
      <c r="C2584" s="7" t="n">
        <v>2845833</v>
      </c>
      <c r="D2584" s="7" t="n">
        <v>135350</v>
      </c>
      <c r="E2584" s="8" t="n">
        <v>41425</v>
      </c>
      <c r="F2584" s="7" t="n">
        <v>5</v>
      </c>
      <c r="G2584" s="7" t="inlineStr">
        <is>
          <t>Newbie on this site. Just wanted to say this is really good, best I&amp;#039;ve had !!</t>
        </is>
      </c>
    </row>
    <row r="2585">
      <c r="A2585" s="7" t="n">
        <v>1044</v>
      </c>
      <c r="B2585" s="7" t="n">
        <v>767891</v>
      </c>
      <c r="C2585" s="7" t="n">
        <v>26512</v>
      </c>
      <c r="D2585" s="7" t="n">
        <v>61962</v>
      </c>
      <c r="E2585" s="8" t="n">
        <v>39618</v>
      </c>
      <c r="F2585" s="7" t="n">
        <v>5</v>
      </c>
      <c r="G2585" s="7" t="inlineStr">
        <is>
          <t>I really enjoyed this dish. The only changes I made was to add fresh basil and several tbsp of fat free half &amp; half. Five stars for simplicity, great flavor and flexibility. You could - and I will - make many changes with veggies, herbs and different herbs. Will be making this one often, thanks for posting.</t>
        </is>
      </c>
    </row>
    <row r="2586">
      <c r="A2586" t="n">
        <v>29702</v>
      </c>
      <c r="B2586" t="n">
        <v>582803</v>
      </c>
      <c r="C2586" t="n">
        <v>1365025</v>
      </c>
      <c r="D2586" t="n">
        <v>457808</v>
      </c>
      <c r="E2586" s="1" t="n">
        <v>41971</v>
      </c>
      <c r="F2586" t="n">
        <v>4</v>
      </c>
      <c r="G2586" t="inlineStr">
        <is>
          <t>Very nice cup of coffee. Really enjoyed on this cold winters morn.</t>
        </is>
      </c>
    </row>
    <row r="2587">
      <c r="A2587" s="7" t="n">
        <v>69789</v>
      </c>
      <c r="B2587" s="7" t="n">
        <v>445981</v>
      </c>
      <c r="C2587" s="7" t="n">
        <v>469903</v>
      </c>
      <c r="D2587" s="7" t="n">
        <v>219196</v>
      </c>
      <c r="E2587" s="8" t="n">
        <v>39200</v>
      </c>
      <c r="F2587" s="7" t="n">
        <v>5</v>
      </c>
      <c r="G2587" s="7" t="inlineStr">
        <is>
          <t>These lemon squares were perfect!  I have made these bars twice already (the first time when I received my copy of Kraft mag and then again after seeing this posting!) - I actually served these at Easter dinner for dessert.  The recipe is easy to make and goes together very quickly.  They are just as good the second day as they are the first.  I also like that the calories and fat content are reduced without sacrificing any flavor.  Thanks!</t>
        </is>
      </c>
    </row>
    <row r="2588">
      <c r="A2588" s="7" t="n">
        <v>121022</v>
      </c>
      <c r="B2588" s="7" t="n">
        <v>439088</v>
      </c>
      <c r="C2588" s="7" t="n">
        <v>424680</v>
      </c>
      <c r="D2588" s="7" t="n">
        <v>377443</v>
      </c>
      <c r="E2588" s="8" t="n">
        <v>40102</v>
      </c>
      <c r="F2588" s="7" t="n">
        <v>5</v>
      </c>
      <c r="G2588" s="7" t="inlineStr">
        <is>
          <t>Although I usually like to make a recipe (the 1st time) as written, there was no way I was gonna include pecans in a 'Chocolate Pistachio' kind of cake! So, I used pistachios instead, but then, what can I say but that, here in California, they "grow on trees," they're so plentiful! Other than that, though, I did include everything else &amp; the resulting cake was everything I wanted ~ Moist, flavorful, chocolaty &amp; with a nice taste of pistachio, too! [Made &amp; reviewed for one of my adopted orphans in the current Pick A Chef]</t>
        </is>
      </c>
    </row>
    <row r="2589">
      <c r="A2589" s="7" t="n">
        <v>72275</v>
      </c>
      <c r="B2589" s="7" t="n">
        <v>810297</v>
      </c>
      <c r="C2589" s="7" t="n">
        <v>159645</v>
      </c>
      <c r="D2589" s="7" t="n">
        <v>78897</v>
      </c>
      <c r="E2589" s="8" t="n">
        <v>38590</v>
      </c>
      <c r="F2589" s="7" t="n">
        <v>0</v>
      </c>
      <c r="G2589" s="7" t="inlineStr">
        <is>
          <t>Thanks for the great recipe.  I added chopped onion with the hamburger, and threw in a small can of corn.  Gotta give it 5 stars, it was super easy and yummy!</t>
        </is>
      </c>
    </row>
    <row r="2590">
      <c r="A2590" s="7" t="n">
        <v>21711</v>
      </c>
      <c r="B2590" s="7" t="n">
        <v>823870</v>
      </c>
      <c r="C2590" s="7" t="n">
        <v>115957</v>
      </c>
      <c r="D2590" s="7" t="n">
        <v>78814</v>
      </c>
      <c r="E2590" s="8" t="n">
        <v>38536</v>
      </c>
      <c r="F2590" s="7" t="n">
        <v>1</v>
      </c>
      <c r="G2590" s="7" t="inlineStr">
        <is>
          <t>I am so surprised at how much my husband and I disliked this dish. It sounded so wonderful. There was something off with the texture of this sauce. The cream cheese really stood out and didn't blend well with the other ingredients, taste wise. I was very disappointed. I would not recommend this dish.</t>
        </is>
      </c>
    </row>
    <row r="2591">
      <c r="A2591" s="7" t="n">
        <v>114436</v>
      </c>
      <c r="B2591" s="7" t="n">
        <v>791462</v>
      </c>
      <c r="C2591" s="7" t="n">
        <v>244035</v>
      </c>
      <c r="D2591" s="7" t="n">
        <v>4205</v>
      </c>
      <c r="E2591" s="8" t="n">
        <v>38859</v>
      </c>
      <c r="F2591" s="7" t="n">
        <v>4</v>
      </c>
      <c r="G2591" s="7" t="inlineStr">
        <is>
          <t>This was a pretty good recipe.  It was a little thick for me.  Next time I will use a little less cream cheese and more milk and parmesan.</t>
        </is>
      </c>
    </row>
    <row r="2592">
      <c r="A2592" s="7" t="n">
        <v>111324</v>
      </c>
      <c r="B2592" s="7" t="n">
        <v>397092</v>
      </c>
      <c r="C2592" s="7" t="n">
        <v>513551</v>
      </c>
      <c r="D2592" s="7" t="n">
        <v>233189</v>
      </c>
      <c r="E2592" s="8" t="n">
        <v>40084</v>
      </c>
      <c r="F2592" s="7" t="n">
        <v>5</v>
      </c>
      <c r="G2592" s="7" t="inlineStr">
        <is>
          <t>This was great! I doubled the black pepper for personal taste. Thanks!</t>
        </is>
      </c>
    </row>
    <row r="2593">
      <c r="A2593" s="7" t="n">
        <v>17751</v>
      </c>
      <c r="B2593" s="7" t="n">
        <v>710319</v>
      </c>
      <c r="C2593" s="7" t="n">
        <v>2000355868</v>
      </c>
      <c r="D2593" s="7" t="n">
        <v>28025</v>
      </c>
      <c r="E2593" s="8" t="n">
        <v>42207</v>
      </c>
      <c r="F2593" s="7" t="n">
        <v>5</v>
      </c>
      <c r="G2593" s="7" t="inlineStr">
        <is>
          <t>Excellent recipe added a tomato based seasoning and it made these patties to die for,didn&amp;#039;t fall apart either and the kids loved it</t>
        </is>
      </c>
    </row>
    <row r="2594">
      <c r="A2594" t="n">
        <v>118665</v>
      </c>
      <c r="B2594" t="n">
        <v>26706</v>
      </c>
      <c r="C2594" t="n">
        <v>561303</v>
      </c>
      <c r="D2594" t="n">
        <v>86868</v>
      </c>
      <c r="E2594" s="1" t="n">
        <v>39524</v>
      </c>
      <c r="F2594" t="n">
        <v>4</v>
      </c>
      <c r="G2594" t="inlineStr">
        <is>
          <t>This was my first corned beef and cabbage attempt, and I'm glad I picked this one.  I don't know what cut of corned beef it was, the package didn't say, but it came out a little bit tougher than I'd like, so I'll assume it wasn't the right one.  I threw in a couple extra potatoes considering the salty sauce posts, and mine wasn't at all salty.  Other than that, I followed the recipe and it had a wonderful flavor, I'll serve it again next time.</t>
        </is>
      </c>
    </row>
    <row r="2595">
      <c r="A2595" s="7" t="n">
        <v>2685</v>
      </c>
      <c r="B2595" s="7" t="n">
        <v>38071</v>
      </c>
      <c r="C2595" s="7" t="n">
        <v>173883</v>
      </c>
      <c r="D2595" s="7" t="n">
        <v>15003</v>
      </c>
      <c r="E2595" s="8" t="n">
        <v>39968</v>
      </c>
      <c r="F2595" s="7" t="n">
        <v>5</v>
      </c>
      <c r="G2595" s="7" t="inlineStr">
        <is>
          <t>very good!  kitchenette basically made a new recipe, she added this and that! LOL</t>
        </is>
      </c>
    </row>
    <row r="2596">
      <c r="A2596" s="7" t="n">
        <v>7889</v>
      </c>
      <c r="B2596" s="7" t="n">
        <v>972996</v>
      </c>
      <c r="C2596" s="7" t="n">
        <v>460631</v>
      </c>
      <c r="D2596" s="7" t="n">
        <v>33947</v>
      </c>
      <c r="E2596" s="8" t="n">
        <v>39359</v>
      </c>
      <c r="F2596" s="7" t="n">
        <v>4</v>
      </c>
      <c r="G2596" s="7" t="inlineStr">
        <is>
          <t>This was a VERY good recipe for folks like me fiending for the sweet combination of peanut butter and chocolate!  It's easy to make and doesn't take a lot of time from start to finish.  This dessert is definitely better when cool...however, I only gave it 4 stars because I felt that something was missing out of the base dough layer.  Overall, though, a definite "keeper" recipe.  Thanks!</t>
        </is>
      </c>
    </row>
    <row r="2597">
      <c r="A2597" s="7" t="n">
        <v>74514</v>
      </c>
      <c r="B2597" s="7" t="n">
        <v>1095901</v>
      </c>
      <c r="C2597" s="7" t="n">
        <v>744898</v>
      </c>
      <c r="D2597" s="7" t="n">
        <v>447582</v>
      </c>
      <c r="E2597" s="8" t="n">
        <v>40797</v>
      </c>
      <c r="F2597" s="7" t="n">
        <v>5</v>
      </c>
      <c r="G2597" s="7" t="inlineStr">
        <is>
          <t>Loved em!  Crispy and done perfectly for us at about 45 minutes!</t>
        </is>
      </c>
    </row>
    <row r="2598">
      <c r="A2598" s="7" t="n">
        <v>72321</v>
      </c>
      <c r="B2598" s="7" t="n">
        <v>373940</v>
      </c>
      <c r="C2598" s="7" t="n">
        <v>779699</v>
      </c>
      <c r="D2598" s="7" t="n">
        <v>380912</v>
      </c>
      <c r="E2598" s="8" t="n">
        <v>40037</v>
      </c>
      <c r="F2598" s="7" t="n">
        <v>5</v>
      </c>
      <c r="G2598" s="7" t="inlineStr">
        <is>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is>
      </c>
    </row>
    <row r="2599">
      <c r="A2599" s="7" t="n">
        <v>108375</v>
      </c>
      <c r="B2599" s="7" t="n">
        <v>645669</v>
      </c>
      <c r="C2599" s="7" t="n">
        <v>422893</v>
      </c>
      <c r="D2599" s="7" t="n">
        <v>307835</v>
      </c>
      <c r="E2599" s="8" t="n">
        <v>39609</v>
      </c>
      <c r="F2599" s="7" t="n">
        <v>3</v>
      </c>
      <c r="G2599" s="7" t="inlineStr">
        <is>
          <t>I liked these but the flavour wasn't as intense as I was expecting. I used tomato paste but the flavour of it didn't shine through in the finished product.  The parsley was a nice touch. If I make these again, I might try the catsup instead.</t>
        </is>
      </c>
    </row>
    <row r="2600" ht="300" customHeight="1">
      <c r="A2600" s="7" t="n">
        <v>125888</v>
      </c>
      <c r="B2600" s="7" t="n">
        <v>602114</v>
      </c>
      <c r="C2600" s="7" t="n">
        <v>19683</v>
      </c>
      <c r="D2600" s="7" t="n">
        <v>110225</v>
      </c>
      <c r="E2600" s="8" t="n">
        <v>38568</v>
      </c>
      <c r="F2600" s="7" t="n">
        <v>5</v>
      </c>
      <c r="G2600" s="9" t="inlineStr">
        <is>
          <t>This is a great just got to camp and everyone is hungry meal.  Have used it twice-the crowd seems to be growing._x000D_
Thank you._x000D_
Margie</t>
        </is>
      </c>
    </row>
    <row r="2601">
      <c r="A2601" s="7" t="n">
        <v>74815</v>
      </c>
      <c r="B2601" s="7" t="n">
        <v>388210</v>
      </c>
      <c r="C2601" s="7" t="n">
        <v>2445127</v>
      </c>
      <c r="D2601" s="7" t="n">
        <v>110556</v>
      </c>
      <c r="E2601" s="8" t="n">
        <v>41193</v>
      </c>
      <c r="F2601" s="7" t="n">
        <v>5</v>
      </c>
      <c r="G2601" s="7" t="inlineStr">
        <is>
          <t>Wonderful recipe!  I've been making piroshki for years, but was usually lazy and used frozen dough.  Now that I live in a country where frozen dough is not available, I had to find a recipe to make it from scratch, and this one was excellent!  I agree with the other review that the dough was not difficult to prepare at all, and I also agree that adding a bit of butter at the end would not hurt, as the dough was a tiny bit dry.  But overall, they had a great, soft texture, the dough was perfect to work with and they came out of the oven very smooth, round and uniform (unlike the lumpy, misshapen ones I used to make using frozen dough).  Highly recommended!</t>
        </is>
      </c>
    </row>
    <row r="2602">
      <c r="A2602" s="7" t="n">
        <v>59718</v>
      </c>
      <c r="B2602" s="7" t="n">
        <v>746720</v>
      </c>
      <c r="C2602" s="7" t="n">
        <v>539686</v>
      </c>
      <c r="D2602" s="7" t="n">
        <v>131088</v>
      </c>
      <c r="E2602" s="8" t="n">
        <v>41470</v>
      </c>
      <c r="F2602" s="7" t="n">
        <v>5</v>
      </c>
      <c r="G2602" s="7" t="inlineStr">
        <is>
          <t>I made this for ZWT 9&amp;#039;s trip to Greece, but will have it again. Great flavors and so pretty. I did add the tomatoes and made my olives Kalamata. It could also use diced red onion instead of the green for a more Greek taste. Thanks for posting!</t>
        </is>
      </c>
    </row>
    <row r="2603">
      <c r="A2603" s="7" t="n">
        <v>25358</v>
      </c>
      <c r="B2603" s="7" t="n">
        <v>466160</v>
      </c>
      <c r="C2603" s="7" t="n">
        <v>286566</v>
      </c>
      <c r="D2603" s="7" t="n">
        <v>17118</v>
      </c>
      <c r="E2603" s="8" t="n">
        <v>41032</v>
      </c>
      <c r="F2603" s="7" t="n">
        <v>5</v>
      </c>
      <c r="G2603" s="7" t="inlineStr">
        <is>
          <t>The DM and I really enjoyed these scrambled eggs nice and moist and a pleasure to eat.  I did stir in some extra cottage cheese when I scrambled the eggs.  Thank you Sharlene-W, made for Down on the Farm.</t>
        </is>
      </c>
    </row>
    <row r="2604">
      <c r="A2604" s="7" t="n">
        <v>107267</v>
      </c>
      <c r="B2604" s="7" t="n">
        <v>356907</v>
      </c>
      <c r="C2604" s="7" t="n">
        <v>494084</v>
      </c>
      <c r="D2604" s="7" t="n">
        <v>42603</v>
      </c>
      <c r="E2604" s="8" t="n">
        <v>41751</v>
      </c>
      <c r="F2604" s="7" t="n">
        <v>5</v>
      </c>
      <c r="G2604" s="7" t="inlineStr">
        <is>
          <t>Great!  Easy and delicious.  I needed about double the breading for 8 thighs but otherwise the recipe was perfect.  Thanks so much KeyWee....</t>
        </is>
      </c>
    </row>
    <row r="2605">
      <c r="A2605" s="7" t="n">
        <v>98380</v>
      </c>
      <c r="B2605" s="7" t="n">
        <v>910757</v>
      </c>
      <c r="C2605" s="7" t="n">
        <v>173323</v>
      </c>
      <c r="D2605" s="7" t="n">
        <v>72994</v>
      </c>
      <c r="E2605" s="8" t="n">
        <v>39629</v>
      </c>
      <c r="F2605" s="7" t="n">
        <v>2</v>
      </c>
      <c r="G2605" s="7" t="inlineStr">
        <is>
          <t>I made this for a office lunch.  There was a lot left over and only two people really enjoyed it.  I have not made it since as I felt the recipe lacks some tweaking and different ingredients.  I was wanting a lighter and fresher take on a tuna salad, but did this was not it.  I love balsamic vinegar and used high quality, but did not seem to help.</t>
        </is>
      </c>
    </row>
    <row r="2606">
      <c r="A2606" s="7" t="n">
        <v>16044</v>
      </c>
      <c r="B2606" s="7" t="n">
        <v>604823</v>
      </c>
      <c r="C2606" s="7" t="n">
        <v>625875</v>
      </c>
      <c r="D2606" s="7" t="n">
        <v>12207</v>
      </c>
      <c r="E2606" s="8" t="n">
        <v>39761</v>
      </c>
      <c r="F2606" s="7" t="n">
        <v>5</v>
      </c>
      <c r="G2606" s="7" t="inlineStr">
        <is>
          <t>Oh, this was delicious.  I cooked it in the crockpot after browning.</t>
        </is>
      </c>
    </row>
    <row r="2607">
      <c r="A2607" s="7" t="n">
        <v>13356</v>
      </c>
      <c r="B2607" s="7" t="n">
        <v>73460</v>
      </c>
      <c r="C2607" s="7" t="n">
        <v>1072593</v>
      </c>
      <c r="D2607" s="7" t="n">
        <v>482581</v>
      </c>
      <c r="E2607" s="8" t="n">
        <v>41125</v>
      </c>
      <c r="F2607" s="7" t="n">
        <v>5</v>
      </c>
      <c r="G2607" s="7" t="inlineStr">
        <is>
          <t>Oh, how I do like me some cow...and chickens and pigs, too, and I never turn down shrimp.  And believe me, I never get those confused with, let's say, rutabagas or parsnips, though.  Made for ZWT#8~AU/NZ.</t>
        </is>
      </c>
    </row>
    <row r="2608">
      <c r="A2608" s="7" t="n">
        <v>14400</v>
      </c>
      <c r="B2608" s="7" t="n">
        <v>1029094</v>
      </c>
      <c r="C2608" s="7" t="n">
        <v>717929</v>
      </c>
      <c r="D2608" s="7" t="n">
        <v>131671</v>
      </c>
      <c r="E2608" s="8" t="n">
        <v>39769</v>
      </c>
      <c r="F2608" s="7" t="n">
        <v>0</v>
      </c>
      <c r="G2608" s="7" t="inlineStr">
        <is>
          <t>Very, very good.  It made a big hit with my family.  I did make a change.  I layered the mac with the cheese and I used the Mexican cheese mix instead of one kind of cheese.  I also thought 3 cups of cheese was a little excessive.</t>
        </is>
      </c>
    </row>
    <row r="2609">
      <c r="A2609" s="7" t="n">
        <v>77136</v>
      </c>
      <c r="B2609" s="7" t="n">
        <v>300124</v>
      </c>
      <c r="C2609" s="7" t="n">
        <v>68441</v>
      </c>
      <c r="D2609" s="7" t="n">
        <v>97085</v>
      </c>
      <c r="E2609" s="8" t="n">
        <v>39624</v>
      </c>
      <c r="F2609" s="7" t="n">
        <v>5</v>
      </c>
      <c r="G2609" s="7" t="inlineStr">
        <is>
          <t>I have made this recipe several times now.  Whenever I take my leftovers to school the next day, my co-workers devour it!  I make this with broccoli and rice, and sometimes I add chicken.  My fiance' LOVES it! Absolutely perfect!</t>
        </is>
      </c>
    </row>
    <row r="2610">
      <c r="A2610" s="7" t="n">
        <v>24143</v>
      </c>
      <c r="B2610" s="7" t="n">
        <v>390846</v>
      </c>
      <c r="C2610" s="7" t="n">
        <v>61971</v>
      </c>
      <c r="D2610" s="7" t="n">
        <v>61037</v>
      </c>
      <c r="E2610" s="8" t="n">
        <v>40497</v>
      </c>
      <c r="F2610" s="7" t="n">
        <v>5</v>
      </c>
      <c r="G2610" s="7" t="inlineStr">
        <is>
          <t>yummy</t>
        </is>
      </c>
    </row>
    <row r="2611">
      <c r="A2611" s="7" t="n">
        <v>10356</v>
      </c>
      <c r="B2611" s="7" t="n">
        <v>330773</v>
      </c>
      <c r="C2611" s="7" t="n">
        <v>266635</v>
      </c>
      <c r="D2611" s="7" t="n">
        <v>393143</v>
      </c>
      <c r="E2611" s="8" t="n">
        <v>40716</v>
      </c>
      <c r="F2611" s="7" t="n">
        <v>5</v>
      </c>
      <c r="G2611" s="7" t="inlineStr">
        <is>
          <t>It has been a long time since I have had stewed okra and this recipe did not disappoint.  I served it with some brown rice and stuffed bell peppers.  Recipe made for the Rosemary/Oregano tag - June, 2011.</t>
        </is>
      </c>
    </row>
    <row r="2612">
      <c r="A2612" s="7" t="n">
        <v>79521</v>
      </c>
      <c r="B2612" s="7" t="n">
        <v>885047</v>
      </c>
      <c r="C2612" s="7" t="n">
        <v>2293200</v>
      </c>
      <c r="D2612" s="7" t="n">
        <v>403877</v>
      </c>
      <c r="E2612" s="8" t="n">
        <v>41680</v>
      </c>
      <c r="F2612" s="7" t="n">
        <v>5</v>
      </c>
      <c r="G2612" s="7" t="inlineStr">
        <is>
          <t>I love this recipe!  I have had this sandwich at Studio Diner, and it truly is my favorite sandwich of all time.  This recipe tastes just like it.  The most difficult part of the recipe is slicing your meat really thin;  everything else is simple to do.  I highly recommend this recipe.</t>
        </is>
      </c>
    </row>
    <row r="2613">
      <c r="A2613" s="7" t="n">
        <v>78287</v>
      </c>
      <c r="B2613" s="7" t="n">
        <v>910476</v>
      </c>
      <c r="C2613" s="7" t="n">
        <v>288240</v>
      </c>
      <c r="D2613" s="7" t="n">
        <v>42923</v>
      </c>
      <c r="E2613" s="8" t="n">
        <v>38847</v>
      </c>
      <c r="F2613" s="7" t="n">
        <v>5</v>
      </c>
      <c r="G2613" s="7" t="inlineStr">
        <is>
          <t>Great recipe, but I must admit...I couldn't find maple sugar anywhere, so I used spenda brown sugar instead. I also added about three tablespoons of orange juice. They turned out great...very rich, chewy and flavorful. Thanks for sharings.</t>
        </is>
      </c>
    </row>
    <row r="2614">
      <c r="A2614" s="7" t="n">
        <v>111347</v>
      </c>
      <c r="B2614" s="7" t="n">
        <v>561797</v>
      </c>
      <c r="C2614" s="7" t="n">
        <v>2550855</v>
      </c>
      <c r="D2614" s="7" t="n">
        <v>3806</v>
      </c>
      <c r="E2614" s="8" t="n">
        <v>41928</v>
      </c>
      <c r="F2614" s="7" t="n">
        <v>5</v>
      </c>
      <c r="G2614" s="7" t="inlineStr">
        <is>
          <t>I reduced the amount of brown sugar and melted butter, and added cinnamon and a pinch of nutmeg.  A delicious addition to an early fall dinner plate!</t>
        </is>
      </c>
    </row>
    <row r="2615">
      <c r="A2615" s="7" t="n">
        <v>24048</v>
      </c>
      <c r="B2615" s="7" t="n">
        <v>516720</v>
      </c>
      <c r="C2615" s="7" t="n">
        <v>685788</v>
      </c>
      <c r="D2615" s="7" t="n">
        <v>42722</v>
      </c>
      <c r="E2615" s="8" t="n">
        <v>39471</v>
      </c>
      <c r="F2615" s="7" t="n">
        <v>4</v>
      </c>
      <c r="G2615" s="7" t="inlineStr">
        <is>
          <t>Reminds me of a dish I used to get in a Japanese home-cooking restaurant.  Loved this dish, but I'll reduce the sugar and increase the soy just a bit next time.  Also, don't do what I did and double the sauce to have lots to soak into rice.  I actually got tipsy!</t>
        </is>
      </c>
    </row>
    <row r="2616">
      <c r="A2616" s="7" t="n">
        <v>56148</v>
      </c>
      <c r="B2616" s="7" t="n">
        <v>428492</v>
      </c>
      <c r="C2616" s="7" t="n">
        <v>587766</v>
      </c>
      <c r="D2616" s="7" t="n">
        <v>263512</v>
      </c>
      <c r="E2616" s="8" t="n">
        <v>39645</v>
      </c>
      <c r="F2616" s="7" t="n">
        <v>4</v>
      </c>
      <c r="G2616" s="7" t="inlineStr">
        <is>
          <t>great if you're looking for a healthy snack but i did sorta miss the flavor only frying can accomplish. made for zwt4 zingo.</t>
        </is>
      </c>
    </row>
    <row r="2617">
      <c r="A2617" s="7" t="n">
        <v>59462</v>
      </c>
      <c r="B2617" s="7" t="n">
        <v>421564</v>
      </c>
      <c r="C2617" s="7" t="n">
        <v>206213</v>
      </c>
      <c r="D2617" s="7" t="n">
        <v>79618</v>
      </c>
      <c r="E2617" s="8" t="n">
        <v>40136</v>
      </c>
      <c r="F2617" s="7" t="n">
        <v>5</v>
      </c>
      <c r="G2617" s="7" t="inlineStr">
        <is>
          <t>These went down  really well. I cooked them for about 15 mins just in the dressing and pepper, then poured the excess juices into a bowl. I then topped with some parmesan. After about 30mins cooking, I basted with the juices from the bowl then grated a good helping of parmesan to the top. Lovely and crispy. Will make again!</t>
        </is>
      </c>
    </row>
    <row r="2618">
      <c r="A2618" s="7" t="n">
        <v>110302</v>
      </c>
      <c r="B2618" s="7" t="n">
        <v>668411</v>
      </c>
      <c r="C2618" s="7" t="n">
        <v>560491</v>
      </c>
      <c r="D2618" s="7" t="n">
        <v>184128</v>
      </c>
      <c r="E2618" s="8" t="n">
        <v>40322</v>
      </c>
      <c r="F2618" s="7" t="n">
        <v>5</v>
      </c>
      <c r="G2618" s="7" t="inlineStr">
        <is>
          <t>This is my new go-to crock pot roast!  This is the first roast I made in a crockpot that did not come out as shredded beef!!  Made exactly as written and wouldn't change a thing!!  Made for ZWT6-Germany.</t>
        </is>
      </c>
    </row>
    <row r="2619">
      <c r="A2619" s="7" t="n">
        <v>36186</v>
      </c>
      <c r="B2619" s="7" t="n">
        <v>49233</v>
      </c>
      <c r="C2619" s="7" t="n">
        <v>156984</v>
      </c>
      <c r="D2619" s="7" t="n">
        <v>19453</v>
      </c>
      <c r="E2619" s="8" t="n">
        <v>39368</v>
      </c>
      <c r="F2619" s="7" t="n">
        <v>5</v>
      </c>
      <c r="G2619" s="7" t="inlineStr">
        <is>
          <t>Tasted just like store bought but without the greasy aftertaste.  Made it just as written except I didn't have any Morton Tender Quick salt used sea salt instead.  Will make this again and again.  Thanks for posting.</t>
        </is>
      </c>
    </row>
    <row r="2620">
      <c r="A2620" s="7" t="n">
        <v>88896</v>
      </c>
      <c r="B2620" s="7" t="n">
        <v>686804</v>
      </c>
      <c r="C2620" s="7" t="n">
        <v>518307</v>
      </c>
      <c r="D2620" s="7" t="n">
        <v>295092</v>
      </c>
      <c r="E2620" s="8" t="n">
        <v>39589</v>
      </c>
      <c r="F2620" s="7" t="n">
        <v>5</v>
      </c>
      <c r="G2620" s="7" t="inlineStr">
        <is>
          <t>This is SO good--and easy, too!  It's a perfect combination of creamy and crunchy, and it's absolutely delicious.  I made it for a "welcome back" party at work, and my coworkers loved it too.  I'll definitely be making this again!</t>
        </is>
      </c>
    </row>
    <row r="2621">
      <c r="A2621" s="7" t="n">
        <v>3987</v>
      </c>
      <c r="B2621" s="7" t="n">
        <v>296083</v>
      </c>
      <c r="C2621" s="7" t="n">
        <v>2552547</v>
      </c>
      <c r="D2621" s="7" t="n">
        <v>46922</v>
      </c>
      <c r="E2621" s="8" t="n">
        <v>41252</v>
      </c>
      <c r="F2621" s="7" t="n">
        <v>5</v>
      </c>
      <c r="G2621" s="7" t="inlineStr">
        <is>
          <t>I read all the reviews and decided to give this a try.  I really dislike mustard so I used honey orange BBQ sauce.  I crisscrossed the ham with 1/2 inch slices and studded the corners with clove.  The BBQ sauce had just enough vinegar tang to cut the sweetness of the brown sugar and give it a little bit of a smokey flavor.</t>
        </is>
      </c>
    </row>
    <row r="2622">
      <c r="A2622" t="n">
        <v>72546</v>
      </c>
      <c r="B2622" t="n">
        <v>87410</v>
      </c>
      <c r="C2622" t="n">
        <v>121840</v>
      </c>
      <c r="D2622" t="n">
        <v>19859</v>
      </c>
      <c r="E2622" s="1" t="n">
        <v>38048</v>
      </c>
      <c r="F2622" t="n">
        <v>4</v>
      </c>
      <c r="G2622" t="inlineStr">
        <is>
          <t>I did't have a slow cooker, so I just used chicken breasts, browned them in a little garlic and oil, and then did the rest of the steps in the oven.  It was delicious!  Can be done in about an hour and a half this way.  I served it with orzo with roasted vegetables (eggplant,zucchini, etc.)  A bit hit at my house.</t>
        </is>
      </c>
    </row>
    <row r="2623">
      <c r="A2623" s="7" t="n">
        <v>106193</v>
      </c>
      <c r="B2623" s="7" t="n">
        <v>732317</v>
      </c>
      <c r="C2623" s="7" t="n">
        <v>369715</v>
      </c>
      <c r="D2623" s="7" t="n">
        <v>234410</v>
      </c>
      <c r="E2623" s="8" t="n">
        <v>39525</v>
      </c>
      <c r="F2623" s="7" t="n">
        <v>4</v>
      </c>
      <c r="G2623" s="7" t="inlineStr">
        <is>
          <t>This got mixed ratings at our house. I liked it but hubby didn't. I followed the recipe as written other then I didn't add the optional pine nuts. I thought it was a tasty different side dish (so I rated on my liking not his LOL)</t>
        </is>
      </c>
    </row>
    <row r="2624" ht="409.5" customHeight="1">
      <c r="A2624" t="n">
        <v>18266</v>
      </c>
      <c r="B2624" t="n">
        <v>105409</v>
      </c>
      <c r="C2624" t="n">
        <v>240152</v>
      </c>
      <c r="D2624" t="n">
        <v>109146</v>
      </c>
      <c r="E2624" s="1" t="n">
        <v>38683</v>
      </c>
      <c r="F2624" t="n">
        <v>5</v>
      </c>
      <c r="G2624" s="2" t="inlineStr">
        <is>
          <t>Extra good if you add bacon and green onions and top with cheese ;)_x000D_
_x000D_
I find I have to press the water out of the cauliflower or it is too watery for my taste.  I put it in a strainer and press it until nothing more comes out.  DH said it made all the difference in the world!</t>
        </is>
      </c>
    </row>
    <row r="2625">
      <c r="A2625" t="n">
        <v>41206</v>
      </c>
      <c r="B2625" t="n">
        <v>223840</v>
      </c>
      <c r="C2625" t="n">
        <v>2411194</v>
      </c>
      <c r="D2625" t="n">
        <v>329138</v>
      </c>
      <c r="E2625" s="1" t="n">
        <v>41250</v>
      </c>
      <c r="F2625" t="n">
        <v>0</v>
      </c>
      <c r="G2625" t="inlineStr">
        <is>
          <t>easy, fast, and yummy. the whole family gobbled this up</t>
        </is>
      </c>
    </row>
    <row r="2626">
      <c r="A2626" s="7" t="n">
        <v>10995</v>
      </c>
      <c r="B2626" s="7" t="n">
        <v>1022363</v>
      </c>
      <c r="C2626" s="7" t="n">
        <v>177806</v>
      </c>
      <c r="D2626" s="7" t="n">
        <v>202181</v>
      </c>
      <c r="E2626" s="8" t="n">
        <v>39692</v>
      </c>
      <c r="F2626" s="7" t="n">
        <v>5</v>
      </c>
      <c r="G2626" s="7" t="inlineStr">
        <is>
          <t>These potatoes are so yummy - I have the second batch that I've made in a week in the oven as I write this review!   The first time I follwed the recipe but forgot to add the garlic.  I made sure that I added it this time and they smell fantastic - thanks for the great recipe.</t>
        </is>
      </c>
    </row>
    <row r="2627">
      <c r="A2627" s="7" t="n">
        <v>16453</v>
      </c>
      <c r="B2627" s="7" t="n">
        <v>149664</v>
      </c>
      <c r="C2627" s="7" t="n">
        <v>20754</v>
      </c>
      <c r="D2627" s="7" t="n">
        <v>63564</v>
      </c>
      <c r="E2627" s="8" t="n">
        <v>37973</v>
      </c>
      <c r="F2627" s="7" t="n">
        <v>5</v>
      </c>
      <c r="G2627" s="7" t="inlineStr">
        <is>
          <t>Totally Awesome!  Loved the sauce and the chicken was so tender.  I did not have the shallot so I used a mixture of  1/4 c chopped onion and 1 tablespoon minced garlic, worked out great!  Thanks so much for the recipe chia ; )</t>
        </is>
      </c>
    </row>
    <row r="2628">
      <c r="A2628" s="7" t="n">
        <v>105521</v>
      </c>
      <c r="B2628" s="7" t="n">
        <v>1074757</v>
      </c>
      <c r="C2628" s="7" t="n">
        <v>2580683</v>
      </c>
      <c r="D2628" s="7" t="n">
        <v>135350</v>
      </c>
      <c r="E2628" s="8" t="n">
        <v>41265</v>
      </c>
      <c r="F2628" s="7" t="n">
        <v>5</v>
      </c>
      <c r="G2628" s="7" t="inlineStr">
        <is>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is>
      </c>
    </row>
    <row r="2629">
      <c r="A2629" s="7" t="n">
        <v>43534</v>
      </c>
      <c r="B2629" s="7" t="n">
        <v>258569</v>
      </c>
      <c r="C2629" s="7" t="n">
        <v>75490</v>
      </c>
      <c r="D2629" s="7" t="n">
        <v>54108</v>
      </c>
      <c r="E2629" s="8" t="n">
        <v>37799</v>
      </c>
      <c r="F2629" s="7" t="n">
        <v>5</v>
      </c>
      <c r="G2629" s="7" t="inlineStr">
        <is>
          <t>Awesome quick and easy dessert recipe. A great use of canned ingredients. Loved the delicate  spiced flavor and my family gave it the thumbs up signal. Thanks for recipe that doesn't keep me in the kitchen and lets me visit with my guests.</t>
        </is>
      </c>
    </row>
    <row r="2630">
      <c r="A2630" s="7" t="n">
        <v>104909</v>
      </c>
      <c r="B2630" s="7" t="n">
        <v>116087</v>
      </c>
      <c r="C2630" s="7" t="n">
        <v>560491</v>
      </c>
      <c r="D2630" s="7" t="n">
        <v>482038</v>
      </c>
      <c r="E2630" s="8" t="n">
        <v>41133</v>
      </c>
      <c r="F2630" s="7" t="n">
        <v>5</v>
      </c>
      <c r="G2630" s="7" t="inlineStr">
        <is>
          <t>These are so good, and way too easy to make!  Can whip up a batch and be eating in 30-40 minutes!!  I made 1/2 the batch and it was a perfect afternoon snack for DSs and I.  Will be making these often!  Made for ZWT8 Remember the Alamo Challenge.</t>
        </is>
      </c>
    </row>
    <row r="2631">
      <c r="A2631" s="7" t="n">
        <v>102411</v>
      </c>
      <c r="B2631" s="7" t="n">
        <v>1068105</v>
      </c>
      <c r="C2631" s="7" t="n">
        <v>707391</v>
      </c>
      <c r="D2631" s="7" t="n">
        <v>172789</v>
      </c>
      <c r="E2631" s="8" t="n">
        <v>39593</v>
      </c>
      <c r="F2631" s="7" t="n">
        <v>4</v>
      </c>
      <c r="G2631" s="7" t="inlineStr">
        <is>
          <t>Chicken tasted good. Bold rich flavor. A little different than what I am use to. Never the less good.</t>
        </is>
      </c>
    </row>
    <row r="2632">
      <c r="A2632" s="7" t="n">
        <v>107606</v>
      </c>
      <c r="B2632" s="7" t="n">
        <v>118694</v>
      </c>
      <c r="C2632" s="7" t="n">
        <v>740247</v>
      </c>
      <c r="D2632" s="7" t="n">
        <v>487501</v>
      </c>
      <c r="E2632" s="8" t="n">
        <v>41366</v>
      </c>
      <c r="F2632" s="7" t="n">
        <v>5</v>
      </c>
      <c r="G2632" s="7" t="inlineStr">
        <is>
          <t>This is the easiest rice soup I&amp;#039;ve ever made.  I thought I might need more seasoning, but it was perfect as is.  I cooked it an extra 5 minutes because the rice wasn&amp;#039;t quite done, I added a little more water too.  Very good, will make again for a quick meal.&amp;lt;br/&amp;gt;Made for Spring PAC 2013.</t>
        </is>
      </c>
    </row>
    <row r="2633">
      <c r="A2633" s="7" t="n">
        <v>81863</v>
      </c>
      <c r="B2633" s="7" t="n">
        <v>123598</v>
      </c>
      <c r="C2633" s="7" t="n">
        <v>226863</v>
      </c>
      <c r="D2633" s="7" t="n">
        <v>320163</v>
      </c>
      <c r="E2633" s="8" t="n">
        <v>40627</v>
      </c>
      <c r="F2633" s="7" t="n">
        <v>5</v>
      </c>
      <c r="G2633" s="7" t="inlineStr">
        <is>
          <t>I marinated for about 7 hours, and I thought mine were a little bit salty.  I used low sodium soy sauce, so next time I'll reduce the soy sauce just a bit.  These turned out so moist and tasty.....We really enjoyed these.  I grilled on a charcoal grill exactly as posted in the recipe, and they turned out perfectly.  These are so juicy and delicious!  Thanks for sharing!</t>
        </is>
      </c>
    </row>
    <row r="2634">
      <c r="A2634" s="7" t="n">
        <v>44585</v>
      </c>
      <c r="B2634" s="7" t="n">
        <v>424307</v>
      </c>
      <c r="C2634" s="7" t="n">
        <v>356764</v>
      </c>
      <c r="D2634" s="7" t="n">
        <v>43824</v>
      </c>
      <c r="E2634" s="8" t="n">
        <v>39282</v>
      </c>
      <c r="F2634" s="7" t="n">
        <v>5</v>
      </c>
      <c r="G2634" s="7" t="inlineStr">
        <is>
          <t>This was wonderful-I made it for my Dad's birthday and liked it better than Coconut Cream.  It couldn't be easier and other than the coconut, it's made with things I have on hand.  I will make this again and again for special days.</t>
        </is>
      </c>
    </row>
    <row r="2635">
      <c r="A2635" s="7" t="n">
        <v>91197</v>
      </c>
      <c r="B2635" s="7" t="n">
        <v>756997</v>
      </c>
      <c r="C2635" s="7" t="n">
        <v>2212465</v>
      </c>
      <c r="D2635" s="7" t="n">
        <v>524983</v>
      </c>
      <c r="E2635" s="8" t="n">
        <v>42345</v>
      </c>
      <c r="F2635" s="7" t="n">
        <v>4</v>
      </c>
      <c r="G2635" s="7" t="inlineStr">
        <is>
          <t>Can&amp;#039;t wait to try this recipe, it is so different and full of flavor!</t>
        </is>
      </c>
    </row>
    <row r="2636">
      <c r="A2636" s="7" t="n">
        <v>90832</v>
      </c>
      <c r="B2636" s="7" t="n">
        <v>945537</v>
      </c>
      <c r="C2636" s="7" t="n">
        <v>424680</v>
      </c>
      <c r="D2636" s="7" t="n">
        <v>430468</v>
      </c>
      <c r="E2636" s="8" t="n">
        <v>40617</v>
      </c>
      <c r="F2636" s="7" t="n">
        <v>5</v>
      </c>
      <c r="G2636" s="7" t="inlineStr">
        <is>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is>
      </c>
    </row>
    <row r="2637">
      <c r="A2637" s="7" t="n">
        <v>68757</v>
      </c>
      <c r="B2637" s="7" t="n">
        <v>510001</v>
      </c>
      <c r="C2637" s="7" t="n">
        <v>41370</v>
      </c>
      <c r="D2637" s="7" t="n">
        <v>89207</v>
      </c>
      <c r="E2637" s="8" t="n">
        <v>39442</v>
      </c>
      <c r="F2637" s="7" t="n">
        <v>5</v>
      </c>
      <c r="G2637" s="7" t="inlineStr">
        <is>
          <t>This recipe is to die for!!  I have always been a die-hard Betty Crocker-In the Jar Frosting Fan.  But you have certainly changed that!!  So easy and with a rich chocolate flavour (I used 1/2 cup) it is certainly recommended that you go for the better brand when buying your cocoa.  Thank you very much for a delicios submission!! :)</t>
        </is>
      </c>
    </row>
    <row r="2638">
      <c r="A2638" t="n">
        <v>71445</v>
      </c>
      <c r="B2638" t="n">
        <v>555642</v>
      </c>
      <c r="C2638" t="n">
        <v>29268</v>
      </c>
      <c r="D2638" t="n">
        <v>32645</v>
      </c>
      <c r="E2638" s="1" t="n">
        <v>39573</v>
      </c>
      <c r="F2638" t="n">
        <v>3</v>
      </c>
      <c r="G2638" t="inlineStr">
        <is>
          <t>We used fresh caught Mahi Mahi and followed recipe exactly, except used 2 cloves of garlic.  We felt it lacked in flavor.</t>
        </is>
      </c>
    </row>
    <row r="2639">
      <c r="A2639" s="7" t="n">
        <v>105689</v>
      </c>
      <c r="B2639" s="7" t="n">
        <v>1033335</v>
      </c>
      <c r="C2639" s="7" t="n">
        <v>355420</v>
      </c>
      <c r="D2639" s="7" t="n">
        <v>176927</v>
      </c>
      <c r="E2639" s="8" t="n">
        <v>39656</v>
      </c>
      <c r="F2639" s="7" t="n">
        <v>5</v>
      </c>
      <c r="G2639" s="7" t="inlineStr">
        <is>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is>
      </c>
    </row>
    <row r="2640">
      <c r="A2640" s="7" t="n">
        <v>82721</v>
      </c>
      <c r="B2640" s="7" t="n">
        <v>778502</v>
      </c>
      <c r="C2640" s="7" t="n">
        <v>2000537003</v>
      </c>
      <c r="D2640" s="7" t="n">
        <v>108524</v>
      </c>
      <c r="E2640" s="8" t="n">
        <v>42285</v>
      </c>
      <c r="F2640" s="7" t="n">
        <v>5</v>
      </c>
      <c r="G2640" s="7" t="inlineStr">
        <is>
          <t>Awesome cake. People always go nuts over this recipe. I tried making it with a strawberry dragon fruit rum and it made it even better.</t>
        </is>
      </c>
    </row>
    <row r="2641">
      <c r="A2641" s="7" t="n">
        <v>82642</v>
      </c>
      <c r="B2641" s="7" t="n">
        <v>376479</v>
      </c>
      <c r="C2641" s="7" t="n">
        <v>33588</v>
      </c>
      <c r="D2641" s="7" t="n">
        <v>40556</v>
      </c>
      <c r="E2641" s="8" t="n">
        <v>38552</v>
      </c>
      <c r="F2641" s="7" t="n">
        <v>5</v>
      </c>
      <c r="G2641" s="7" t="inlineStr">
        <is>
          <t>We love this glaze,made it twice now,used allspice.Thanks Linda.</t>
        </is>
      </c>
    </row>
    <row r="2642">
      <c r="A2642" s="7" t="n">
        <v>4700</v>
      </c>
      <c r="B2642" s="7" t="n">
        <v>368147</v>
      </c>
      <c r="C2642" s="7" t="n">
        <v>37305</v>
      </c>
      <c r="D2642" s="7" t="n">
        <v>145324</v>
      </c>
      <c r="E2642" s="8" t="n">
        <v>38690</v>
      </c>
      <c r="F2642" s="7" t="n">
        <v>4</v>
      </c>
      <c r="G2642" s="7" t="inlineStr">
        <is>
          <t>This was a tasty recipe with easy but detailed directions.  I had to use more like 3/4 cup of raspberry preserves, because 1/2 cup did not spread far enough.  Even though I used more preserves, I still felt the other flavors dominated and I would love to taste more raspberry.  Thanks for sharing...I will try again with even more raspberry preserves. ;)</t>
        </is>
      </c>
    </row>
    <row r="2643">
      <c r="A2643" s="7" t="n">
        <v>35289</v>
      </c>
      <c r="B2643" s="7" t="n">
        <v>813193</v>
      </c>
      <c r="C2643" s="7" t="n">
        <v>155897</v>
      </c>
      <c r="D2643" s="7" t="n">
        <v>72180</v>
      </c>
      <c r="E2643" s="8" t="n">
        <v>39224</v>
      </c>
      <c r="F2643" s="7" t="n">
        <v>5</v>
      </c>
      <c r="G2643" s="7" t="inlineStr">
        <is>
          <t>This is great bread! I even double the recipe and make it the regular way because it disappears so quickly. (We  have kids who won't eat white bread) It is, simply, the best WW recipe I've ever tried.</t>
        </is>
      </c>
    </row>
    <row r="2644">
      <c r="A2644" s="7" t="n">
        <v>77290</v>
      </c>
      <c r="B2644" s="7" t="n">
        <v>796121</v>
      </c>
      <c r="C2644" s="7" t="n">
        <v>61660</v>
      </c>
      <c r="D2644" s="7" t="n">
        <v>425029</v>
      </c>
      <c r="E2644" s="8" t="n">
        <v>40359</v>
      </c>
      <c r="F2644" s="7" t="n">
        <v>5</v>
      </c>
      <c r="G2644" s="7" t="inlineStr">
        <is>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is>
      </c>
    </row>
    <row r="2645">
      <c r="A2645" s="7" t="n">
        <v>61835</v>
      </c>
      <c r="B2645" s="7" t="n">
        <v>488166</v>
      </c>
      <c r="C2645" s="7" t="n">
        <v>107583</v>
      </c>
      <c r="D2645" s="7" t="n">
        <v>290437</v>
      </c>
      <c r="E2645" s="8" t="n">
        <v>40097</v>
      </c>
      <c r="F2645" s="7" t="n">
        <v>5</v>
      </c>
      <c r="G2645" s="7" t="inlineStr">
        <is>
          <t>Used this to marinate a flank steak and it was great!  I made an extra batch and boiled it down, thickened it with a little cornstarch, and used it as a sauce for the grilled meat, and for the rice I served.  Thanks for a great dinner!</t>
        </is>
      </c>
    </row>
    <row r="2646">
      <c r="A2646" s="7" t="n">
        <v>71608</v>
      </c>
      <c r="B2646" s="7" t="n">
        <v>1007129</v>
      </c>
      <c r="C2646" s="7" t="n">
        <v>184986</v>
      </c>
      <c r="D2646" s="7" t="n">
        <v>130899</v>
      </c>
      <c r="E2646" s="8" t="n">
        <v>40137</v>
      </c>
      <c r="F2646" s="7" t="n">
        <v>4</v>
      </c>
      <c r="G2646" s="7" t="inlineStr">
        <is>
          <t>Easy to make.  Delicious comfort food.</t>
        </is>
      </c>
    </row>
    <row r="2647">
      <c r="A2647" s="7" t="n">
        <v>65996</v>
      </c>
      <c r="B2647" s="7" t="n">
        <v>821825</v>
      </c>
      <c r="C2647" s="7" t="n">
        <v>28636</v>
      </c>
      <c r="D2647" s="7" t="n">
        <v>99843</v>
      </c>
      <c r="E2647" s="8" t="n">
        <v>39270</v>
      </c>
      <c r="F2647" s="7" t="n">
        <v>5</v>
      </c>
      <c r="G2647" s="7" t="inlineStr">
        <is>
          <t>These are great greens!  I used a combination of turnip and collard greens.  With the 2 types of peppers they are spicy.  DH enjoys the spice - I prefer them a bit milder but enjoyed them just the same.  They were easy prep.  Thanks Rita for a winner!</t>
        </is>
      </c>
    </row>
    <row r="2648">
      <c r="A2648" s="7" t="n">
        <v>8035</v>
      </c>
      <c r="B2648" s="7" t="n">
        <v>558528</v>
      </c>
      <c r="C2648" s="7" t="n">
        <v>197971</v>
      </c>
      <c r="D2648" s="7" t="n">
        <v>101004</v>
      </c>
      <c r="E2648" s="8" t="n">
        <v>38816</v>
      </c>
      <c r="F2648" s="7" t="n">
        <v>5</v>
      </c>
      <c r="G2648" s="7" t="inlineStr">
        <is>
          <t>Oh so good! I had never made scallops before but always loved them in restaurants. I did use white wine instead of the vermouth, used Jarlsberg cheese and added more mushrooms than the recipe called for because I love mushrooms. The taste was gorgeous! Instead of this being a starter it was my main dish. Hubby even had some and really liked it. I served it over a bed of steamed buttered kale with garlic and lemon. I know I’ll make this again! Thank you for posting Dawnab.</t>
        </is>
      </c>
    </row>
    <row r="2649">
      <c r="A2649" s="7" t="n">
        <v>108497</v>
      </c>
      <c r="B2649" s="7" t="n">
        <v>221086</v>
      </c>
      <c r="C2649" s="7" t="n">
        <v>1803211046</v>
      </c>
      <c r="D2649" s="7" t="n">
        <v>131813</v>
      </c>
      <c r="E2649" s="8" t="n">
        <v>41920</v>
      </c>
      <c r="F2649" s="7" t="n">
        <v>5</v>
      </c>
      <c r="G2649" s="7" t="inlineStr">
        <is>
          <t>I had almost all the ingredients ready to go and realized I was out of clams.  I substituted oysters and it was fabulous.  I used small white potatoes so the time was increased to peel them all.  Also I had brown rice flour on hand and used it.</t>
        </is>
      </c>
    </row>
    <row r="2650">
      <c r="A2650" s="7" t="n">
        <v>44873</v>
      </c>
      <c r="B2650" s="7" t="n">
        <v>1074289</v>
      </c>
      <c r="C2650" s="7" t="n">
        <v>592059</v>
      </c>
      <c r="D2650" s="7" t="n">
        <v>135350</v>
      </c>
      <c r="E2650" s="8" t="n">
        <v>39849</v>
      </c>
      <c r="F2650" s="7" t="n">
        <v>5</v>
      </c>
      <c r="G2650" s="7" t="inlineStr">
        <is>
          <t>Very very good recipe. Made me remember my childhood. A recipe like this shows just how bad the stuff from a box is.</t>
        </is>
      </c>
    </row>
    <row r="2651">
      <c r="A2651" s="7" t="n">
        <v>105758</v>
      </c>
      <c r="B2651" s="7" t="n">
        <v>873568</v>
      </c>
      <c r="C2651" s="7" t="n">
        <v>276107</v>
      </c>
      <c r="D2651" s="7" t="n">
        <v>280223</v>
      </c>
      <c r="E2651" s="8" t="n">
        <v>40175</v>
      </c>
      <c r="F2651" s="7" t="n">
        <v>5</v>
      </c>
      <c r="G2651" s="7" t="inlineStr">
        <is>
          <t>My favorite patato casserole is the one they serve at the Cracker Barrel and this recipie equals theirs. I am very happy to have found this and will definately be making this for years to come. I found the Aunt Jane's Krazy Mixed Up Salt at the local Albertson's grocery store and really like it. It will go well with all sorts of different dishes.</t>
        </is>
      </c>
    </row>
    <row r="2652">
      <c r="A2652" s="7" t="n">
        <v>40756</v>
      </c>
      <c r="B2652" s="7" t="n">
        <v>1024365</v>
      </c>
      <c r="C2652" s="7" t="n">
        <v>2457314</v>
      </c>
      <c r="D2652" s="7" t="n">
        <v>111777</v>
      </c>
      <c r="E2652" s="8" t="n">
        <v>41201</v>
      </c>
      <c r="F2652" s="7" t="n">
        <v>5</v>
      </c>
      <c r="G2652" s="7" t="inlineStr">
        <is>
          <t>Easy to cook and also very yummy..Super happy with the results!</t>
        </is>
      </c>
    </row>
    <row r="2653">
      <c r="A2653" s="7" t="n">
        <v>121714</v>
      </c>
      <c r="B2653" s="7" t="n">
        <v>813779</v>
      </c>
      <c r="C2653" s="7" t="n">
        <v>79997</v>
      </c>
      <c r="D2653" s="7" t="n">
        <v>285394</v>
      </c>
      <c r="E2653" s="8" t="n">
        <v>39488</v>
      </c>
      <c r="F2653" s="7" t="n">
        <v>3</v>
      </c>
      <c r="G2653" s="7" t="inlineStr">
        <is>
          <t>Seemed simple enough, but I had to peek at the recipe just the same.  It was nice getting the nutrition info for this basic dish so thank you for taking the time to post it.</t>
        </is>
      </c>
    </row>
    <row r="2654">
      <c r="A2654" s="7" t="n">
        <v>59748</v>
      </c>
      <c r="B2654" s="7" t="n">
        <v>1050223</v>
      </c>
      <c r="C2654" s="7" t="n">
        <v>1244997</v>
      </c>
      <c r="D2654" s="7" t="n">
        <v>53878</v>
      </c>
      <c r="E2654" s="8" t="n">
        <v>40089</v>
      </c>
      <c r="F2654" s="7" t="n">
        <v>5</v>
      </c>
      <c r="G2654" s="7" t="inlineStr">
        <is>
          <t>Made these for the big UM vs MSU game (that outcome wasn't so good) but these appetizers were a huge hit!! filling: cream cheese, pepperoni, green onion &amp; mushroom, pepper &amp; garlic powder. After filling, brushed tops with melted garlic butter &amp; sprinkled with sesame seeds!! These baked @350 for 15 minutes. YUMM! Thanks for sharing</t>
        </is>
      </c>
    </row>
    <row r="2655">
      <c r="A2655" s="7" t="n">
        <v>6420</v>
      </c>
      <c r="B2655" s="7" t="n">
        <v>778926</v>
      </c>
      <c r="C2655" s="7" t="n">
        <v>68960</v>
      </c>
      <c r="D2655" s="7" t="n">
        <v>91021</v>
      </c>
      <c r="E2655" s="8" t="n">
        <v>38207</v>
      </c>
      <c r="F2655" s="7" t="n">
        <v>5</v>
      </c>
      <c r="G2655" s="7" t="inlineStr">
        <is>
          <t>This is amazing.  Really tasty and works perfectly with sweet potatoes.  I baked potatoes in the oven for about an hour.  Mixed the topping beforehand and put into the fridge to set so I could dollop onto the potatoes.  Loved the sprinkling of brown sugar on top!  Definitely a keeper.  Thanks Heather.</t>
        </is>
      </c>
    </row>
    <row r="2656">
      <c r="A2656" s="7" t="n">
        <v>16654</v>
      </c>
      <c r="B2656" s="7" t="n">
        <v>873571</v>
      </c>
      <c r="C2656" s="7" t="n">
        <v>1571202</v>
      </c>
      <c r="D2656" s="7" t="n">
        <v>280223</v>
      </c>
      <c r="E2656" s="8" t="n">
        <v>40244</v>
      </c>
      <c r="F2656" s="7" t="n">
        <v>5</v>
      </c>
      <c r="G2656" s="7" t="inlineStr">
        <is>
          <t>I love this recipe. I do add about a cup and a half of sour cream seems to make it a bit creamier and rich to me.</t>
        </is>
      </c>
    </row>
    <row r="2657">
      <c r="A2657" s="7" t="n">
        <v>38478</v>
      </c>
      <c r="B2657" s="7" t="n">
        <v>904478</v>
      </c>
      <c r="C2657" s="7" t="n">
        <v>2590005</v>
      </c>
      <c r="D2657" s="7" t="n">
        <v>123102</v>
      </c>
      <c r="E2657" s="8" t="n">
        <v>41901</v>
      </c>
      <c r="F2657" s="7" t="n">
        <v>5</v>
      </c>
      <c r="G2657" s="7" t="inlineStr">
        <is>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is>
      </c>
    </row>
    <row r="2658">
      <c r="A2658" s="7" t="n">
        <v>29007</v>
      </c>
      <c r="B2658" s="7" t="n">
        <v>777356</v>
      </c>
      <c r="C2658" s="7" t="n">
        <v>76535</v>
      </c>
      <c r="D2658" s="7" t="n">
        <v>58498</v>
      </c>
      <c r="E2658" s="8" t="n">
        <v>37872</v>
      </c>
      <c r="F2658" s="7" t="n">
        <v>4</v>
      </c>
      <c r="G2658" s="7" t="inlineStr">
        <is>
          <t>This was flavorful and wonderful!!! Definitely a way to perk up plain chicken.</t>
        </is>
      </c>
    </row>
    <row r="2659">
      <c r="A2659" s="7" t="n">
        <v>98652</v>
      </c>
      <c r="B2659" s="7" t="n">
        <v>180080</v>
      </c>
      <c r="C2659" s="7" t="n">
        <v>339672</v>
      </c>
      <c r="D2659" s="7" t="n">
        <v>36767</v>
      </c>
      <c r="E2659" s="8" t="n">
        <v>40019</v>
      </c>
      <c r="F2659" s="7" t="n">
        <v>5</v>
      </c>
      <c r="G2659" s="7" t="inlineStr">
        <is>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is>
      </c>
    </row>
    <row r="2660">
      <c r="A2660" s="7" t="n">
        <v>73382</v>
      </c>
      <c r="B2660" s="7" t="n">
        <v>227994</v>
      </c>
      <c r="C2660" s="7" t="n">
        <v>357461</v>
      </c>
      <c r="D2660" s="7" t="n">
        <v>106417</v>
      </c>
      <c r="E2660" s="8" t="n">
        <v>39438</v>
      </c>
      <c r="F2660" s="7" t="n">
        <v>5</v>
      </c>
      <c r="G2660" s="7" t="inlineStr">
        <is>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is>
      </c>
    </row>
    <row r="2661">
      <c r="A2661" s="7" t="n">
        <v>62575</v>
      </c>
      <c r="B2661" s="7" t="n">
        <v>183530</v>
      </c>
      <c r="C2661" s="7" t="n">
        <v>88099</v>
      </c>
      <c r="D2661" s="7" t="n">
        <v>166308</v>
      </c>
      <c r="E2661" s="8" t="n">
        <v>39579</v>
      </c>
      <c r="F2661" s="7" t="n">
        <v>5</v>
      </c>
      <c r="G2661" s="7" t="inlineStr">
        <is>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is>
      </c>
    </row>
    <row r="2662">
      <c r="A2662" s="7" t="n">
        <v>15361</v>
      </c>
      <c r="B2662" s="7" t="n">
        <v>95605</v>
      </c>
      <c r="C2662" s="7" t="n">
        <v>64508</v>
      </c>
      <c r="D2662" s="7" t="n">
        <v>16385</v>
      </c>
      <c r="E2662" s="8" t="n">
        <v>37636</v>
      </c>
      <c r="F2662" s="7" t="n">
        <v>4</v>
      </c>
      <c r="G2662" s="7" t="inlineStr">
        <is>
          <t>I prepared this recipe last night for supper. My yougest daughter loved the noodles!</t>
        </is>
      </c>
    </row>
    <row r="2663">
      <c r="A2663" s="7" t="n">
        <v>60254</v>
      </c>
      <c r="B2663" s="7" t="n">
        <v>1049259</v>
      </c>
      <c r="C2663" s="7" t="n">
        <v>452355</v>
      </c>
      <c r="D2663" s="7" t="n">
        <v>102274</v>
      </c>
      <c r="E2663" s="8" t="n">
        <v>41277</v>
      </c>
      <c r="F2663" s="7" t="n">
        <v>5</v>
      </c>
      <c r="G2663" s="7" t="inlineStr">
        <is>
          <t>This is a great soup!  It is very thick and hearty, tasty, and was not difficult to make. I made on the stovetop in my Dutch oven.  I only had 3 cans of black beans so for the fourth can I used Pinto beans, which seemed to work out fine.  I used a vegetarian-friendly substitute called "No Chicken Broth" for the chicken broth, and I ran out of regular chile powder before I had 2 tsp, so I subbed some ancho chile powder to make up the difference.  These modifications worked out fine.  I enjoyed topped with green onion and Monterey Jack cheese as suggested.  I'll be making this again.  Thanks!</t>
        </is>
      </c>
    </row>
    <row r="2664">
      <c r="A2664" s="7" t="n">
        <v>10856</v>
      </c>
      <c r="B2664" s="7" t="n">
        <v>1001658</v>
      </c>
      <c r="C2664" s="7" t="n">
        <v>2001603554</v>
      </c>
      <c r="D2664" s="7" t="n">
        <v>267571</v>
      </c>
      <c r="E2664" s="8" t="n">
        <v>42914</v>
      </c>
      <c r="F2664" s="7" t="n">
        <v>4</v>
      </c>
      <c r="G2664" s="7" t="inlineStr">
        <is>
          <t>Lovely recipe, but I won't be making it again without a baking tray underneath the pan. The oreo filling leaked out of the spring-form. (If I had any sense, I would have read the reviews before making and then known about this issue)</t>
        </is>
      </c>
    </row>
    <row r="2665">
      <c r="A2665" s="7" t="n">
        <v>60953</v>
      </c>
      <c r="B2665" s="7" t="n">
        <v>952719</v>
      </c>
      <c r="C2665" s="7" t="n">
        <v>724631</v>
      </c>
      <c r="D2665" s="7" t="n">
        <v>378846</v>
      </c>
      <c r="E2665" s="8" t="n">
        <v>40008</v>
      </c>
      <c r="F2665" s="7" t="n">
        <v>4</v>
      </c>
      <c r="G2665" s="7" t="inlineStr">
        <is>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is>
      </c>
    </row>
    <row r="2666">
      <c r="A2666" s="7" t="n">
        <v>114809</v>
      </c>
      <c r="B2666" s="7" t="n">
        <v>419623</v>
      </c>
      <c r="C2666" s="7" t="n">
        <v>301487</v>
      </c>
      <c r="D2666" s="7" t="n">
        <v>91452</v>
      </c>
      <c r="E2666" s="8" t="n">
        <v>39807</v>
      </c>
      <c r="F2666" s="7" t="n">
        <v>5</v>
      </c>
      <c r="G2666" s="7" t="inlineStr">
        <is>
          <t>Delicious. I added an extra tsp of lemon juice and used a dash or two of Tabasco sauce in place of the cayenne. I kept all else the same, This was a creamy and delicious sauce. Thank you!</t>
        </is>
      </c>
    </row>
    <row r="2667">
      <c r="A2667" s="7" t="n">
        <v>120230</v>
      </c>
      <c r="B2667" s="7" t="n">
        <v>1001148</v>
      </c>
      <c r="C2667" s="7" t="n">
        <v>570804</v>
      </c>
      <c r="D2667" s="7" t="n">
        <v>307011</v>
      </c>
      <c r="E2667" s="8" t="n">
        <v>39684</v>
      </c>
      <c r="F2667" s="7" t="n">
        <v>5</v>
      </c>
      <c r="G2667" s="7" t="inlineStr">
        <is>
          <t>Just found this recipe recently and had been looking for a difference textured bran muffin.  Thanks for much because this is the answer - definitely is properly descriped as the Rolls Royce of Bran muffins.   A nice balance of sweetness and not too much molasses which can be overpowering.   Great.</t>
        </is>
      </c>
    </row>
    <row r="2668">
      <c r="A2668" t="n">
        <v>23893</v>
      </c>
      <c r="B2668" t="n">
        <v>1073153</v>
      </c>
      <c r="C2668" t="n">
        <v>299531</v>
      </c>
      <c r="D2668" t="n">
        <v>343087</v>
      </c>
      <c r="E2668" s="1" t="n">
        <v>39805</v>
      </c>
      <c r="F2668" t="n">
        <v>5</v>
      </c>
      <c r="G2668" t="inlineStr">
        <is>
          <t>I just finished making this and it is a great recipe. The caramel part is the trickiest but otherwise it is not much of a fuss to make with and electic mixer. I used my own chocolate cream recipe from my family in Romania but I will try to make it with your filling as well. Great job!!</t>
        </is>
      </c>
    </row>
    <row r="2669" ht="409.5" customHeight="1">
      <c r="A2669" s="7" t="n">
        <v>91998</v>
      </c>
      <c r="B2669" s="7" t="n">
        <v>242067</v>
      </c>
      <c r="C2669" s="7" t="n">
        <v>266891</v>
      </c>
      <c r="D2669" s="7" t="n">
        <v>28559</v>
      </c>
      <c r="E2669" s="8" t="n">
        <v>39483</v>
      </c>
      <c r="F2669" s="7" t="n">
        <v>5</v>
      </c>
      <c r="G2669" s="9" t="inlineStr">
        <is>
          <t>Tried making the spaghetti sauce first, but was too sour for our taste so I used it for lasagna instead. My family absolutely loved it, recipe is a keeper. Doubled the amount of cottage cheese + parmesan mixture because we like creamy pasta. YUMMY!!!_x000D_
Brought some for school today, friends adored it too. Said it tasted like pizza. ;)</t>
        </is>
      </c>
    </row>
    <row r="2670">
      <c r="A2670" s="7" t="n">
        <v>107487</v>
      </c>
      <c r="B2670" s="7" t="n">
        <v>744684</v>
      </c>
      <c r="C2670" s="7" t="n">
        <v>61660</v>
      </c>
      <c r="D2670" s="7" t="n">
        <v>84109</v>
      </c>
      <c r="E2670" s="8" t="n">
        <v>38370</v>
      </c>
      <c r="F2670" s="7" t="n">
        <v>5</v>
      </c>
      <c r="G2670" s="7" t="inlineStr">
        <is>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is>
      </c>
    </row>
    <row r="2671">
      <c r="A2671" s="7" t="n">
        <v>72419</v>
      </c>
      <c r="B2671" s="7" t="n">
        <v>494114</v>
      </c>
      <c r="C2671" s="7" t="n">
        <v>1653107</v>
      </c>
      <c r="D2671" s="7" t="n">
        <v>98223</v>
      </c>
      <c r="E2671" s="8" t="n">
        <v>40535</v>
      </c>
      <c r="F2671" s="7" t="n">
        <v>5</v>
      </c>
      <c r="G2671" s="7" t="inlineStr">
        <is>
          <t>It was really good,  but your recipe repeats its self twice.&lt;br/&gt;Also try onion soup mix, gives it a bit more kick :)</t>
        </is>
      </c>
    </row>
    <row r="2672">
      <c r="A2672" s="7" t="n">
        <v>17367</v>
      </c>
      <c r="B2672" s="7" t="n">
        <v>211338</v>
      </c>
      <c r="C2672" s="7" t="n">
        <v>1925885</v>
      </c>
      <c r="D2672" s="7" t="n">
        <v>440859</v>
      </c>
      <c r="E2672" s="8" t="n">
        <v>41556</v>
      </c>
      <c r="F2672" s="7" t="n">
        <v>5</v>
      </c>
      <c r="G2672" s="7" t="inlineStr">
        <is>
          <t>Sarasota, this salad is MAGNIFICENT!!!  Like you, I&amp;#039;m a beet lover. Now granted, here in Costa Rica all we can get is the red beets, but they are really flavorful.  So this was made with red beets and served over a bed of arugula, which added the perfect pungency to the sweet  tastes in the salad. You&amp;#039;re right, the vinaigrette is wonderful - I could eat it with a spoon! As a matter of fact, I served this with boneless skinless chicken thighs topped with a cornflake, garlic &amp;amp; parmesan crumb - as an afterthought we added a drizzle of the vinaigrette to the last few bites of chicken and WOW - very, very good!  This is a keeper of a recipe and worth more than five stars. Thanks for posting!  Made for My 3 Chefs 2013.</t>
        </is>
      </c>
    </row>
    <row r="2673">
      <c r="A2673" s="7" t="n">
        <v>949</v>
      </c>
      <c r="B2673" s="7" t="n">
        <v>259178</v>
      </c>
      <c r="C2673" s="7" t="n">
        <v>765012</v>
      </c>
      <c r="D2673" s="7" t="n">
        <v>188024</v>
      </c>
      <c r="E2673" s="8" t="n">
        <v>39902</v>
      </c>
      <c r="F2673" s="7" t="n">
        <v>4</v>
      </c>
      <c r="G2673" s="7" t="inlineStr">
        <is>
          <t>I had high hopes for this and it was very good but the Italian seasoning really overpowerd all the other great flavor. Next time I will omit the seasoning and maybe just a little salt and pepper.I will def make again because everything alse about the dish was beautiful.</t>
        </is>
      </c>
    </row>
    <row r="2674" ht="409.5" customHeight="1">
      <c r="A2674" s="7" t="n">
        <v>9607</v>
      </c>
      <c r="B2674" s="7" t="n">
        <v>15816</v>
      </c>
      <c r="C2674" s="7" t="n">
        <v>41809</v>
      </c>
      <c r="D2674" s="7" t="n">
        <v>102734</v>
      </c>
      <c r="E2674" s="8" t="n">
        <v>38320</v>
      </c>
      <c r="F2674" s="7" t="n">
        <v>5</v>
      </c>
      <c r="G2674" s="9" t="inlineStr">
        <is>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is>
      </c>
    </row>
    <row r="2675">
      <c r="A2675" s="7" t="n">
        <v>94612</v>
      </c>
      <c r="B2675" s="7" t="n">
        <v>824020</v>
      </c>
      <c r="C2675" s="7" t="n">
        <v>531799</v>
      </c>
      <c r="D2675" s="7" t="n">
        <v>78814</v>
      </c>
      <c r="E2675" s="8" t="n">
        <v>39413</v>
      </c>
      <c r="F2675" s="7" t="n">
        <v>5</v>
      </c>
      <c r="G2675" s="7" t="inlineStr">
        <is>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is>
      </c>
    </row>
    <row r="2676">
      <c r="A2676" s="7" t="n">
        <v>106673</v>
      </c>
      <c r="B2676" s="7" t="n">
        <v>681099</v>
      </c>
      <c r="C2676" s="7" t="n">
        <v>329638</v>
      </c>
      <c r="D2676" s="7" t="n">
        <v>108248</v>
      </c>
      <c r="E2676" s="8" t="n">
        <v>40256</v>
      </c>
      <c r="F2676" s="7" t="n">
        <v>5</v>
      </c>
      <c r="G2676" s="7" t="inlineStr">
        <is>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is>
      </c>
    </row>
    <row r="2677">
      <c r="A2677" s="7" t="n">
        <v>37593</v>
      </c>
      <c r="B2677" s="7" t="n">
        <v>789670</v>
      </c>
      <c r="C2677" s="7" t="n">
        <v>1366254</v>
      </c>
      <c r="D2677" s="7" t="n">
        <v>383147</v>
      </c>
      <c r="E2677" s="8" t="n">
        <v>40074</v>
      </c>
      <c r="F2677" s="7" t="n">
        <v>5</v>
      </c>
      <c r="G2677" s="7" t="inlineStr">
        <is>
          <t>Yum!</t>
        </is>
      </c>
    </row>
    <row r="2678">
      <c r="A2678" s="7" t="n">
        <v>78097</v>
      </c>
      <c r="B2678" s="7" t="n">
        <v>546502</v>
      </c>
      <c r="C2678" s="7" t="n">
        <v>120566</v>
      </c>
      <c r="D2678" s="7" t="n">
        <v>164961</v>
      </c>
      <c r="E2678" s="8" t="n">
        <v>39959</v>
      </c>
      <c r="F2678" s="7" t="n">
        <v>4</v>
      </c>
      <c r="G2678" s="7" t="inlineStr">
        <is>
          <t>Different</t>
        </is>
      </c>
    </row>
    <row r="2679">
      <c r="A2679" s="7" t="n">
        <v>113654</v>
      </c>
      <c r="B2679" s="7" t="n">
        <v>109148</v>
      </c>
      <c r="C2679" s="7" t="n">
        <v>601528</v>
      </c>
      <c r="D2679" s="7" t="n">
        <v>257766</v>
      </c>
      <c r="E2679" s="8" t="n">
        <v>40099</v>
      </c>
      <c r="F2679" s="7" t="n">
        <v>4</v>
      </c>
      <c r="G2679" s="7" t="inlineStr">
        <is>
          <t>Very good but I found that the milk wasn't quite enough for my size of potatoes so I added more until I got the right consistency.  I love the method used here.</t>
        </is>
      </c>
    </row>
    <row r="2680">
      <c r="A2680" s="7" t="n">
        <v>56207</v>
      </c>
      <c r="B2680" s="7" t="n">
        <v>207638</v>
      </c>
      <c r="C2680" s="7" t="n">
        <v>92727</v>
      </c>
      <c r="D2680" s="7" t="n">
        <v>64386</v>
      </c>
      <c r="E2680" s="8" t="n">
        <v>37806</v>
      </c>
      <c r="F2680" s="7" t="n">
        <v>3</v>
      </c>
      <c r="G2680" s="7" t="inlineStr">
        <is>
          <t>Great</t>
        </is>
      </c>
    </row>
    <row r="2681">
      <c r="A2681" s="7" t="n">
        <v>32046</v>
      </c>
      <c r="B2681" s="7" t="n">
        <v>165780</v>
      </c>
      <c r="C2681" s="7" t="n">
        <v>174096</v>
      </c>
      <c r="D2681" s="7" t="n">
        <v>277916</v>
      </c>
      <c r="E2681" s="8" t="n">
        <v>41478</v>
      </c>
      <c r="F2681" s="7" t="n">
        <v>5</v>
      </c>
      <c r="G2681" s="7" t="inlineStr">
        <is>
          <t>Nice fish preparation!  I subbed in gluten free flour due to personal need.  The fish came out nice and moist on the inside with that timing.  Thanks for sharing!  ZWT9</t>
        </is>
      </c>
    </row>
    <row r="2682">
      <c r="A2682" s="7" t="n">
        <v>13871</v>
      </c>
      <c r="B2682" s="7" t="n">
        <v>214210</v>
      </c>
      <c r="C2682" s="7" t="n">
        <v>341142</v>
      </c>
      <c r="D2682" s="7" t="n">
        <v>220408</v>
      </c>
      <c r="E2682" s="8" t="n">
        <v>39327</v>
      </c>
      <c r="F2682" s="7" t="n">
        <v>4</v>
      </c>
      <c r="G2682" s="7" t="inlineStr">
        <is>
          <t>Loved that you didn't have to tend to this and could easily prepare something else while this was in the oven. Great flavour. I baked at 350 C to shorten the cooking time.</t>
        </is>
      </c>
    </row>
    <row r="2683">
      <c r="A2683" t="n">
        <v>54013</v>
      </c>
      <c r="B2683" t="n">
        <v>1076667</v>
      </c>
      <c r="C2683" t="n">
        <v>2001526047</v>
      </c>
      <c r="D2683" t="n">
        <v>329804</v>
      </c>
      <c r="E2683" s="1" t="n">
        <v>43198</v>
      </c>
      <c r="F2683" t="n">
        <v>0</v>
      </c>
      <c r="G2683" t="inlineStr">
        <is>
          <t>This was very good, liked it better than hershey syrup from store!!</t>
        </is>
      </c>
    </row>
    <row r="2684">
      <c r="A2684" s="7" t="n">
        <v>46498</v>
      </c>
      <c r="B2684" s="7" t="n">
        <v>539044</v>
      </c>
      <c r="C2684" s="7" t="n">
        <v>125325</v>
      </c>
      <c r="D2684" s="7" t="n">
        <v>242775</v>
      </c>
      <c r="E2684" s="8" t="n">
        <v>39553</v>
      </c>
      <c r="F2684" s="7" t="n">
        <v>5</v>
      </c>
      <c r="G2684" s="7" t="inlineStr">
        <is>
          <t>Wow! I'd give this recipe more than 5 stars! This is now one of my favorite recipes on Zaar. Definitely a more "sophisticated" comfort food ;-) I've even had the leftovers for breakfast the next day...lol. Thanks so much for a great recipe.</t>
        </is>
      </c>
    </row>
    <row r="2685">
      <c r="A2685" s="7" t="n">
        <v>54714</v>
      </c>
      <c r="B2685" s="7" t="n">
        <v>529826</v>
      </c>
      <c r="C2685" s="7" t="n">
        <v>709542</v>
      </c>
      <c r="D2685" s="7" t="n">
        <v>56452</v>
      </c>
      <c r="E2685" s="8" t="n">
        <v>39904</v>
      </c>
      <c r="F2685" s="7" t="n">
        <v>5</v>
      </c>
      <c r="G2685" s="7" t="inlineStr">
        <is>
          <t>These took some time to make but the end result was well worth the time it took us to make them!  We loved the sauce and the spices used were a perfect blend.  I look forward to showing off my cooking talents with friends soon when I present these to them to try!  What a great recipe this is.  Try it!</t>
        </is>
      </c>
    </row>
    <row r="2686">
      <c r="A2686" s="7" t="n">
        <v>81967</v>
      </c>
      <c r="B2686" s="7" t="n">
        <v>956400</v>
      </c>
      <c r="C2686" s="7" t="n">
        <v>2001378419</v>
      </c>
      <c r="D2686" s="7" t="n">
        <v>87683</v>
      </c>
      <c r="E2686" s="8" t="n">
        <v>42770</v>
      </c>
      <c r="F2686" s="7" t="n">
        <v>5</v>
      </c>
      <c r="G2686" s="7" t="inlineStr">
        <is>
          <t>Absolutely LOVE this icing. Definitely a go to recipe if you're looking for a light and fluffy chocolate icing!</t>
        </is>
      </c>
    </row>
    <row r="2687">
      <c r="A2687" s="7" t="n">
        <v>7135</v>
      </c>
      <c r="B2687" s="7" t="n">
        <v>199130</v>
      </c>
      <c r="C2687" s="7" t="n">
        <v>824761</v>
      </c>
      <c r="D2687" s="7" t="n">
        <v>137353</v>
      </c>
      <c r="E2687" s="8" t="n">
        <v>40022</v>
      </c>
      <c r="F2687" s="7" t="n">
        <v>5</v>
      </c>
      <c r="G2687" s="7" t="inlineStr">
        <is>
          <t>Truly enjoyable.  I think the next time I will try with sun tried tomatoes.  Chicken would be nice to add or make it a Tuna Panini.</t>
        </is>
      </c>
    </row>
    <row r="2688">
      <c r="A2688" s="7" t="n">
        <v>49954</v>
      </c>
      <c r="B2688" s="7" t="n">
        <v>200834</v>
      </c>
      <c r="C2688" s="7" t="n">
        <v>356499</v>
      </c>
      <c r="D2688" s="7" t="n">
        <v>284444</v>
      </c>
      <c r="E2688" s="8" t="n">
        <v>39552</v>
      </c>
      <c r="F2688" s="7" t="n">
        <v>5</v>
      </c>
      <c r="G2688" s="7" t="inlineStr">
        <is>
          <t>Super easy to make.Very moist. I especially liked the addition of chopped pecans &amp; coconut. Was a big hit at the hosp. bake sale!</t>
        </is>
      </c>
    </row>
    <row r="2689">
      <c r="A2689" s="7" t="n">
        <v>67180</v>
      </c>
      <c r="B2689" s="7" t="n">
        <v>94249</v>
      </c>
      <c r="C2689" s="7" t="n">
        <v>89366</v>
      </c>
      <c r="D2689" s="7" t="n">
        <v>28758</v>
      </c>
      <c r="E2689" s="8" t="n">
        <v>38684</v>
      </c>
      <c r="F2689" s="7" t="n">
        <v>5</v>
      </c>
      <c r="G2689" s="7" t="inlineStr">
        <is>
          <t>Most excellent flavor &amp; texture! I did have to substitute 1/2 of the sweetened milk with reg canned milk &amp; it still turned out wonderful! A keeper for sure. Thanks</t>
        </is>
      </c>
    </row>
    <row r="2690" ht="409.5" customHeight="1">
      <c r="A2690" s="7" t="n">
        <v>115543</v>
      </c>
      <c r="B2690" s="7" t="n">
        <v>861115</v>
      </c>
      <c r="C2690" s="7" t="n">
        <v>207616</v>
      </c>
      <c r="D2690" s="7" t="n">
        <v>290488</v>
      </c>
      <c r="E2690" s="8" t="n">
        <v>39641</v>
      </c>
      <c r="F2690" s="7" t="n">
        <v>5</v>
      </c>
      <c r="G2690" s="9" t="inlineStr">
        <is>
          <t>Yum!, we love authentic flavors at my house and this recipe has a very spicy and authentic blended flavor.
My daughter works in a health food store and proudly brought home a bag of beautiful red lentils and I had just picked some apples a few days back  so this was THE recipe that called out to me and I'm super glad! Made during ZWT4.</t>
        </is>
      </c>
    </row>
    <row r="2691">
      <c r="A2691" s="7" t="n">
        <v>107703</v>
      </c>
      <c r="B2691" s="7" t="n">
        <v>505527</v>
      </c>
      <c r="C2691" s="7" t="n">
        <v>1249676</v>
      </c>
      <c r="D2691" s="7" t="n">
        <v>19260</v>
      </c>
      <c r="E2691" s="8" t="n">
        <v>40367</v>
      </c>
      <c r="F2691" s="7" t="n">
        <v>4</v>
      </c>
      <c r="G2691" s="7" t="inlineStr">
        <is>
          <t>Yummy :)  I was a little skeptical of the water, but the cookies turned out just fine.  Reading the other comments, I decided to add a little more flour to keep them from going to flat (just about an 1/8th of a cup) and they turned out really good.  Necessity is the mother of invention :P  I had to use whole wheet, and instead of dark chocolate chips, I used cashews (still very very yummy that way :D)</t>
        </is>
      </c>
    </row>
    <row r="2692">
      <c r="A2692" s="7" t="n">
        <v>43192</v>
      </c>
      <c r="B2692" s="7" t="n">
        <v>410331</v>
      </c>
      <c r="C2692" s="7" t="n">
        <v>900992</v>
      </c>
      <c r="D2692" s="7" t="n">
        <v>296168</v>
      </c>
      <c r="E2692" s="8" t="n">
        <v>39988</v>
      </c>
      <c r="F2692" s="7" t="n">
        <v>3</v>
      </c>
      <c r="G2692" s="7" t="inlineStr">
        <is>
          <t>I would have given it a 2, but hubby gave it a 3. I would recommend more garlic. It's a little bland as is. It is nice and creamy, though.</t>
        </is>
      </c>
    </row>
    <row r="2693">
      <c r="A2693" s="7" t="n">
        <v>14436</v>
      </c>
      <c r="B2693" s="7" t="n">
        <v>790893</v>
      </c>
      <c r="C2693" s="7" t="n">
        <v>381180</v>
      </c>
      <c r="D2693" s="7" t="n">
        <v>284048</v>
      </c>
      <c r="E2693" s="8" t="n">
        <v>39805</v>
      </c>
      <c r="F2693" s="7" t="n">
        <v>4</v>
      </c>
      <c r="G2693" s="7" t="inlineStr">
        <is>
          <t>GOOD!  Easy and quick ~ but a little crumbly!  I stirred-in as much of the powdered sugar as I could with a wooden spoon, then kneaded the rest in with my hands.  I pressed the fudge into a 9x13 Pyrex dish lined with parchment paper ~ topped it with more parchment paper and pressed it down.  I DID NOT refrigerate the fudge ~ cut the fudge into 96 pieces the next day.</t>
        </is>
      </c>
    </row>
    <row r="2694">
      <c r="A2694" s="7" t="n">
        <v>19879</v>
      </c>
      <c r="B2694" s="7" t="n">
        <v>153381</v>
      </c>
      <c r="C2694" s="7" t="n">
        <v>1060667</v>
      </c>
      <c r="D2694" s="7" t="n">
        <v>285113</v>
      </c>
      <c r="E2694" s="8" t="n">
        <v>43187</v>
      </c>
      <c r="F2694" s="7" t="n">
        <v>5</v>
      </c>
      <c r="G2694" s="7" t="inlineStr">
        <is>
          <t>5 star recipe! I did change a few things with what I had on hand. I used yellow onion in place of the green and red bell pepper instead of green. Oh and all I had were baby potatoes, so I left the skin on and either halved or quartered them depending on the size. Topped the bowls with some chopped crispy bacon :) The flavor of this chowder is fantastic! Served with garlic drop biscuits, yum!!</t>
        </is>
      </c>
    </row>
    <row r="2695">
      <c r="A2695" s="7" t="n">
        <v>54009</v>
      </c>
      <c r="B2695" s="7" t="n">
        <v>230400</v>
      </c>
      <c r="C2695" s="7" t="n">
        <v>31232</v>
      </c>
      <c r="D2695" s="7" t="n">
        <v>16115</v>
      </c>
      <c r="E2695" s="8" t="n">
        <v>37491</v>
      </c>
      <c r="F2695" s="7" t="n">
        <v>4</v>
      </c>
      <c r="G2695" s="7" t="inlineStr">
        <is>
          <t>Very good.  I added the red onion with the sausage ,olives and seasoning just to cook slightly.  I also decreased the amount of olive oil as it didn't seem to need as much as called for.  Lovely flavour combination.</t>
        </is>
      </c>
    </row>
    <row r="2696">
      <c r="A2696" s="7" t="n">
        <v>11790</v>
      </c>
      <c r="B2696" s="7" t="n">
        <v>313401</v>
      </c>
      <c r="C2696" s="7" t="n">
        <v>51842</v>
      </c>
      <c r="D2696" s="7" t="n">
        <v>246989</v>
      </c>
      <c r="E2696" s="8" t="n">
        <v>40919</v>
      </c>
      <c r="F2696" s="7" t="n">
        <v>5</v>
      </c>
      <c r="G2696" s="7" t="inlineStr">
        <is>
          <t>I received a bundt cake pan for Christmas, and this recipe was my first attempt at a bundt cake.  It was wonderful!!  After reading some reviews, I added a few more halves of mini peanut butter cups.  I was worried about the cake sticking to the pan, so I used a lot of butter-flavored Crisco and flour on it.  I also coated the pan with chocolate powder, for good measure.  I looked online, and some people said to let the cake cool completely before inverting on a plate.  Other said wait only ten minutes.  I followed the recipe and removed it from the pan after ten minutes.  It came out perfectly!  Thanks for this yummy (and easy) recipe!  I've never had my guests take seconds of desserts!  We loved it!</t>
        </is>
      </c>
    </row>
    <row r="2697" ht="409.5" customHeight="1">
      <c r="A2697" s="7" t="n">
        <v>24116</v>
      </c>
      <c r="B2697" s="7" t="n">
        <v>1116071</v>
      </c>
      <c r="C2697" s="7" t="n">
        <v>213909</v>
      </c>
      <c r="D2697" s="7" t="n">
        <v>318557</v>
      </c>
      <c r="E2697" s="8" t="n">
        <v>39670</v>
      </c>
      <c r="F2697" s="7" t="n">
        <v>5</v>
      </c>
      <c r="G2697" s="9" t="inlineStr">
        <is>
          <t>WOW! This is GOOD! We love stuffed peppers, so this reipe caught my eye! Had to try it right away! :-) I had to make a few adjustments,because I did not want to go to the grocery store. I had no crushed tomatoes, so I used Petite Diced Tomatoes with onins and garlic. I had a box of beef broth (4c) so I used that and left out the water._x000D_
I had 6 very smal peppers and used them all. I had already thawed ground sirloin and Jimmy Dean breakfast sausage to make meatloaf and used that. Had cooked brown rice on hand._x000D_
Now I have to say:"This is indeed better than Stuffed Peppers"!!! Thanks for posting! :-) Hope many will try it.</t>
        </is>
      </c>
    </row>
    <row r="2698">
      <c r="A2698" s="7" t="n">
        <v>41632</v>
      </c>
      <c r="B2698" s="7" t="n">
        <v>1004430</v>
      </c>
      <c r="C2698" s="7" t="n">
        <v>145599</v>
      </c>
      <c r="D2698" s="7" t="n">
        <v>61610</v>
      </c>
      <c r="E2698" s="8" t="n">
        <v>38389</v>
      </c>
      <c r="F2698" s="7" t="n">
        <v>5</v>
      </c>
      <c r="G2698" s="7" t="inlineStr">
        <is>
          <t>A good old time recipe. It definitely cleanses you! A pleasure to drink. Thanks for bringing this back to my attention. My mother used to give me this when I was sick.</t>
        </is>
      </c>
    </row>
    <row r="2699">
      <c r="A2699" s="7" t="n">
        <v>53576</v>
      </c>
      <c r="B2699" s="7" t="n">
        <v>256707</v>
      </c>
      <c r="C2699" s="7" t="n">
        <v>123897</v>
      </c>
      <c r="D2699" s="7" t="n">
        <v>26205</v>
      </c>
      <c r="E2699" s="8" t="n">
        <v>38501</v>
      </c>
      <c r="F2699" s="7" t="n">
        <v>4</v>
      </c>
      <c r="G2699" s="7" t="inlineStr">
        <is>
          <t>Taste-wise, this is okay. It doesn't state that this is for a 9-inch double crust or one single 9-inch crust.</t>
        </is>
      </c>
    </row>
    <row r="2700">
      <c r="A2700" s="7" t="n">
        <v>85120</v>
      </c>
      <c r="B2700" s="7" t="n">
        <v>738537</v>
      </c>
      <c r="C2700" s="7" t="n">
        <v>89831</v>
      </c>
      <c r="D2700" s="7" t="n">
        <v>196311</v>
      </c>
      <c r="E2700" s="8" t="n">
        <v>39248</v>
      </c>
      <c r="F2700" s="7" t="n">
        <v>5</v>
      </c>
      <c r="G2700" s="7" t="inlineStr">
        <is>
          <t>this was chosen and made as a test run for my get BBQ get togethers, I omitted adding in the lemon peel and used regular strong-brewed tea, it definately needed some extra sugar for sweetness, thanks for sharing Engrossed, will make again!...Kitten</t>
        </is>
      </c>
    </row>
    <row r="2701">
      <c r="A2701" s="7" t="n">
        <v>83689</v>
      </c>
      <c r="B2701" s="7" t="n">
        <v>297592</v>
      </c>
      <c r="C2701" s="7" t="n">
        <v>329769</v>
      </c>
      <c r="D2701" s="7" t="n">
        <v>338611</v>
      </c>
      <c r="E2701" s="8" t="n">
        <v>39960</v>
      </c>
      <c r="F2701" s="7" t="n">
        <v>5</v>
      </c>
      <c r="G2701" s="7" t="inlineStr">
        <is>
          <t>*Reviewed during ZWT5 France visit for the CHow Hounds* Thanks Wicked- easy and tasty pasta dish. I used gluten-free fettuccine and stock/broth to make this dish suitable to my diet. Easy to put together and I loved the french shallots and  asparagus with the lemony flavours. I think though that my gluten-free pasta absorbed the sauce...as gf pasta tends to do. Next time I might just not drain my opasta so well. Photo being posted...but its not a great one. Thanks for a very tasty quick dinner.</t>
        </is>
      </c>
    </row>
    <row r="2702">
      <c r="A2702" s="7" t="n">
        <v>51471</v>
      </c>
      <c r="B2702" s="7" t="n">
        <v>799279</v>
      </c>
      <c r="C2702" s="7" t="n">
        <v>204024</v>
      </c>
      <c r="D2702" s="7" t="n">
        <v>497758</v>
      </c>
      <c r="E2702" s="8" t="n">
        <v>41371</v>
      </c>
      <c r="F2702" s="7" t="n">
        <v>5</v>
      </c>
      <c r="G2702" s="7" t="inlineStr">
        <is>
          <t>I usually think of pepper steak as a stir-fry dish; this version stews in a tomato broth with onions and bell peppers. We threw in some colorful mini sweet peppers for color, but otherwise followed the recipe to the letter. We got a filling, savory supper that everyone enjoyed over mashed potatoes.  The steak was soft and tender; if I do it again I&amp;#039;ll add the onions and peppers later so that they keep more of their shape.  Overall, we loved it. Made for PAC Spring 2013.</t>
        </is>
      </c>
    </row>
    <row r="2703">
      <c r="A2703" s="7" t="n">
        <v>77940</v>
      </c>
      <c r="B2703" s="7" t="n">
        <v>692613</v>
      </c>
      <c r="C2703" s="7" t="n">
        <v>607864</v>
      </c>
      <c r="D2703" s="7" t="n">
        <v>70239</v>
      </c>
      <c r="E2703" s="8" t="n">
        <v>39604</v>
      </c>
      <c r="F2703" s="7" t="n">
        <v>1</v>
      </c>
      <c r="G2703" s="7" t="inlineStr">
        <is>
          <t>I hate to say this I really do, but this is not what I expected in the least. It wasn't too soupy, it was the perfect consistancy, but it tasted like my dh's grandmothers tuna noodle casserole without the tuna. I won't make this again, ever. I'm very glad so many people loved it, but not this family. I HATE leaving this but if you know what this tastes like in the restaurant you will be very dissapointed.</t>
        </is>
      </c>
    </row>
    <row r="2704">
      <c r="A2704" s="7" t="n">
        <v>70721</v>
      </c>
      <c r="B2704" s="7" t="n">
        <v>508360</v>
      </c>
      <c r="C2704" s="7" t="n">
        <v>164368</v>
      </c>
      <c r="D2704" s="7" t="n">
        <v>124413</v>
      </c>
      <c r="E2704" s="8" t="n">
        <v>39421</v>
      </c>
      <c r="F2704" s="7" t="n">
        <v>5</v>
      </c>
      <c r="G2704" s="7" t="inlineStr">
        <is>
          <t>My granny taught me this years ago &amp; it works like a charm every time!</t>
        </is>
      </c>
    </row>
    <row r="2705">
      <c r="A2705" s="7" t="n">
        <v>78570</v>
      </c>
      <c r="B2705" s="7" t="n">
        <v>994651</v>
      </c>
      <c r="C2705" s="7" t="n">
        <v>54678</v>
      </c>
      <c r="D2705" s="7" t="n">
        <v>125863</v>
      </c>
      <c r="E2705" s="8" t="n">
        <v>38522</v>
      </c>
      <c r="F2705" s="7" t="n">
        <v>5</v>
      </c>
      <c r="G2705" s="7" t="inlineStr">
        <is>
          <t xml:space="preserve">Now I have another great spinach salad recipe. We made exact same first time then second time I was short on the sour cream so I added a bit of feta and some cream cheese for the dressing. Also added 4 hard boiled eggs. Will def repeat.  </t>
        </is>
      </c>
    </row>
    <row r="2706" ht="409.5" customHeight="1">
      <c r="A2706" s="7" t="n">
        <v>106338</v>
      </c>
      <c r="B2706" s="7" t="n">
        <v>301641</v>
      </c>
      <c r="C2706" s="7" t="n">
        <v>180460</v>
      </c>
      <c r="D2706" s="7" t="n">
        <v>118743</v>
      </c>
      <c r="E2706" s="8" t="n">
        <v>38641</v>
      </c>
      <c r="F2706" s="7" t="n">
        <v>5</v>
      </c>
      <c r="G2706" s="9" t="inlineStr">
        <is>
          <t>This was unbelievably good!_x000D_
I followed the suggestions and used chicken thighs and served with rice._x000D_
Next time, I would double the quantity of the sauce. (tomatillos/onion/jalapenos etc..)_x000D_
It was not very spicy, so if you like spicy, add more jalapeno. *yum*</t>
        </is>
      </c>
    </row>
    <row r="2707">
      <c r="A2707" s="7" t="n">
        <v>52299</v>
      </c>
      <c r="B2707" s="7" t="n">
        <v>224448</v>
      </c>
      <c r="C2707" s="7" t="n">
        <v>833434</v>
      </c>
      <c r="D2707" s="7" t="n">
        <v>300257</v>
      </c>
      <c r="E2707" s="8" t="n">
        <v>40810</v>
      </c>
      <c r="F2707" s="7" t="n">
        <v>4</v>
      </c>
      <c r="G2707" s="7" t="inlineStr">
        <is>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is>
      </c>
    </row>
    <row r="2708">
      <c r="A2708" s="7" t="n">
        <v>88957</v>
      </c>
      <c r="B2708" s="7" t="n">
        <v>330243</v>
      </c>
      <c r="C2708" s="7" t="n">
        <v>222139</v>
      </c>
      <c r="D2708" s="7" t="n">
        <v>442149</v>
      </c>
      <c r="E2708" s="8" t="n">
        <v>40993</v>
      </c>
      <c r="F2708" s="7" t="n">
        <v>5</v>
      </c>
      <c r="G2708" s="7" t="inlineStr">
        <is>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is>
      </c>
    </row>
    <row r="2709">
      <c r="A2709" s="7" t="n">
        <v>70957</v>
      </c>
      <c r="B2709" s="7" t="n">
        <v>473388</v>
      </c>
      <c r="C2709" s="7" t="n">
        <v>220348</v>
      </c>
      <c r="D2709" s="7" t="n">
        <v>308872</v>
      </c>
      <c r="E2709" s="8" t="n">
        <v>40931</v>
      </c>
      <c r="F2709" s="7" t="n">
        <v>5</v>
      </c>
      <c r="G2709" s="7" t="inlineStr">
        <is>
          <t>This was amazing! A nice combination of smooth and crunchy. I used canned peaches, and low fat sour cream. And this went quickly too as a nice little dessert.</t>
        </is>
      </c>
    </row>
    <row r="2710">
      <c r="A2710" s="7" t="n">
        <v>21758</v>
      </c>
      <c r="B2710" s="7" t="n">
        <v>212369</v>
      </c>
      <c r="C2710" s="7" t="n">
        <v>1584433</v>
      </c>
      <c r="D2710" s="7" t="n">
        <v>104354</v>
      </c>
      <c r="E2710" s="8" t="n">
        <v>41018</v>
      </c>
      <c r="F2710" s="7" t="n">
        <v>5</v>
      </c>
      <c r="G2710" s="7" t="inlineStr">
        <is>
          <t>This recipe was really good - my first time with a low carb pizza.   I used ground turkey (preference).  Of course the crust didn't hold together great, but tasted good nonetheless.  Thanks for posting. : )</t>
        </is>
      </c>
    </row>
    <row r="2711" ht="409.5" customHeight="1">
      <c r="A2711" s="7" t="n">
        <v>60074</v>
      </c>
      <c r="B2711" s="7" t="n">
        <v>731741</v>
      </c>
      <c r="C2711" s="7" t="n">
        <v>573325</v>
      </c>
      <c r="D2711" s="7" t="n">
        <v>293832</v>
      </c>
      <c r="E2711" s="8" t="n">
        <v>39976</v>
      </c>
      <c r="F2711" s="7" t="n">
        <v>5</v>
      </c>
      <c r="G2711" s="9" t="inlineStr">
        <is>
          <t>WOW! These little gems are absolutely yummy! I made them as a surprise for my sis just about 20 minutes ago and when I pulled them out of the oven (after 25 min. baking time) they smelled so heavenly that I just couldnt resist and had to eat one straight away. Yum, yum, yum! These are bursting with apple flavour, have just the right amount of fruity sweetness and a nice moist inside paired with a crunchy top. Plus they are very healthy and dont make you feel bad about eating one more (or two). ;) What more can you ask for in a muffin?!
Thanks so much for sharing this fabulous recipe with us, Annacia! Im sure to make these very often again.
Oh, before I forget: I used 1 1/4 c whole spelt flour + 1/4 cup normal spelt flour, cause I cant have wheat and needed to use up the whole spelt flour. Kinda goofed up a bit, cause forgot to add the oil, but the muffins turned out perfectly, so I think Ill just leave it out in the future also.
Made and reviewed for Went to the Market Tag Game June 09.</t>
        </is>
      </c>
    </row>
    <row r="2712">
      <c r="A2712" s="7" t="n">
        <v>120528</v>
      </c>
      <c r="B2712" s="7" t="n">
        <v>988206</v>
      </c>
      <c r="C2712" s="7" t="n">
        <v>60908</v>
      </c>
      <c r="D2712" s="7" t="n">
        <v>63172</v>
      </c>
      <c r="E2712" s="8" t="n">
        <v>37821</v>
      </c>
      <c r="F2712" s="7" t="n">
        <v>5</v>
      </c>
      <c r="G2712" s="7" t="inlineStr">
        <is>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is>
      </c>
    </row>
    <row r="2713">
      <c r="A2713" s="7" t="n">
        <v>112112</v>
      </c>
      <c r="B2713" s="7" t="n">
        <v>567368</v>
      </c>
      <c r="C2713" s="7" t="n">
        <v>539686</v>
      </c>
      <c r="D2713" s="7" t="n">
        <v>284265</v>
      </c>
      <c r="E2713" s="8" t="n">
        <v>40325</v>
      </c>
      <c r="F2713" s="7" t="n">
        <v>5</v>
      </c>
      <c r="G2713" s="7" t="inlineStr">
        <is>
          <t>This is a wonderful soup and since we, in formerly sunny California are suffering through a very cold and wet May, it was the perfect choice for ZWT #6! I love the "hidden" veggies and it tasted creamy with the non-fat evaporated milk. It is filling so serving it with a salad makes a nice meal! I'm a Quisine Queen!!</t>
        </is>
      </c>
    </row>
    <row r="2714" ht="409.5" customHeight="1">
      <c r="A2714" s="7" t="n">
        <v>364</v>
      </c>
      <c r="B2714" s="7" t="n">
        <v>132485</v>
      </c>
      <c r="C2714" s="7" t="n">
        <v>26278</v>
      </c>
      <c r="D2714" s="7" t="n">
        <v>61564</v>
      </c>
      <c r="E2714" s="8" t="n">
        <v>37784</v>
      </c>
      <c r="F2714" s="7" t="n">
        <v>5</v>
      </c>
      <c r="G2714" s="9" t="inlineStr">
        <is>
          <t xml:space="preserve">Different, different, different... =) and soooooooo gooood! Changed this recipe just a bit.  Used yogurt "cheese" in place of mayo and it was delicious!! Thanks riff for this unusual and very tasty recipe. _x000D_
</t>
        </is>
      </c>
    </row>
    <row r="2715">
      <c r="A2715" s="7" t="n">
        <v>89701</v>
      </c>
      <c r="B2715" s="7" t="n">
        <v>3965</v>
      </c>
      <c r="C2715" s="7" t="n">
        <v>844554</v>
      </c>
      <c r="D2715" s="7" t="n">
        <v>69243</v>
      </c>
      <c r="E2715" s="8" t="n">
        <v>40481</v>
      </c>
      <c r="F2715" s="7" t="n">
        <v>5</v>
      </c>
      <c r="G2715" s="7" t="inlineStr">
        <is>
          <t>I also baked mine in the oven. I used garlic powder instead of garlic. Definitely smokey flavor. Very good.</t>
        </is>
      </c>
    </row>
    <row r="2716">
      <c r="A2716" s="7" t="n">
        <v>25648</v>
      </c>
      <c r="B2716" s="7" t="n">
        <v>324102</v>
      </c>
      <c r="C2716" s="7" t="n">
        <v>250354</v>
      </c>
      <c r="D2716" s="7" t="n">
        <v>80118</v>
      </c>
      <c r="E2716" s="8" t="n">
        <v>40116</v>
      </c>
      <c r="F2716" s="7" t="n">
        <v>5</v>
      </c>
      <c r="G2716" s="7" t="inlineStr">
        <is>
          <t>LOVE IT!! soo yummy its now my go to icing recipe! Thanks for another good one!</t>
        </is>
      </c>
    </row>
    <row r="2717">
      <c r="A2717" s="7" t="n">
        <v>121391</v>
      </c>
      <c r="B2717" s="7" t="n">
        <v>921382</v>
      </c>
      <c r="C2717" s="7" t="n">
        <v>252084</v>
      </c>
      <c r="D2717" s="7" t="n">
        <v>243127</v>
      </c>
      <c r="E2717" s="8" t="n">
        <v>39867</v>
      </c>
      <c r="F2717" s="7" t="n">
        <v>4</v>
      </c>
      <c r="G2717" s="7" t="inlineStr">
        <is>
          <t>Quick, easy and delicious.  Easy to make a half-recipe, and even a 20-minute simmer is fine (although longer would be better).  I substituted chopped zucchini for mushrooms, and note:  if you use dried herbs (smaller amount), you can add at any time.</t>
        </is>
      </c>
    </row>
    <row r="2718" ht="409.5" customHeight="1">
      <c r="A2718" s="7" t="n">
        <v>34287</v>
      </c>
      <c r="B2718" s="7" t="n">
        <v>452483</v>
      </c>
      <c r="C2718" s="7" t="n">
        <v>5060</v>
      </c>
      <c r="D2718" s="7" t="n">
        <v>60317</v>
      </c>
      <c r="E2718" s="8" t="n">
        <v>39102</v>
      </c>
      <c r="F2718" s="7" t="n">
        <v>5</v>
      </c>
      <c r="G2718" s="9" t="inlineStr">
        <is>
          <t>Baked these this afternoon for DH, he loves them, his favourite flavour, also loves peanut butter cookies.  The only thing I did different was to pour the chocolate chips on the hot bars as soon as I took them out of the oven and spread them as they melted on the hot bars. Saves another dirty pot. I had one bite and they are very good!  He's already asking to make them often.  Thanks for sharing._x000D_
January 20 ,2007 , very good this time I made them with the chocolate inside, very good this way, infact DH likes them better this way. thanks again.</t>
        </is>
      </c>
    </row>
    <row r="2719">
      <c r="A2719" s="7" t="n">
        <v>89496</v>
      </c>
      <c r="B2719" s="7" t="n">
        <v>623643</v>
      </c>
      <c r="C2719" s="7" t="n">
        <v>231671</v>
      </c>
      <c r="D2719" s="7" t="n">
        <v>17588</v>
      </c>
      <c r="E2719" s="8" t="n">
        <v>38764</v>
      </c>
      <c r="F2719" s="7" t="n">
        <v>5</v>
      </c>
      <c r="G2719" s="7" t="inlineStr">
        <is>
          <t>We love this cake. My recipe calls for only 3/4 C sugar and sometimes I sprinkle cocoa on it before I serve it. I baked one on Saturday and took the leftovers to work on Monday. I had to make 10 copies of the recipe to give out!</t>
        </is>
      </c>
    </row>
    <row r="2720">
      <c r="A2720" s="7" t="n">
        <v>110389</v>
      </c>
      <c r="B2720" s="7" t="n">
        <v>365172</v>
      </c>
      <c r="C2720" s="7" t="n">
        <v>383346</v>
      </c>
      <c r="D2720" s="7" t="n">
        <v>75835</v>
      </c>
      <c r="E2720" s="8" t="n">
        <v>40959</v>
      </c>
      <c r="F2720" s="7" t="n">
        <v>4</v>
      </c>
      <c r="G2720" s="7" t="inlineStr">
        <is>
          <t>The taste of these pancakes are so good.  But they were too liquid. Seems like it could have use more flour.  Also I used frozen blueberries.  And while I was doing the pancakes, the blueberries made liquid in the dough.  But it gave a great taste and color to the pancakes.  I think this recipe would be better with fresh blueberries.  Thanks Scandigirl :)  Made for Bargain Basement tag game</t>
        </is>
      </c>
    </row>
    <row r="2721">
      <c r="A2721" s="7" t="n">
        <v>49373</v>
      </c>
      <c r="B2721" s="7" t="n">
        <v>1061319</v>
      </c>
      <c r="C2721" s="7" t="n">
        <v>180156</v>
      </c>
      <c r="D2721" s="7" t="n">
        <v>276471</v>
      </c>
      <c r="E2721" s="8" t="n">
        <v>39535</v>
      </c>
      <c r="F2721" s="7" t="n">
        <v>5</v>
      </c>
      <c r="G2721" s="7" t="inlineStr">
        <is>
          <t>Yummy, yummy, yummy!  When I'm in a time crunch and want something yummy, this is what I make.  This is excellent and easy!</t>
        </is>
      </c>
    </row>
    <row r="2722">
      <c r="A2722" s="7" t="n">
        <v>30666</v>
      </c>
      <c r="B2722" s="7" t="n">
        <v>225724</v>
      </c>
      <c r="C2722" s="7" t="n">
        <v>173579</v>
      </c>
      <c r="D2722" s="7" t="n">
        <v>278396</v>
      </c>
      <c r="E2722" s="8" t="n">
        <v>41388</v>
      </c>
      <c r="F2722" s="7" t="n">
        <v>5</v>
      </c>
      <c r="G2722" s="7" t="inlineStr">
        <is>
          <t>This was a very tasty recipe.  So quick and easy.  Thanks for posting.</t>
        </is>
      </c>
    </row>
    <row r="2723" ht="409.5" customHeight="1">
      <c r="A2723" s="7" t="n">
        <v>115226</v>
      </c>
      <c r="B2723" s="7" t="n">
        <v>414074</v>
      </c>
      <c r="C2723" s="7" t="n">
        <v>2000386991</v>
      </c>
      <c r="D2723" s="7" t="n">
        <v>170792</v>
      </c>
      <c r="E2723" s="8" t="n">
        <v>42222</v>
      </c>
      <c r="F2723" s="7" t="n">
        <v>4</v>
      </c>
      <c r="G2723" s="9" t="inlineStr">
        <is>
          <t>was ok.. not like the restaurant i had it in... seasoned the fish,flour,potatoes..
still didnt take like i seasoned it... as a diabetic i cant season my food after i 
cook it...
dont know what i did wrong.. was crunchy with the potatoes.. 1 piece was not 
fully cooked.. had to nuke it... but all were browned..will try it again.. as i love this fish.
my boyfriend did add tarter sauce to it.. oh well.lol</t>
        </is>
      </c>
    </row>
    <row r="2724">
      <c r="A2724" s="7" t="n">
        <v>26511</v>
      </c>
      <c r="B2724" s="7" t="n">
        <v>21083</v>
      </c>
      <c r="C2724" s="7" t="n">
        <v>353485</v>
      </c>
      <c r="D2724" s="7" t="n">
        <v>82900</v>
      </c>
      <c r="E2724" s="8" t="n">
        <v>39282</v>
      </c>
      <c r="F2724" s="7" t="n">
        <v>3</v>
      </c>
      <c r="G2724" s="7" t="inlineStr">
        <is>
          <t>Juicy chops - easy enough to make.  We'll make this again.</t>
        </is>
      </c>
    </row>
    <row r="2725">
      <c r="A2725" s="7" t="n">
        <v>121048</v>
      </c>
      <c r="B2725" s="7" t="n">
        <v>809271</v>
      </c>
      <c r="C2725" s="7" t="n">
        <v>126272</v>
      </c>
      <c r="D2725" s="7" t="n">
        <v>320279</v>
      </c>
      <c r="E2725" s="8" t="n">
        <v>40271</v>
      </c>
      <c r="F2725" s="7" t="n">
        <v>5</v>
      </c>
      <c r="G2725" s="7" t="inlineStr">
        <is>
          <t>We did this for a dinner party as a starter - it was so very delightful - like summer in a glass.  We highly recommend trying it!  (Especially if you love tomatoes!)</t>
        </is>
      </c>
    </row>
    <row r="2726" ht="409.5" customHeight="1">
      <c r="A2726" s="7" t="n">
        <v>43878</v>
      </c>
      <c r="B2726" s="7" t="n">
        <v>28706</v>
      </c>
      <c r="C2726" s="7" t="n">
        <v>170129</v>
      </c>
      <c r="D2726" s="7" t="n">
        <v>51459</v>
      </c>
      <c r="E2726" s="8" t="n">
        <v>38322</v>
      </c>
      <c r="F2726" s="7" t="n">
        <v>5</v>
      </c>
      <c r="G2726" s="9" t="inlineStr">
        <is>
          <t xml:space="preserve">There are so many positive reviews to this recipe, I didn't anticipate any problems but I encountered a few.  _x000D_
_x000D_
Like several other cooks, I could not find ham hocks but did find smoked pork hocks which I used.  I soaked the beans overnight and glad I did.  I could only just fit in the beans and three of the hocks in my crockpot. Even at that, I had some spillage because the smoked hocks expanded over time.  _x000D_
_x000D_
By the way, the recipe does not say what size bean bag to use, mine was greater than 16 oz._x000D_
_x000D_
So after I got home and stripped the meat off the bones and put it back in, something was missing so I fried up some bacon, some more salt and water to the mix and it hit the bill._x000D_
_x000D_
I let the soup cook for 10 hours and the beans were just cooked.  In my opinion, the beans shouldn't have any crunch but should be very soft._x000D_
_x000D_
The next night I made some corn bread and the soup was a lot better warmed up - yum!_x000D_
_x000D_
</t>
        </is>
      </c>
    </row>
    <row r="2727">
      <c r="A2727" s="7" t="n">
        <v>76403</v>
      </c>
      <c r="B2727" s="7" t="n">
        <v>491692</v>
      </c>
      <c r="C2727" s="7" t="n">
        <v>1492503</v>
      </c>
      <c r="D2727" s="7" t="n">
        <v>257386</v>
      </c>
      <c r="E2727" s="8" t="n">
        <v>40637</v>
      </c>
      <c r="F2727" s="7" t="n">
        <v>5</v>
      </c>
      <c r="G2727" s="7" t="inlineStr">
        <is>
          <t>I have been looking forever for this recipe!  I used to make it so much I knew it by heart but then stopped and lost in several moves.  This is the BEST recipe!  You can bake it so the top comes out crispy.  I used to walk far out of my way for a muffin that tasted like this when I worked in Manhattan at a bakery called La Croissant - and I made this muffin much the same.  I used whole wheat flour to increase the fiber content with no detriment to the texture.  THANK YOU for giving me back  my bran muffin! It was called Sunday Morning Muffins in the Breakstone Ad - but Breakstone/Kraft - does NOT have it on their website where I have hunted for it far and wide.  Thank you Thank you thank you!</t>
        </is>
      </c>
    </row>
    <row r="2728">
      <c r="A2728" s="7" t="n">
        <v>31605</v>
      </c>
      <c r="B2728" s="7" t="n">
        <v>816402</v>
      </c>
      <c r="C2728" s="7" t="n">
        <v>1245895</v>
      </c>
      <c r="D2728" s="7" t="n">
        <v>367090</v>
      </c>
      <c r="E2728" s="8" t="n">
        <v>39924</v>
      </c>
      <c r="F2728" s="7" t="n">
        <v>5</v>
      </c>
      <c r="G2728" s="7" t="inlineStr">
        <is>
          <t>A great family favorite. It's wonderful with mashed potatoes too!</t>
        </is>
      </c>
    </row>
    <row r="2729">
      <c r="A2729" s="7" t="n">
        <v>10849</v>
      </c>
      <c r="B2729" s="7" t="n">
        <v>43367</v>
      </c>
      <c r="C2729" s="7" t="n">
        <v>1800482186</v>
      </c>
      <c r="D2729" s="7" t="n">
        <v>70329</v>
      </c>
      <c r="E2729" s="8" t="n">
        <v>41614</v>
      </c>
      <c r="F2729" s="7" t="n">
        <v>5</v>
      </c>
      <c r="G2729" s="7" t="inlineStr">
        <is>
          <t>Made it for a &amp;#039;friends-giving&amp;#039;, everyone loved it and it was so easy!</t>
        </is>
      </c>
    </row>
    <row r="2730">
      <c r="A2730" s="7" t="n">
        <v>108964</v>
      </c>
      <c r="B2730" s="7" t="n">
        <v>883312</v>
      </c>
      <c r="C2730" s="7" t="n">
        <v>1133190</v>
      </c>
      <c r="D2730" s="7" t="n">
        <v>98330</v>
      </c>
      <c r="E2730" s="8" t="n">
        <v>41165</v>
      </c>
      <c r="F2730" s="7" t="n">
        <v>5</v>
      </c>
      <c r="G2730" s="7" t="inlineStr">
        <is>
          <t>These are a more cake-like brownie than I typically make.  Although, I do tend to prefer fudge-like brownies, these are probably the best cake brownies I've had!  Very deep chocolate flavor.  I cooked them in an 8 in pan for 17 min.  I think these would be really good with frosting too!</t>
        </is>
      </c>
    </row>
    <row r="2731">
      <c r="A2731" s="7" t="n">
        <v>92702</v>
      </c>
      <c r="B2731" s="7" t="n">
        <v>1031204</v>
      </c>
      <c r="C2731" s="7" t="n">
        <v>407007</v>
      </c>
      <c r="D2731" s="7" t="n">
        <v>175888</v>
      </c>
      <c r="E2731" s="8" t="n">
        <v>39268</v>
      </c>
      <c r="F2731" s="7" t="n">
        <v>5</v>
      </c>
      <c r="G2731" s="7" t="inlineStr">
        <is>
          <t>this was such a cute idea! I used light cranberry juice so as you see from my picture I had to end up changing the order of the colors, but it still looked great! it even tasted better than I thought it would! and the color held up for a loooong time. I will use this every patriotic holiday. thanks!</t>
        </is>
      </c>
    </row>
    <row r="2732">
      <c r="A2732" s="7" t="n">
        <v>2271</v>
      </c>
      <c r="B2732" s="7" t="n">
        <v>212403</v>
      </c>
      <c r="C2732" s="7" t="n">
        <v>39835</v>
      </c>
      <c r="D2732" s="7" t="n">
        <v>52927</v>
      </c>
      <c r="E2732" s="8" t="n">
        <v>38222</v>
      </c>
      <c r="F2732" s="7" t="n">
        <v>4</v>
      </c>
      <c r="G2732" s="7" t="inlineStr">
        <is>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is>
      </c>
    </row>
    <row r="2733">
      <c r="A2733" s="7" t="n">
        <v>61939</v>
      </c>
      <c r="B2733" s="7" t="n">
        <v>930224</v>
      </c>
      <c r="C2733" s="7" t="n">
        <v>85530</v>
      </c>
      <c r="D2733" s="7" t="n">
        <v>34667</v>
      </c>
      <c r="E2733" s="8" t="n">
        <v>37753</v>
      </c>
      <c r="F2733" s="7" t="n">
        <v>5</v>
      </c>
      <c r="G2733" s="7" t="inlineStr">
        <is>
          <t>I used this recipes several times to marinate my short ribs, and they come out delicious every time.  But I like to add a lot of garlic so I add about 2 tablespoons of minced garlic and I puree chopped onions until I get half a cup and add that to the marinade too.</t>
        </is>
      </c>
    </row>
    <row r="2734">
      <c r="A2734" s="7" t="n">
        <v>30857</v>
      </c>
      <c r="B2734" s="7" t="n">
        <v>135846</v>
      </c>
      <c r="C2734" s="7" t="n">
        <v>168087</v>
      </c>
      <c r="D2734" s="7" t="n">
        <v>59895</v>
      </c>
      <c r="E2734" s="8" t="n">
        <v>38956</v>
      </c>
      <c r="F2734" s="7" t="n">
        <v>4</v>
      </c>
      <c r="G2734" s="7" t="inlineStr">
        <is>
          <t>This was big hit in my family.  I think the texture is more chocolate fudge than a brownie.  Chilling the brownies is very important before cutting and eating them or else they get all crumbly and sticky...</t>
        </is>
      </c>
    </row>
    <row r="2735">
      <c r="A2735" s="7" t="n">
        <v>22004</v>
      </c>
      <c r="B2735" s="7" t="n">
        <v>510292</v>
      </c>
      <c r="C2735" s="7" t="n">
        <v>253965</v>
      </c>
      <c r="D2735" s="7" t="n">
        <v>89207</v>
      </c>
      <c r="E2735" s="8" t="n">
        <v>40227</v>
      </c>
      <c r="F2735" s="7" t="n">
        <v>5</v>
      </c>
      <c r="G2735" s="7" t="inlineStr">
        <is>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is>
      </c>
    </row>
    <row r="2736">
      <c r="A2736" s="7" t="n">
        <v>110497</v>
      </c>
      <c r="B2736" s="7" t="n">
        <v>520091</v>
      </c>
      <c r="C2736" s="7" t="n">
        <v>222478</v>
      </c>
      <c r="D2736" s="7" t="n">
        <v>71718</v>
      </c>
      <c r="E2736" s="8" t="n">
        <v>39032</v>
      </c>
      <c r="F2736" s="7" t="n">
        <v>5</v>
      </c>
      <c r="G2736" s="7" t="inlineStr">
        <is>
          <t>These tasted great! Rather than use foil I used one of those square aluminium freezer / reheating containers and cooked with the lid on it over the BBQ as you suggested. I used some fairly flat mushrooms that needed using up so they didn't look too appetising (hence I didn't post a photo) but will try again soon using some mushrooms with a more defined cap and will be sure to post a photo.</t>
        </is>
      </c>
    </row>
    <row r="2737">
      <c r="A2737" s="7" t="n">
        <v>64773</v>
      </c>
      <c r="B2737" s="7" t="n">
        <v>253457</v>
      </c>
      <c r="C2737" s="7" t="n">
        <v>485109</v>
      </c>
      <c r="D2737" s="7" t="n">
        <v>410657</v>
      </c>
      <c r="E2737" s="8" t="n">
        <v>40291</v>
      </c>
      <c r="F2737" s="7" t="n">
        <v>5</v>
      </c>
      <c r="G2737" s="7" t="inlineStr">
        <is>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is>
      </c>
    </row>
    <row r="2738">
      <c r="A2738" s="7" t="n">
        <v>118484</v>
      </c>
      <c r="B2738" s="7" t="n">
        <v>130489</v>
      </c>
      <c r="C2738" s="7" t="n">
        <v>39835</v>
      </c>
      <c r="D2738" s="7" t="n">
        <v>359462</v>
      </c>
      <c r="E2738" s="8" t="n">
        <v>40251</v>
      </c>
      <c r="F2738" s="7" t="n">
        <v>5</v>
      </c>
      <c r="G2738" s="7" t="inlineStr">
        <is>
          <t>My family enjoyed this very simple but delicious recipe! I changed it slightly to make it lower in fat by using fat-free half and half, only 2 TB butter and WW cheese. I also added some leftover ham when I added the cheese -- very good on a snowy day! Thanks for sharing!</t>
        </is>
      </c>
    </row>
    <row r="2739">
      <c r="A2739" t="n">
        <v>38482</v>
      </c>
      <c r="B2739" t="n">
        <v>805434</v>
      </c>
      <c r="C2739" t="n">
        <v>2001905188</v>
      </c>
      <c r="D2739" t="n">
        <v>474633</v>
      </c>
      <c r="E2739" s="1" t="n">
        <v>43101</v>
      </c>
      <c r="F2739" t="n">
        <v>5</v>
      </c>
      <c r="G2739" t="inlineStr">
        <is>
          <t>Gorgeous soup - followed the recipe exactly including the addition of the mushrooms. Healthy, full of flavor and freezes beautifully too. Definitely a keeper!</t>
        </is>
      </c>
    </row>
    <row r="2740">
      <c r="A2740" s="7" t="n">
        <v>12263</v>
      </c>
      <c r="B2740" s="7" t="n">
        <v>903653</v>
      </c>
      <c r="C2740" s="7" t="n">
        <v>114522</v>
      </c>
      <c r="D2740" s="7" t="n">
        <v>7763</v>
      </c>
      <c r="E2740" s="8" t="n">
        <v>39394</v>
      </c>
      <c r="F2740" s="7" t="n">
        <v>5</v>
      </c>
      <c r="G2740" s="7" t="inlineStr">
        <is>
          <t>Very good recipe. My husband loved it. Thank you.</t>
        </is>
      </c>
    </row>
    <row r="2741">
      <c r="A2741" s="7" t="n">
        <v>89852</v>
      </c>
      <c r="B2741" s="7" t="n">
        <v>45336</v>
      </c>
      <c r="C2741" s="7" t="n">
        <v>726484</v>
      </c>
      <c r="D2741" s="7" t="n">
        <v>365051</v>
      </c>
      <c r="E2741" s="8" t="n">
        <v>41476</v>
      </c>
      <c r="F2741" s="7" t="n">
        <v>5</v>
      </c>
      <c r="G2741" s="7" t="inlineStr">
        <is>
          <t>Absolutely wonderful! Followed the recipe exactly and used fresh basil. This is a keeper! Thank you for posting.</t>
        </is>
      </c>
    </row>
    <row r="2742">
      <c r="A2742" s="7" t="n">
        <v>64109</v>
      </c>
      <c r="B2742" s="7" t="n">
        <v>311415</v>
      </c>
      <c r="C2742" s="7" t="n">
        <v>327115</v>
      </c>
      <c r="D2742" s="7" t="n">
        <v>179889</v>
      </c>
      <c r="E2742" s="8" t="n">
        <v>39679</v>
      </c>
      <c r="F2742" s="7" t="n">
        <v>5</v>
      </c>
      <c r="G2742" s="7" t="inlineStr">
        <is>
          <t>I served this over vanilla ice cream, topped with lightly whipped cream, and garnished with a sprinkle of edible gold leaf.  It was just lovely.</t>
        </is>
      </c>
    </row>
    <row r="2743">
      <c r="A2743" s="7" t="n">
        <v>123675</v>
      </c>
      <c r="B2743" s="7" t="n">
        <v>246706</v>
      </c>
      <c r="C2743" s="7" t="n">
        <v>509918</v>
      </c>
      <c r="D2743" s="7" t="n">
        <v>73586</v>
      </c>
      <c r="E2743" s="8" t="n">
        <v>40030</v>
      </c>
      <c r="F2743" s="7" t="n">
        <v>5</v>
      </c>
      <c r="G2743" s="7" t="inlineStr">
        <is>
          <t>I was just going to post this recipe!  This was one of my mom's signature dishes growing up, and she was also a mom of five.  The only thing I do different is that I use 1/4 cup of olive oil instead of shortening.  Excellent recipe.  One of my all time favorites.</t>
        </is>
      </c>
    </row>
    <row r="2744">
      <c r="A2744" s="7" t="n">
        <v>59264</v>
      </c>
      <c r="B2744" s="7" t="n">
        <v>1033195</v>
      </c>
      <c r="C2744" s="7" t="n">
        <v>41379</v>
      </c>
      <c r="D2744" s="7" t="n">
        <v>48401</v>
      </c>
      <c r="E2744" s="8" t="n">
        <v>38969</v>
      </c>
      <c r="F2744" s="7" t="n">
        <v>5</v>
      </c>
      <c r="G2744" s="7" t="inlineStr">
        <is>
          <t xml:space="preserve">What a fabulous recipe!  Loved it! Took a bit of time to make and made no changes. Used the Cajeta caramel and I even had to share with my neighbours who all loved it too!  </t>
        </is>
      </c>
    </row>
    <row r="2745">
      <c r="A2745" s="7" t="n">
        <v>78996</v>
      </c>
      <c r="B2745" s="7" t="n">
        <v>389363</v>
      </c>
      <c r="C2745" s="7" t="n">
        <v>76535</v>
      </c>
      <c r="D2745" s="7" t="n">
        <v>233122</v>
      </c>
      <c r="E2745" s="8" t="n">
        <v>40170</v>
      </c>
      <c r="F2745" s="7" t="n">
        <v>4</v>
      </c>
      <c r="G2745" s="7" t="inlineStr">
        <is>
          <t>This was family pleasing. The allspice was an interesting touch from the other versions. Thanks for the posting!</t>
        </is>
      </c>
    </row>
    <row r="2746">
      <c r="A2746" s="7" t="n">
        <v>70458</v>
      </c>
      <c r="B2746" s="7" t="n">
        <v>644217</v>
      </c>
      <c r="C2746" s="7" t="n">
        <v>32058</v>
      </c>
      <c r="D2746" s="7" t="n">
        <v>60045</v>
      </c>
      <c r="E2746" s="8" t="n">
        <v>39443</v>
      </c>
      <c r="F2746" s="7" t="n">
        <v>4</v>
      </c>
      <c r="G2746" s="7" t="inlineStr">
        <is>
          <t>Noone cared for this but me.  Family is hard to please at mealtime!</t>
        </is>
      </c>
    </row>
    <row r="2747">
      <c r="A2747" s="7" t="n">
        <v>68517</v>
      </c>
      <c r="B2747" s="7" t="n">
        <v>1003648</v>
      </c>
      <c r="C2747" s="7" t="n">
        <v>313167</v>
      </c>
      <c r="D2747" s="7" t="n">
        <v>68897</v>
      </c>
      <c r="E2747" s="8" t="n">
        <v>38833</v>
      </c>
      <c r="F2747" s="7" t="n">
        <v>5</v>
      </c>
      <c r="G2747" s="7" t="inlineStr">
        <is>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is>
      </c>
    </row>
    <row r="2748">
      <c r="A2748" s="7" t="n">
        <v>58167</v>
      </c>
      <c r="B2748" s="7" t="n">
        <v>707936</v>
      </c>
      <c r="C2748" s="7" t="n">
        <v>56181</v>
      </c>
      <c r="D2748" s="7" t="n">
        <v>62055</v>
      </c>
      <c r="E2748" s="8" t="n">
        <v>37905</v>
      </c>
      <c r="F2748" s="7" t="n">
        <v>4</v>
      </c>
      <c r="G2748" s="7" t="inlineStr">
        <is>
          <t>These were easy to make and very tasty, too!  I didn't have the unsweetened chocolate, so, I substituted 3/4 cup of cocoa powder and 3 tbsp of butter.  I also didn't have a 9x9 pan, so, I used a 8x8 and it took alot longer than 20 minutes to cook because it was pretty thick.  Next time I will probably use my 11x7 pan instead, but I will definitely be making it again!  I did put the chocolate chips on top and really liked the look and taste of that!  Thanks for posting, Katrina!</t>
        </is>
      </c>
    </row>
    <row r="2749">
      <c r="A2749" s="7" t="n">
        <v>42612</v>
      </c>
      <c r="B2749" s="7" t="n">
        <v>843913</v>
      </c>
      <c r="C2749" s="7" t="n">
        <v>126440</v>
      </c>
      <c r="D2749" s="7" t="n">
        <v>408880</v>
      </c>
      <c r="E2749" s="8" t="n">
        <v>40877</v>
      </c>
      <c r="F2749" s="7" t="n">
        <v>5</v>
      </c>
      <c r="G2749" s="7" t="inlineStr">
        <is>
          <t>Oh my Goodness!  Wonderful bread.  I used it for French Toast and the following days just toast.&lt;br/&gt;DH loves it and is still raving.</t>
        </is>
      </c>
    </row>
    <row r="2750">
      <c r="A2750" s="7" t="n">
        <v>73821</v>
      </c>
      <c r="B2750" s="7" t="n">
        <v>414011</v>
      </c>
      <c r="C2750" s="7" t="n">
        <v>2001346726</v>
      </c>
      <c r="D2750" s="7" t="n">
        <v>176027</v>
      </c>
      <c r="E2750" s="8" t="n">
        <v>42746</v>
      </c>
      <c r="F2750" s="7" t="n">
        <v>4</v>
      </c>
      <c r="G2750" s="7" t="inlineStr">
        <is>
          <t>THOUGH IT IS ON THE SWEET SIDE AND THE AFTER TASTE IS STRONG BUT EVERYTHING ELSE IS FINE</t>
        </is>
      </c>
    </row>
    <row r="2751">
      <c r="A2751" s="7" t="n">
        <v>33767</v>
      </c>
      <c r="B2751" s="7" t="n">
        <v>20842</v>
      </c>
      <c r="C2751" s="7" t="n">
        <v>12221559</v>
      </c>
      <c r="D2751" s="7" t="n">
        <v>88804</v>
      </c>
      <c r="E2751" s="8" t="n">
        <v>41516</v>
      </c>
      <c r="F2751" s="7" t="n">
        <v>5</v>
      </c>
      <c r="G2751" s="7" t="inlineStr">
        <is>
          <t>Absolutely YUMMY.  I&amp;#039;ve made this several times now and it&amp;#039;s a favorite in our house.  Recipe is perfect just the way it is.</t>
        </is>
      </c>
    </row>
    <row r="2752">
      <c r="A2752" s="7" t="n">
        <v>2111</v>
      </c>
      <c r="B2752" s="7" t="n">
        <v>812077</v>
      </c>
      <c r="C2752" s="7" t="n">
        <v>64667</v>
      </c>
      <c r="D2752" s="7" t="n">
        <v>296783</v>
      </c>
      <c r="E2752" s="8" t="n">
        <v>39855</v>
      </c>
      <c r="F2752" s="7" t="n">
        <v>5</v>
      </c>
      <c r="G2752" s="7" t="inlineStr">
        <is>
          <t>A very good little recipe! Nice color and variety of veggies.   I used a package of frozen veggies (broccoli,  sliced carrots, water chestnuts, sugar pea pods), some garlic salt.   When they were hot and JUST starting to get a bit "fried" I dumped in about a pound of shrimp, along with some freshly made orzo.   MMMM!   My family doesn't like cilantro at all, so we left that out and didn't miss it a bit (of course!).   I will post the photo when I get home tonight....!!!    Made for Photo Tag back in 2008---</t>
        </is>
      </c>
    </row>
    <row r="2753">
      <c r="A2753" s="7" t="n">
        <v>102082</v>
      </c>
      <c r="B2753" s="7" t="n">
        <v>1093095</v>
      </c>
      <c r="C2753" s="7" t="n">
        <v>125388</v>
      </c>
      <c r="D2753" s="7" t="n">
        <v>120416</v>
      </c>
      <c r="E2753" s="8" t="n">
        <v>39635</v>
      </c>
      <c r="F2753" s="7" t="n">
        <v>5</v>
      </c>
      <c r="G2753" s="7" t="inlineStr">
        <is>
          <t>Usually I make egg sandwiches with English muffins or toasted bread,so this was a good change of pace.  The tender biscuits teamed well with the scrambled eggs.  I made this with one can of biscuits and 5 extra-large eggs, and served immediately.  I did not freeze any.</t>
        </is>
      </c>
    </row>
    <row r="2754">
      <c r="A2754" s="7" t="n">
        <v>122985</v>
      </c>
      <c r="B2754" s="7" t="n">
        <v>458324</v>
      </c>
      <c r="C2754" s="7" t="n">
        <v>2001524408</v>
      </c>
      <c r="D2754" s="7" t="n">
        <v>66409</v>
      </c>
      <c r="E2754" s="8" t="n">
        <v>43269</v>
      </c>
      <c r="F2754" s="7" t="n">
        <v>5</v>
      </c>
      <c r="G2754" s="7" t="inlineStr">
        <is>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is>
      </c>
    </row>
    <row r="2755" ht="409.5" customHeight="1">
      <c r="A2755" s="7" t="n">
        <v>62552</v>
      </c>
      <c r="B2755" s="7" t="n">
        <v>1028014</v>
      </c>
      <c r="C2755" s="7" t="n">
        <v>247241</v>
      </c>
      <c r="D2755" s="7" t="n">
        <v>112428</v>
      </c>
      <c r="E2755" s="8" t="n">
        <v>39672</v>
      </c>
      <c r="F2755" s="7" t="n">
        <v>5</v>
      </c>
      <c r="G2755" s="9" t="inlineStr">
        <is>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is>
      </c>
    </row>
    <row r="2756">
      <c r="A2756" s="7" t="n">
        <v>90678</v>
      </c>
      <c r="B2756" s="7" t="n">
        <v>805430</v>
      </c>
      <c r="C2756" s="7" t="n">
        <v>226863</v>
      </c>
      <c r="D2756" s="7" t="n">
        <v>91449</v>
      </c>
      <c r="E2756" s="8" t="n">
        <v>40432</v>
      </c>
      <c r="F2756" s="7" t="n">
        <v>5</v>
      </c>
      <c r="G2756" s="7" t="inlineStr">
        <is>
          <t>I'm not diabetic, but this looked good! Plus the calorie count is so low! I had some leftover grilled chicken, and chopped that up.  Used no-fat tortillas, and they rolled up beautifully.  Next time I may increase the calorie count per serving by putting a little more chicken mix on each tortilla, cutting the servings down to 4.  Thanks for sharing!  Made for Newest Zaar Tag.</t>
        </is>
      </c>
    </row>
    <row r="2757">
      <c r="A2757" s="7" t="n">
        <v>49141</v>
      </c>
      <c r="B2757" s="7" t="n">
        <v>133773</v>
      </c>
      <c r="C2757" s="7" t="n">
        <v>67728</v>
      </c>
      <c r="D2757" s="7" t="n">
        <v>248486</v>
      </c>
      <c r="E2757" s="8" t="n">
        <v>39949</v>
      </c>
      <c r="F2757" s="7" t="n">
        <v>5</v>
      </c>
      <c r="G2757" s="7" t="inlineStr">
        <is>
          <t>These were delicious! I think this was the most luxurious plate of eggs I've ever eaten lol! The eggs were so nice and creamy to start with, and the avocado and salmon just add to the silky texture. I cut the recipe to two eggs, used cold smoked salmon, and I didn't have any chives, so I sprinkled some dried cilantro on top for color (no flavor, of course, because dried cilantro has none, but the color was pretty).  I needed to add some green, anyway, since my poor avocados were on their last legs. I'll definitely be making this again (hopefully with more presentable avocados lol), thanks for posting! Made for ZWT5 Mexico</t>
        </is>
      </c>
    </row>
    <row r="2758">
      <c r="A2758" s="7" t="n">
        <v>9792</v>
      </c>
      <c r="B2758" s="7" t="n">
        <v>492463</v>
      </c>
      <c r="C2758" s="7" t="n">
        <v>424680</v>
      </c>
      <c r="D2758" s="7" t="n">
        <v>208641</v>
      </c>
      <c r="E2758" s="8" t="n">
        <v>39144</v>
      </c>
      <c r="F2758" s="7" t="n">
        <v>5</v>
      </c>
      <c r="G2758" s="7" t="inlineStr">
        <is>
          <t>I'm not usually a bread baker, &amp; almost passed this recipe up because of all the steps in preparation! However, I'm glad I didn't, because this is a VERY, VERY TASTY bread! Got to admit that I added more raisins than were called for, but that's me ~ I love raisins! You want something different in a loaf of raisin bread? TRY THIS ONE, &amp; I don't think you'll be disappointed! Many thanks for posting!</t>
        </is>
      </c>
    </row>
    <row r="2759" ht="409.5" customHeight="1">
      <c r="A2759" s="7" t="n">
        <v>118172</v>
      </c>
      <c r="B2759" s="7" t="n">
        <v>999865</v>
      </c>
      <c r="C2759" s="7" t="n">
        <v>160974</v>
      </c>
      <c r="D2759" s="7" t="n">
        <v>51501</v>
      </c>
      <c r="E2759" s="8" t="n">
        <v>38595</v>
      </c>
      <c r="F2759" s="7" t="n">
        <v>5</v>
      </c>
      <c r="G2759" s="9" t="inlineStr">
        <is>
          <t xml:space="preserve">I used a smaller roast (2.88 lbs) and used less mustard and horesradish. I felt as I was spreading that it was too much for the size of beef so I decreased the amount (next time I might use the regular amount despite the smaller roast size). The house did smell great as this was cooking! I think I might have needed a shallower pan since my broth ended up quite deep and probably boiled (instead of roasting) my vegetables and I think dilluted some of the mustard/horseradish sauce.I made the day before and the meat sliced nicely (for a pot roast) and I reheated the sliced meat with the gravy in a latge skillet, and served over mashed potatoes, with the other vegetables on the side. My gravy turned out nicely and it went great with mashed potatoes. I liked that it didn't get overly thick upon refrigeration. I found the directions to be exact and that was helpful. I will make this again for sure. My whole family liked it a lot. It was a comfort meal. Thanks Kelly!_x000D_
Roxygirl </t>
        </is>
      </c>
    </row>
    <row r="2760">
      <c r="A2760" s="7" t="n">
        <v>70946</v>
      </c>
      <c r="B2760" s="7" t="n">
        <v>914189</v>
      </c>
      <c r="C2760" s="7" t="n">
        <v>1317616</v>
      </c>
      <c r="D2760" s="7" t="n">
        <v>191322</v>
      </c>
      <c r="E2760" s="8" t="n">
        <v>40289</v>
      </c>
      <c r="F2760" s="7" t="n">
        <v>5</v>
      </c>
      <c r="G2760" s="7" t="inlineStr">
        <is>
          <t>We love these pretzels!! Experiment with the toppings...We've tried sesame seeds, pretzel salt, cinnamon sugar, and just plain. They freeze well too! Just half bake them and freeze flat on a baking sheet. Then finish baking when you want more...And you will want more! :)</t>
        </is>
      </c>
    </row>
    <row r="2761">
      <c r="A2761" s="7" t="n">
        <v>52663</v>
      </c>
      <c r="B2761" s="7" t="n">
        <v>125086</v>
      </c>
      <c r="C2761" s="7" t="n">
        <v>176615</v>
      </c>
      <c r="D2761" s="7" t="n">
        <v>26929</v>
      </c>
      <c r="E2761" s="8" t="n">
        <v>39702</v>
      </c>
      <c r="F2761" s="7" t="n">
        <v>4</v>
      </c>
      <c r="G2761" s="7" t="inlineStr">
        <is>
          <t>Enjoyed this very much. Used more ground pecans, and baked a little less than the time stated. Like Miss Annie says, this can be spiced up if desired. As is, my kids loved it. Thanks for sharing the recipe!</t>
        </is>
      </c>
    </row>
    <row r="2762">
      <c r="A2762" t="n">
        <v>29734</v>
      </c>
      <c r="B2762" t="n">
        <v>1104135</v>
      </c>
      <c r="C2762" t="n">
        <v>1836706</v>
      </c>
      <c r="D2762" t="n">
        <v>64446</v>
      </c>
      <c r="E2762" s="1" t="n">
        <v>40607</v>
      </c>
      <c r="F2762" t="n">
        <v>5</v>
      </c>
      <c r="G2762" t="inlineStr">
        <is>
          <t>This is really great bread! Soft on the inside and very aromatic. Will definitely be making again! The only the I'd do differently would be to put a pan of water on the bottom oven rack so the bread would be more crusty. And next time I'll be waiting at the oven door with my dipping oil!</t>
        </is>
      </c>
    </row>
    <row r="2763">
      <c r="A2763" s="7" t="n">
        <v>91992</v>
      </c>
      <c r="B2763" s="7" t="n">
        <v>130146</v>
      </c>
      <c r="C2763" s="7" t="n">
        <v>52487</v>
      </c>
      <c r="D2763" s="7" t="n">
        <v>30141</v>
      </c>
      <c r="E2763" s="8" t="n">
        <v>38072</v>
      </c>
      <c r="F2763" s="7" t="n">
        <v>4</v>
      </c>
      <c r="G2763" s="7" t="inlineStr">
        <is>
          <t>Tasty but not quite crispy enough.  Will try thinner next time.</t>
        </is>
      </c>
    </row>
    <row r="2764">
      <c r="A2764" s="7" t="n">
        <v>74115</v>
      </c>
      <c r="B2764" s="7" t="n">
        <v>532947</v>
      </c>
      <c r="C2764" s="7" t="n">
        <v>75473</v>
      </c>
      <c r="D2764" s="7" t="n">
        <v>57336</v>
      </c>
      <c r="E2764" s="8" t="n">
        <v>37848</v>
      </c>
      <c r="F2764" s="7" t="n">
        <v>5</v>
      </c>
      <c r="G2764" s="7" t="inlineStr">
        <is>
          <t>Very soft and moist cookie.  I did, however, make my own variations.  Here's what I did:  I added 2 mashed over-ripe bananas, omitted the vanilla (the bananas added lots of moisture), used butterscotch pudding, and used butterscotch chips instead of chocolate.  I did add an extra 1/8 cup of flour to help compensate for the bananas.  These cookies were wonderful!  My 5 year old ate 5 of them at one sitting!  Even DH loved them, and he's not a real sweet-eater.  Thanks for a wonderful recipe, one I'll be making time and time again in the future!  :)</t>
        </is>
      </c>
    </row>
    <row r="2765">
      <c r="A2765" s="7" t="n">
        <v>6341</v>
      </c>
      <c r="B2765" s="7" t="n">
        <v>693368</v>
      </c>
      <c r="C2765" s="7" t="n">
        <v>95743</v>
      </c>
      <c r="D2765" s="7" t="n">
        <v>8791</v>
      </c>
      <c r="E2765" s="8" t="n">
        <v>38251</v>
      </c>
      <c r="F2765" s="7" t="n">
        <v>5</v>
      </c>
      <c r="G2765" s="7" t="inlineStr">
        <is>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is>
      </c>
    </row>
    <row r="2766">
      <c r="A2766" s="7" t="n">
        <v>101997</v>
      </c>
      <c r="B2766" s="7" t="n">
        <v>570768</v>
      </c>
      <c r="C2766" s="7" t="n">
        <v>668861</v>
      </c>
      <c r="D2766" s="7" t="n">
        <v>11347</v>
      </c>
      <c r="E2766" s="8" t="n">
        <v>39715</v>
      </c>
      <c r="F2766" s="7" t="n">
        <v>5</v>
      </c>
      <c r="G2766" s="7" t="inlineStr">
        <is>
          <t>wonderful! thanks!</t>
        </is>
      </c>
    </row>
    <row r="2767">
      <c r="A2767" s="7" t="n">
        <v>102628</v>
      </c>
      <c r="B2767" s="7" t="n">
        <v>840549</v>
      </c>
      <c r="C2767" s="7" t="n">
        <v>131674</v>
      </c>
      <c r="D2767" s="7" t="n">
        <v>324862</v>
      </c>
      <c r="E2767" s="8" t="n">
        <v>39861</v>
      </c>
      <c r="F2767" s="7" t="n">
        <v>4</v>
      </c>
      <c r="G2767" s="7" t="inlineStr">
        <is>
          <t>WOW!  This is one strong drink!  I added quite a bit of pineapple juice to mine.  This isn't a real sweet drink...it has just the right amount.  Made for Newest Zaar Tag.</t>
        </is>
      </c>
    </row>
    <row r="2768">
      <c r="A2768" s="7" t="n">
        <v>15503</v>
      </c>
      <c r="B2768" s="7" t="n">
        <v>69687</v>
      </c>
      <c r="C2768" s="7" t="n">
        <v>168462</v>
      </c>
      <c r="D2768" s="7" t="n">
        <v>156049</v>
      </c>
      <c r="E2768" s="8" t="n">
        <v>38824</v>
      </c>
      <c r="F2768" s="7" t="n">
        <v>5</v>
      </c>
      <c r="G2768" s="7" t="inlineStr">
        <is>
          <t>Made this soup as written using stewed tomatoes. I too pureed the soup and loved it. Very rich flavoured soup. Thanks for the recipe.</t>
        </is>
      </c>
    </row>
    <row r="2769">
      <c r="A2769" s="7" t="n">
        <v>85634</v>
      </c>
      <c r="B2769" s="7" t="n">
        <v>893552</v>
      </c>
      <c r="C2769" s="7" t="n">
        <v>355616</v>
      </c>
      <c r="D2769" s="7" t="n">
        <v>101752</v>
      </c>
      <c r="E2769" s="8" t="n">
        <v>39751</v>
      </c>
      <c r="F2769" s="7" t="n">
        <v>2</v>
      </c>
      <c r="G2769" s="7" t="inlineStr">
        <is>
          <t>Oh no! Even using a candy thermometer to make sure it was "just right" temp, when I poured the hot mixture into the nuts I ended up with one giant glob that was VERY difficult to break up! Maybe, try mixing the nuts as you pour just a small amount at a time into the bowl.  Taste is alright, but its certainly not worthy of the party it was intended for!</t>
        </is>
      </c>
    </row>
    <row r="2770">
      <c r="A2770" s="7" t="n">
        <v>97999</v>
      </c>
      <c r="B2770" s="7" t="n">
        <v>130718</v>
      </c>
      <c r="C2770" s="7" t="n">
        <v>703062</v>
      </c>
      <c r="D2770" s="7" t="n">
        <v>81737</v>
      </c>
      <c r="E2770" s="8" t="n">
        <v>40511</v>
      </c>
      <c r="F2770" s="7" t="n">
        <v>5</v>
      </c>
      <c r="G2770" s="7" t="inlineStr">
        <is>
          <t>I have made this soup many times now and it has become one of my very favorites. The only thing I do different is add celery, green beans, fresh or frozen, cut. and fresh sliced mushrooms.(love my veggies lol) My whole family just loves it too. I want to thank you for sharing this recipe and i tell everyone I know how great it is. And pass it along to them. And I'm glad I could be the first to post a photo. Would have givien it 10 stars if i could........</t>
        </is>
      </c>
    </row>
    <row r="2771">
      <c r="A2771" s="7" t="n">
        <v>61240</v>
      </c>
      <c r="B2771" s="7" t="n">
        <v>1052658</v>
      </c>
      <c r="C2771" s="7" t="n">
        <v>206442</v>
      </c>
      <c r="D2771" s="7" t="n">
        <v>95926</v>
      </c>
      <c r="E2771" s="8" t="n">
        <v>40054</v>
      </c>
      <c r="F2771" s="7" t="n">
        <v>5</v>
      </c>
      <c r="G2771" s="7" t="inlineStr">
        <is>
          <t>Oh my, I grew up eating banana sandwiches and I still eat them.  White bread &amp; Dukes Mayonnaise.  Wash it down with a cold glass of milk.  Simple and delish!</t>
        </is>
      </c>
    </row>
    <row r="2772">
      <c r="A2772" s="7" t="n">
        <v>115232</v>
      </c>
      <c r="B2772" s="7" t="n">
        <v>1011989</v>
      </c>
      <c r="C2772" s="7" t="n">
        <v>146284</v>
      </c>
      <c r="D2772" s="7" t="n">
        <v>135753</v>
      </c>
      <c r="E2772" s="8" t="n">
        <v>39496</v>
      </c>
      <c r="F2772" s="7" t="n">
        <v>5</v>
      </c>
      <c r="G2772" s="7" t="inlineStr">
        <is>
          <t>This is excellent chicken, both hot and cold.  Because of diet restrictions, I removed the skin from the pieces before marinating, and I reduced the sesame oil to 1 tsp. since mine is too strong, but otherwise followed the recipe as written. I am planning to use leftovers in an orange/chicken salad, and include the leftover cooked juices as part of the oriental dressing.</t>
        </is>
      </c>
    </row>
    <row r="2773">
      <c r="A2773" s="7" t="n">
        <v>123900</v>
      </c>
      <c r="B2773" s="7" t="n">
        <v>783559</v>
      </c>
      <c r="C2773" s="7" t="n">
        <v>1284837</v>
      </c>
      <c r="D2773" s="7" t="n">
        <v>335709</v>
      </c>
      <c r="E2773" s="8" t="n">
        <v>40540</v>
      </c>
      <c r="F2773" s="7" t="n">
        <v>4</v>
      </c>
      <c r="G2773" s="7" t="inlineStr">
        <is>
          <t>pan fried with seasoned bread crumbs. it was great!</t>
        </is>
      </c>
    </row>
    <row r="2774" ht="409.5" customHeight="1">
      <c r="A2774" s="7" t="n">
        <v>16708</v>
      </c>
      <c r="B2774" s="7" t="n">
        <v>111328</v>
      </c>
      <c r="C2774" s="7" t="n">
        <v>166989</v>
      </c>
      <c r="D2774" s="7" t="n">
        <v>92669</v>
      </c>
      <c r="E2774" s="8" t="n">
        <v>40093</v>
      </c>
      <c r="F2774" s="7" t="n">
        <v>3</v>
      </c>
      <c r="G2774" s="9" t="inlineStr">
        <is>
          <t>I think your veggie ingredients are a bit off. I don't recall them using Bamboo shoots, water chestnuts, or spinach in their sukiyaki... nor chicken... Beef or thinly sliced pork is more common. 
As for the veggies, they'll use tons of napa cabbage, different kinds of mushrooms (shiitake, enoki, maitake), bean sprouts, scallion, konnyaku noodles (made from yam), and Garland chrysanthemum leaves. Then don't forget the soba or udon and mochi! Use those at the end after all the veggies/meat are gone to soak up the broth. Optional: dip the veggies/meat in a raw egg.</t>
        </is>
      </c>
    </row>
    <row r="2775">
      <c r="A2775" s="7" t="n">
        <v>71441</v>
      </c>
      <c r="B2775" s="7" t="n">
        <v>696319</v>
      </c>
      <c r="C2775" s="7" t="n">
        <v>499032</v>
      </c>
      <c r="D2775" s="7" t="n">
        <v>123157</v>
      </c>
      <c r="E2775" s="8" t="n">
        <v>39385</v>
      </c>
      <c r="F2775" s="7" t="n">
        <v>5</v>
      </c>
      <c r="G2775" s="7" t="inlineStr">
        <is>
          <t>I just made this today as a light supper and it was wonderful. I used fat free miracle whip (I'm on a diet!) and added a chopped hard boiled egg in my boyfriends serving. This is a good way to sneak in peas for a finicky eater too. Fast, easy to make, and inexpensive. Will make again!</t>
        </is>
      </c>
    </row>
    <row r="2776" ht="409.5" customHeight="1">
      <c r="A2776" s="7" t="n">
        <v>24033</v>
      </c>
      <c r="B2776" s="7" t="n">
        <v>589787</v>
      </c>
      <c r="C2776" s="7" t="n">
        <v>108843</v>
      </c>
      <c r="D2776" s="7" t="n">
        <v>28365</v>
      </c>
      <c r="E2776" s="8" t="n">
        <v>38901</v>
      </c>
      <c r="F2776" s="7" t="n">
        <v>5</v>
      </c>
      <c r="G2776" s="9" t="inlineStr">
        <is>
          <t>Lorac, my first attempt at microwaving fish was a resounding success, thanks to you! This recipe is so easy, with every day ingredients. By the time it was done, my huge baked potatoe, also microwaved, was cool enough to eat. Along with a medditeranean style salad, and a glass of Sauvignon Blanc, I am about to bust. I only cooked it for one, but, I made up the full mayo covering, using the balance on the potato. I used a Pacific Snapper fillet. It was just done, without flaking , in my little 650 Watt oven, in 7 min. I also added the cheese at the 1/2 way point. A real keeper, thanks,_x000D_
jim</t>
        </is>
      </c>
    </row>
    <row r="2777">
      <c r="A2777" s="7" t="n">
        <v>60173</v>
      </c>
      <c r="B2777" s="7" t="n">
        <v>355639</v>
      </c>
      <c r="C2777" s="7" t="n">
        <v>1072593</v>
      </c>
      <c r="D2777" s="7" t="n">
        <v>180421</v>
      </c>
      <c r="E2777" s="8" t="n">
        <v>40719</v>
      </c>
      <c r="F2777" s="7" t="n">
        <v>5</v>
      </c>
      <c r="G2777" s="7" t="inlineStr">
        <is>
          <t>Garlic lovers unite.  We NEED to unit because nobody else will sit with us while we're creating a microclimate with our garlic aromas.  WONDERFUL!</t>
        </is>
      </c>
    </row>
    <row r="2778">
      <c r="A2778" s="7" t="n">
        <v>52582</v>
      </c>
      <c r="B2778" s="7" t="n">
        <v>1059098</v>
      </c>
      <c r="C2778" s="7" t="n">
        <v>695108</v>
      </c>
      <c r="D2778" s="7" t="n">
        <v>82288</v>
      </c>
      <c r="E2778" s="8" t="n">
        <v>39474</v>
      </c>
      <c r="F2778" s="7" t="n">
        <v>5</v>
      </c>
      <c r="G2778" s="7" t="inlineStr">
        <is>
          <t>This is exactly the gumbo recipe I was looking for! I increased the veggies and spices just a smidge - we like it spicy and chunky. The ingredients were perfect! Thank you!</t>
        </is>
      </c>
    </row>
    <row r="2779">
      <c r="A2779" s="7" t="n">
        <v>122132</v>
      </c>
      <c r="B2779" s="7" t="n">
        <v>472210</v>
      </c>
      <c r="C2779" s="7" t="n">
        <v>83316</v>
      </c>
      <c r="D2779" s="7" t="n">
        <v>346364</v>
      </c>
      <c r="E2779" s="8" t="n">
        <v>39824</v>
      </c>
      <c r="F2779" s="7" t="n">
        <v>4</v>
      </c>
      <c r="G2779" s="7" t="inlineStr">
        <is>
          <t>Really quite good.  We had it with lamb burgers and it was a nice combination</t>
        </is>
      </c>
    </row>
    <row r="2780">
      <c r="A2780" s="7" t="n">
        <v>122885</v>
      </c>
      <c r="B2780" s="7" t="n">
        <v>1032034</v>
      </c>
      <c r="C2780" s="7" t="n">
        <v>131751</v>
      </c>
      <c r="D2780" s="7" t="n">
        <v>146942</v>
      </c>
      <c r="E2780" s="8" t="n">
        <v>38701</v>
      </c>
      <c r="F2780" s="7" t="n">
        <v>4</v>
      </c>
      <c r="G2780" s="7" t="inlineStr">
        <is>
          <t>My DH loved these, but they were lacking in taste for me. Maybe needed more peanut butter or something. I drizzled mine with chocolate and cut into bars.</t>
        </is>
      </c>
    </row>
    <row r="2781">
      <c r="A2781" s="7" t="n">
        <v>60848</v>
      </c>
      <c r="B2781" s="7" t="n">
        <v>416183</v>
      </c>
      <c r="C2781" s="7" t="n">
        <v>296809</v>
      </c>
      <c r="D2781" s="7" t="n">
        <v>78551</v>
      </c>
      <c r="E2781" s="8" t="n">
        <v>42016</v>
      </c>
      <c r="F2781" s="7" t="n">
        <v>5</v>
      </c>
      <c r="G2781" s="7" t="inlineStr">
        <is>
          <t>Made for the What is on the Menu? Tag Game &amp;amp; love the story! -- Caught fish is plentiful here &amp;amp; a fave w/DH &amp;amp; me. I was mostly faithful to your recipe, but did modify 1 ingredient out of need &amp;amp; amend the prep slightly to suit my methods. I cannot get cornmeal here, so I used a combo of corn flour &amp;amp; breadcrumbs. I mixed the dry ingredients in a sml plastic bag, shook the fillets well, placed them in the butter as directed &amp;amp; sprinkled more of the dry ingredient mix atop them. I cooked the fillets a bit longer than suggested &amp;amp; then let the hot-air fan add a bit of crisp. Voila! An easy-fix all done &amp;amp; delicious. Thx for sharing your recipe w/us. :-)</t>
        </is>
      </c>
    </row>
    <row r="2782">
      <c r="A2782" s="7" t="n">
        <v>21370</v>
      </c>
      <c r="B2782" s="7" t="n">
        <v>618518</v>
      </c>
      <c r="C2782" s="7" t="n">
        <v>1898866</v>
      </c>
      <c r="D2782" s="7" t="n">
        <v>74951</v>
      </c>
      <c r="E2782" s="8" t="n">
        <v>41858</v>
      </c>
      <c r="F2782" s="7" t="n">
        <v>4</v>
      </c>
      <c r="G2782" s="7" t="inlineStr">
        <is>
          <t>Marvelous!!!</t>
        </is>
      </c>
    </row>
    <row r="2783">
      <c r="A2783" s="7" t="n">
        <v>34618</v>
      </c>
      <c r="B2783" s="7" t="n">
        <v>38746</v>
      </c>
      <c r="C2783" s="7" t="n">
        <v>63128</v>
      </c>
      <c r="D2783" s="7" t="n">
        <v>84807</v>
      </c>
      <c r="E2783" s="8" t="n">
        <v>38114</v>
      </c>
      <c r="F2783" s="7" t="n">
        <v>5</v>
      </c>
      <c r="G2783" s="7" t="inlineStr">
        <is>
          <t xml:space="preserve">Excellent recipe!  So simple yet it tastes like lots of work went into it. I forgot to cut up the mahi and I only let it sit about 10 minutes, but it came out great anyway. I used olive oil instead of canola. I also used bottled lime juice and poured a little extra in the pan after the fish was cooked to drizzle over it.  The pepper gave it just the right kick and the cumin went wonderfully with the lime.  My husband (whose family is from Maui) raved.  </t>
        </is>
      </c>
    </row>
    <row r="2784">
      <c r="A2784" s="7" t="n">
        <v>94022</v>
      </c>
      <c r="B2784" s="7" t="n">
        <v>800141</v>
      </c>
      <c r="C2784" s="7" t="n">
        <v>1233827</v>
      </c>
      <c r="D2784" s="7" t="n">
        <v>27864</v>
      </c>
      <c r="E2784" s="8" t="n">
        <v>39913</v>
      </c>
      <c r="F2784" s="7" t="n">
        <v>5</v>
      </c>
      <c r="G2784" s="7" t="inlineStr">
        <is>
          <t>Excellent recipe.  I followed the advice of prior reviewers and cut the water considerably.  I actually bought a can of diced tomatoes, drained it, and used the water from that.  Beyond that, he punchline is that the spice mix is the key to a good curry, and this one is outstanding.  Thanks!</t>
        </is>
      </c>
    </row>
    <row r="2785">
      <c r="A2785" s="7" t="n">
        <v>63740</v>
      </c>
      <c r="B2785" s="7" t="n">
        <v>616216</v>
      </c>
      <c r="C2785" s="7" t="n">
        <v>31083</v>
      </c>
      <c r="D2785" s="7" t="n">
        <v>2814</v>
      </c>
      <c r="E2785" s="8" t="n">
        <v>37348</v>
      </c>
      <c r="F2785" s="7" t="n">
        <v>5</v>
      </c>
      <c r="G2785" s="7" t="inlineStr">
        <is>
          <t>My 3 boys loved this. I had some plain bagels to cut up and dip. I did use jarred pasta sauce instead of the pizza sauce-but I would have used the same to make pizzas. This was easy to make and I will make it again!</t>
        </is>
      </c>
    </row>
    <row r="2786">
      <c r="A2786" s="7" t="n">
        <v>38513</v>
      </c>
      <c r="B2786" s="7" t="n">
        <v>575750</v>
      </c>
      <c r="C2786" s="7" t="n">
        <v>317418</v>
      </c>
      <c r="D2786" s="7" t="n">
        <v>15242</v>
      </c>
      <c r="E2786" s="8" t="n">
        <v>39022</v>
      </c>
      <c r="F2786" s="7" t="n">
        <v>5</v>
      </c>
      <c r="G2786" s="7" t="inlineStr">
        <is>
          <t>I made this last night when we decided to have breakfast for dinner.  I halved the recipe and took some of the other reviewers recommendation and omitted the melted butter.  Excellent!  Everyone at the table raved about this.  And it really does taste like the Cracker Barrel's recipe.  I served it with eggs, sausage, and French toast.  Good stuff!</t>
        </is>
      </c>
    </row>
    <row r="2787">
      <c r="A2787" s="7" t="n">
        <v>12169</v>
      </c>
      <c r="B2787" s="7" t="n">
        <v>183348</v>
      </c>
      <c r="C2787" s="7" t="n">
        <v>128297</v>
      </c>
      <c r="D2787" s="7" t="n">
        <v>149140</v>
      </c>
      <c r="E2787" s="8" t="n">
        <v>38897</v>
      </c>
      <c r="F2787" s="7" t="n">
        <v>4</v>
      </c>
      <c r="G2787" s="7" t="inlineStr">
        <is>
          <t xml:space="preserve">i enjoyed this and it was tasty but only after i changed it and added more of the condensed milk and milk because i guess i like it more creamy and spreadable i would say also DO NOT PUT ON CAKE UNTILL COOLED well i do at time shwne in a rush and i know the icing just melts but i noticed that the butter became clumpy while the icing was melting so I don't reccomend that </t>
        </is>
      </c>
    </row>
    <row r="2788">
      <c r="A2788" s="7" t="n">
        <v>81719</v>
      </c>
      <c r="B2788" s="7" t="n">
        <v>674590</v>
      </c>
      <c r="C2788" s="7" t="n">
        <v>647466</v>
      </c>
      <c r="D2788" s="7" t="n">
        <v>140857</v>
      </c>
      <c r="E2788" s="8" t="n">
        <v>42588</v>
      </c>
      <c r="F2788" s="7" t="n">
        <v>4</v>
      </c>
      <c r="G2788" s="7" t="inlineStr">
        <is>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is>
      </c>
    </row>
    <row r="2789">
      <c r="A2789" s="7" t="n">
        <v>125353</v>
      </c>
      <c r="B2789" s="7" t="n">
        <v>577027</v>
      </c>
      <c r="C2789" s="7" t="n">
        <v>526411</v>
      </c>
      <c r="D2789" s="7" t="n">
        <v>428566</v>
      </c>
      <c r="E2789" s="8" t="n">
        <v>40340</v>
      </c>
      <c r="F2789" s="7" t="n">
        <v>2</v>
      </c>
      <c r="G2789" s="7" t="inlineStr">
        <is>
          <t>I really like all the ingredients, just not hot.  I think I would really like this cold, with the blueberries still frozen.  Thanks for the recipe and the idea!  I made this for "New Kids on the Block" tag game.</t>
        </is>
      </c>
    </row>
    <row r="2790">
      <c r="A2790" s="7" t="n">
        <v>119840</v>
      </c>
      <c r="B2790" s="7" t="n">
        <v>245406</v>
      </c>
      <c r="C2790" s="7" t="n">
        <v>351958</v>
      </c>
      <c r="D2790" s="7" t="n">
        <v>108360</v>
      </c>
      <c r="E2790" s="8" t="n">
        <v>39106</v>
      </c>
      <c r="F2790" s="7" t="n">
        <v>5</v>
      </c>
      <c r="G2790" s="7" t="inlineStr">
        <is>
          <t>wow, this was great. i used 4 cups of cooked rice because my milk did not thicken, but it turned out perfect!</t>
        </is>
      </c>
    </row>
    <row r="2791">
      <c r="A2791" t="n">
        <v>49092</v>
      </c>
      <c r="B2791" t="n">
        <v>210005</v>
      </c>
      <c r="C2791" t="n">
        <v>492709</v>
      </c>
      <c r="D2791" t="n">
        <v>305528</v>
      </c>
      <c r="E2791" s="1" t="n">
        <v>40133</v>
      </c>
      <c r="F2791" t="n">
        <v>4</v>
      </c>
      <c r="G2791" t="inlineStr">
        <is>
          <t>I thought this was pretty good, but not great.  My main complaint is that the sauce was really watery.  Maybe seeding the tomatoes would help.  It also makes a TON of sauce, so when they say large on the sweet potato or zuke, they ain't kidding!</t>
        </is>
      </c>
    </row>
    <row r="2792">
      <c r="A2792" s="7" t="n">
        <v>82397</v>
      </c>
      <c r="B2792" s="7" t="n">
        <v>811039</v>
      </c>
      <c r="C2792" s="7" t="n">
        <v>284897</v>
      </c>
      <c r="D2792" s="7" t="n">
        <v>105250</v>
      </c>
      <c r="E2792" s="8" t="n">
        <v>38938</v>
      </c>
      <c r="F2792" s="7" t="n">
        <v>4</v>
      </c>
      <c r="G2792" s="7" t="inlineStr">
        <is>
          <t>Making these was not as hard as I expected it to be &amp; they looked very nice when finished. I am not a sour cream lover, so I didnt like them, but the rest of the family loved them. Thanks Annetty</t>
        </is>
      </c>
    </row>
    <row r="2793">
      <c r="A2793" s="7" t="n">
        <v>57335</v>
      </c>
      <c r="B2793" s="7" t="n">
        <v>26370</v>
      </c>
      <c r="C2793" s="7" t="n">
        <v>535633</v>
      </c>
      <c r="D2793" s="7" t="n">
        <v>366688</v>
      </c>
      <c r="E2793" s="8" t="n">
        <v>40246</v>
      </c>
      <c r="F2793" s="7" t="n">
        <v>5</v>
      </c>
      <c r="G2793" s="7" t="inlineStr">
        <is>
          <t>There is only one thing I can say about this recipe and that is YUMMY.  I will be making this again.  Made for breakfast this am and we loved it.  Thanks you for the easy/quick breakfast.</t>
        </is>
      </c>
    </row>
    <row r="2794">
      <c r="A2794" s="7" t="n">
        <v>75532</v>
      </c>
      <c r="B2794" s="7" t="n">
        <v>270627</v>
      </c>
      <c r="C2794" s="7" t="n">
        <v>274212</v>
      </c>
      <c r="D2794" s="7" t="n">
        <v>155801</v>
      </c>
      <c r="E2794" s="8" t="n">
        <v>38982</v>
      </c>
      <c r="F2794" s="7" t="n">
        <v>5</v>
      </c>
      <c r="G2794" s="7" t="inlineStr">
        <is>
          <t>I decided to try this and take some to work.  This was a real hit with my colleagues.</t>
        </is>
      </c>
    </row>
    <row r="2795">
      <c r="A2795" s="7" t="n">
        <v>125500</v>
      </c>
      <c r="B2795" s="7" t="n">
        <v>49713</v>
      </c>
      <c r="C2795" s="7" t="n">
        <v>4470</v>
      </c>
      <c r="D2795" s="7" t="n">
        <v>222575</v>
      </c>
      <c r="E2795" s="8" t="n">
        <v>39193</v>
      </c>
      <c r="F2795" s="7" t="n">
        <v>5</v>
      </c>
      <c r="G2795" s="7" t="inlineStr">
        <is>
          <t>Very tasty recipe.  I made it a "do ahead" Prepared it up to the last step then popped it in the oven 25 minutes before dinner.  I made a mistake with the chicken pieces - I cut a breast into bite size pieces and thought that I had better partially cover the casserole for the final baking removed foil after 15 minutes. The chicken stayed moist. I cut the recipe bake to 1 serving with no problem. I had to use ordinary mushrooms as this is what I had on hand but will make this again when I can find some shiitake  Thanks for a lovely dinner little-wing</t>
        </is>
      </c>
    </row>
    <row r="2796">
      <c r="A2796" s="7" t="n">
        <v>36508</v>
      </c>
      <c r="B2796" s="7" t="n">
        <v>929990</v>
      </c>
      <c r="C2796" s="7" t="n">
        <v>15572</v>
      </c>
      <c r="D2796" s="7" t="n">
        <v>20203</v>
      </c>
      <c r="E2796" s="8" t="n">
        <v>37528</v>
      </c>
      <c r="F2796" s="7" t="n">
        <v>2</v>
      </c>
      <c r="G2796" s="7" t="inlineStr">
        <is>
          <t>So by so.  Bland.</t>
        </is>
      </c>
    </row>
    <row r="2797">
      <c r="A2797" s="7" t="n">
        <v>52161</v>
      </c>
      <c r="B2797" s="7" t="n">
        <v>48035</v>
      </c>
      <c r="C2797" s="7" t="n">
        <v>679953</v>
      </c>
      <c r="D2797" s="7" t="n">
        <v>459824</v>
      </c>
      <c r="E2797" s="8" t="n">
        <v>40909</v>
      </c>
      <c r="F2797" s="7" t="n">
        <v>5</v>
      </c>
      <c r="G2797" s="7" t="inlineStr">
        <is>
          <t>Lovely New Years snack.  I was a little worried about browning the nuts, but no problem.  Doubled the recipe as we enjoyed on New Years Eve.  Great flavoring.  Made for PRMR tag</t>
        </is>
      </c>
    </row>
    <row r="2798">
      <c r="A2798" s="7" t="n">
        <v>1808</v>
      </c>
      <c r="B2798" s="7" t="n">
        <v>1012534</v>
      </c>
      <c r="C2798" s="7" t="n">
        <v>679953</v>
      </c>
      <c r="D2798" s="7" t="n">
        <v>309195</v>
      </c>
      <c r="E2798" s="8" t="n">
        <v>40346</v>
      </c>
      <c r="F2798" s="7" t="n">
        <v>5</v>
      </c>
      <c r="G2798" s="7" t="inlineStr">
        <is>
          <t>Made as written.  These are reallt tast burgers, I used swiss cheese on these.  I came up with 4 big burgers. The kids really enjoyed the onions too.  Made for PRMR tag.</t>
        </is>
      </c>
    </row>
    <row r="2799">
      <c r="A2799" s="7" t="n">
        <v>17790</v>
      </c>
      <c r="B2799" s="7" t="n">
        <v>347565</v>
      </c>
      <c r="C2799" s="7" t="n">
        <v>296809</v>
      </c>
      <c r="D2799" s="7" t="n">
        <v>188921</v>
      </c>
      <c r="E2799" s="8" t="n">
        <v>39054</v>
      </c>
      <c r="F2799" s="7" t="n">
        <v>4</v>
      </c>
      <c r="G2799" s="7" t="inlineStr">
        <is>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is>
      </c>
    </row>
    <row r="2800">
      <c r="A2800" s="7" t="n">
        <v>2945</v>
      </c>
      <c r="B2800" s="7" t="n">
        <v>16215</v>
      </c>
      <c r="C2800" s="7" t="n">
        <v>182010</v>
      </c>
      <c r="D2800" s="7" t="n">
        <v>150736</v>
      </c>
      <c r="E2800" s="8" t="n">
        <v>39259</v>
      </c>
      <c r="F2800" s="7" t="n">
        <v>5</v>
      </c>
      <c r="G2800" s="7" t="inlineStr">
        <is>
          <t>Delicious and very easy basic white bread!  I made two loaves--one plain, one into which I kneaded an assortment of fresh chopped herbs.  Both were great.  The herb bread was a huge hit as part of a cheese and charcuterie tray.  The white loaf made great toast and great sandwiches.  Thanks, Nan!</t>
        </is>
      </c>
    </row>
    <row r="2801">
      <c r="A2801" s="7" t="n">
        <v>10954</v>
      </c>
      <c r="B2801" s="7" t="n">
        <v>492197</v>
      </c>
      <c r="C2801" s="7" t="n">
        <v>219865</v>
      </c>
      <c r="D2801" s="7" t="n">
        <v>144380</v>
      </c>
      <c r="E2801" s="8" t="n">
        <v>39228</v>
      </c>
      <c r="F2801" s="7" t="n">
        <v>3</v>
      </c>
      <c r="G2801" s="7" t="inlineStr">
        <is>
          <t>We said 3.5 but thats not an option, I realy liked it and would have rated it 4 but my BF said 3 so we comprimised.  The PB is a nice flavour and goes well with a tomato base, I didn't have the pepper so i added a bit of a spicy spice mix I have, but it could have been spicer for me.</t>
        </is>
      </c>
    </row>
    <row r="2802">
      <c r="A2802" s="7" t="n">
        <v>115723</v>
      </c>
      <c r="B2802" s="7" t="n">
        <v>800025</v>
      </c>
      <c r="C2802" s="7" t="n">
        <v>418458</v>
      </c>
      <c r="D2802" s="7" t="n">
        <v>90246</v>
      </c>
      <c r="E2802" s="8" t="n">
        <v>39750</v>
      </c>
      <c r="F2802" s="7" t="n">
        <v>5</v>
      </c>
      <c r="G2802" s="7" t="inlineStr">
        <is>
          <t>I think this is wonderful. The first time I made this was for my son's baptism. I made a couple of them the night before and put it in the oven covered with tin foil before we left for the church (reduced the temp. a little too) and let it bake while we were gone. When we got home it was delicious and many guests asked for the recipe. Now I make it every now and than when I just crave it. Due to my sons allergies to milk and tree nuts I use 3 cups of rice milk and leave out the nutmeg and pecan's. I also just make half the topping with crisco and brown sugar and cinnamon. It is still delicious (though I miss the pecans). I don't even let it sit overnight. I just make sure that all the bread is well soaked. It turns out like a bread/custard. You should let it rest about 10 minutes before serving.</t>
        </is>
      </c>
    </row>
    <row r="2803">
      <c r="A2803" s="7" t="n">
        <v>4254</v>
      </c>
      <c r="B2803" s="7" t="n">
        <v>1124953</v>
      </c>
      <c r="C2803" s="7" t="n">
        <v>51657</v>
      </c>
      <c r="D2803" s="7" t="n">
        <v>49896</v>
      </c>
      <c r="E2803" s="8" t="n">
        <v>38097</v>
      </c>
      <c r="F2803" s="7" t="n">
        <v>5</v>
      </c>
      <c r="G2803" s="7" t="inlineStr">
        <is>
          <t>Excellent! Everybody loved it! I used no sugar jello and pudding and lite Cool whip, even the dieters could eat it!</t>
        </is>
      </c>
    </row>
    <row r="2804">
      <c r="A2804" t="n">
        <v>100406</v>
      </c>
      <c r="B2804" t="n">
        <v>937907</v>
      </c>
      <c r="C2804" t="n">
        <v>51011</v>
      </c>
      <c r="D2804" t="n">
        <v>82102</v>
      </c>
      <c r="E2804" s="1" t="n">
        <v>39087</v>
      </c>
      <c r="F2804" t="n">
        <v>4</v>
      </c>
      <c r="G2804" t="inlineStr">
        <is>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is>
      </c>
    </row>
    <row r="2805">
      <c r="A2805" s="7" t="n">
        <v>48704</v>
      </c>
      <c r="B2805" s="7" t="n">
        <v>667457</v>
      </c>
      <c r="C2805" s="7" t="n">
        <v>461834</v>
      </c>
      <c r="D2805" s="7" t="n">
        <v>204551</v>
      </c>
      <c r="E2805" s="8" t="n">
        <v>39855</v>
      </c>
      <c r="F2805" s="7" t="n">
        <v>5</v>
      </c>
      <c r="G2805" s="7" t="inlineStr">
        <is>
          <t>Oh my!!!  This is wonderful!!!  Perfect blend of coffee and chocolate!!  I measured the coffee and chocolate but just guessed at the ice cream, which I used light vanilla ice cream.   Definitely something I would make daily, but absolutely wonderful for a treat or holidays.  Thanks for sharing this awesome recipe Twissis!!!  Made for your win for the Super Bowl Football Pool, congrats!!!!</t>
        </is>
      </c>
    </row>
    <row r="2806">
      <c r="A2806" s="7" t="n">
        <v>27143</v>
      </c>
      <c r="B2806" s="7" t="n">
        <v>631441</v>
      </c>
      <c r="C2806" s="7" t="n">
        <v>409184</v>
      </c>
      <c r="D2806" s="7" t="n">
        <v>94469</v>
      </c>
      <c r="E2806" s="8" t="n">
        <v>39245</v>
      </c>
      <c r="F2806" s="7" t="n">
        <v>5</v>
      </c>
      <c r="G2806" s="7" t="inlineStr">
        <is>
          <t>Delicious! DD, the french dressing addict, even gave it 5 stars, and that's saying alot! Very easy to whip together. Only drawback is you can't enjoy it the minute you make it. But ooooh, it's worth the wait. Thanks! Made for ZWT3.</t>
        </is>
      </c>
    </row>
    <row r="2807">
      <c r="A2807" s="7" t="n">
        <v>13886</v>
      </c>
      <c r="B2807" s="7" t="n">
        <v>978388</v>
      </c>
      <c r="C2807" s="7" t="n">
        <v>51501</v>
      </c>
      <c r="D2807" s="7" t="n">
        <v>104975</v>
      </c>
      <c r="E2807" s="8" t="n">
        <v>38346</v>
      </c>
      <c r="F2807" s="7" t="n">
        <v>5</v>
      </c>
      <c r="G2807" s="7" t="inlineStr">
        <is>
          <t>These are GREAT! I substituted a bag of Kraft caramels for the M &amp; M's and pecan halves for the Hershey Hugs and Kisses. These were like little "turtles".</t>
        </is>
      </c>
    </row>
    <row r="2808">
      <c r="A2808" t="n">
        <v>58749</v>
      </c>
      <c r="B2808" t="n">
        <v>938454</v>
      </c>
      <c r="C2808" t="n">
        <v>498451</v>
      </c>
      <c r="D2808" t="n">
        <v>82102</v>
      </c>
      <c r="E2808" s="1" t="n">
        <v>40431</v>
      </c>
      <c r="F2808" t="n">
        <v>5</v>
      </c>
      <c r="G2808" t="inlineStr">
        <is>
          <t>We really liked this, but made a couple of minute changes. I left out the minced garlic, just adding in the amount of garlic powder suggested in the recipe. Didn't have any regular bread crumbs, so I used only panko bread crumbs (I absolutely recommend this--gives it a bit extra crunch) and I used that parmesan in the can because I didn't have enough fresh parmesan, which seemed to work out fine. I made mine in the microwave because it was faster, but I have a special heat lamp in my microwave that when used with a special skillet that came with the microwave makes the crust crispy. If you don't have that, I probably wouldn't cook it in the microwave. It was slightly overcooked (totally my fault for starting with frozen breasts and trying to thaw them in the microwave) but even then it was pretty awesome. I kept sneaking the little crunchies that had fallen off of the chicken...they were ALMOST better than the chicken ;-) Thanks Kittencal for this recipe, we'll definitely be using this one again and again!</t>
        </is>
      </c>
    </row>
    <row r="2809">
      <c r="A2809" s="7" t="n">
        <v>3562</v>
      </c>
      <c r="B2809" s="7" t="n">
        <v>300069</v>
      </c>
      <c r="C2809" s="7" t="n">
        <v>558429</v>
      </c>
      <c r="D2809" s="7" t="n">
        <v>76491</v>
      </c>
      <c r="E2809" s="8" t="n">
        <v>41464</v>
      </c>
      <c r="F2809" s="7" t="n">
        <v>5</v>
      </c>
      <c r="G2809" s="7" t="inlineStr">
        <is>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is>
      </c>
    </row>
    <row r="2810">
      <c r="A2810" s="7" t="n">
        <v>28110</v>
      </c>
      <c r="B2810" s="7" t="n">
        <v>245680</v>
      </c>
      <c r="C2810" s="7" t="n">
        <v>696110</v>
      </c>
      <c r="D2810" s="7" t="n">
        <v>32576</v>
      </c>
      <c r="E2810" s="8" t="n">
        <v>40205</v>
      </c>
      <c r="F2810" s="7" t="n">
        <v>5</v>
      </c>
      <c r="G2810" s="7" t="inlineStr">
        <is>
          <t>These sloppy joes were delicious!  My husband had recently asked me to make sloppy joes because I hadnâ€™t made them in a long time.  I usually just buy Manwich sauce, but I thought Iâ€™d look for a recipe.  I came across yours and one other one I thought I might try.  I decided to try your recipe because it seemed simpler yet it had lots of good reviews.  I made just a couple of adjustments.  I cooked Â½ of a green bell pepper (chopped) along with the onions and ground beef and I used less salt.  At first it looked like too many onions and peppers, but once everything cooked down it was perfect.  Once I added the sauce, I simmered everything for about 30 minutes.  The sauce was thick and seasoned just right.  I served them on toasted buns with steak fries and corn on the cob.  My husband said Iâ€™d have to make this a regular dish.</t>
        </is>
      </c>
    </row>
    <row r="2811">
      <c r="A2811" t="n">
        <v>118988</v>
      </c>
      <c r="B2811" t="n">
        <v>53000</v>
      </c>
      <c r="C2811" t="n">
        <v>350750</v>
      </c>
      <c r="D2811" t="n">
        <v>430324</v>
      </c>
      <c r="E2811" s="1" t="n">
        <v>41041</v>
      </c>
      <c r="F2811" t="n">
        <v>4</v>
      </c>
      <c r="G2811" t="inlineStr">
        <is>
          <t>Tried the vanilla,  could have used a bit more sugar for my taste.  Thank you!</t>
        </is>
      </c>
    </row>
    <row r="2812">
      <c r="A2812" s="7" t="n">
        <v>60791</v>
      </c>
      <c r="B2812" s="7" t="n">
        <v>212025</v>
      </c>
      <c r="C2812" s="7" t="n">
        <v>65502</v>
      </c>
      <c r="D2812" s="7" t="n">
        <v>317652</v>
      </c>
      <c r="E2812" s="8" t="n">
        <v>40062</v>
      </c>
      <c r="F2812" s="7" t="n">
        <v>5</v>
      </c>
      <c r="G2812" s="7" t="inlineStr">
        <is>
          <t>Thanks Deantini! This was delicious and the portion sizes are very generous. :) I made it exactly as listed and can't think of anything that I would change. I enjoyed my lunch a lot today! Made for Ramadan Tag. Thanks!</t>
        </is>
      </c>
    </row>
    <row r="2813" ht="409.5" customHeight="1">
      <c r="A2813" s="7" t="n">
        <v>71449</v>
      </c>
      <c r="B2813" s="7" t="n">
        <v>516731</v>
      </c>
      <c r="C2813" s="7" t="n">
        <v>93417</v>
      </c>
      <c r="D2813" s="7" t="n">
        <v>42722</v>
      </c>
      <c r="E2813" s="8" t="n">
        <v>39898</v>
      </c>
      <c r="F2813" s="7" t="n">
        <v>4</v>
      </c>
      <c r="G2813" s="9" t="inlineStr">
        <is>
          <t>This is really an easy recipe, and the results are quite good.  I do want to work on it a little as there is no "zing"...did make the veggies the same size as the stew beef, and used a bit less sugar; and used beef broth in place of water and saki (this may have reduced the flavor -- may try again with no substitions!).  Mine was done after 8 hours on low._x000D_
A definite keeper...thank you for posting this recipe.</t>
        </is>
      </c>
    </row>
    <row r="2814">
      <c r="A2814" s="7" t="n">
        <v>46893</v>
      </c>
      <c r="B2814" s="7" t="n">
        <v>705609</v>
      </c>
      <c r="C2814" s="7" t="n">
        <v>1803669488</v>
      </c>
      <c r="D2814" s="7" t="n">
        <v>224272</v>
      </c>
      <c r="E2814" s="8" t="n">
        <v>42021</v>
      </c>
      <c r="F2814" s="7" t="n">
        <v>5</v>
      </c>
      <c r="G2814" s="7" t="inlineStr">
        <is>
          <t>loved it thank you. i altered slightly and did 1/2 tbspn dijon and 1/2 tbspn course wholegrain mustard and also 1 more tbsn honey. had this on warm chicken salad-delicious!</t>
        </is>
      </c>
    </row>
    <row r="2815">
      <c r="A2815" s="7" t="n">
        <v>79155</v>
      </c>
      <c r="B2815" s="7" t="n">
        <v>571102</v>
      </c>
      <c r="C2815" s="7" t="n">
        <v>101823</v>
      </c>
      <c r="D2815" s="7" t="n">
        <v>42894</v>
      </c>
      <c r="E2815" s="8" t="n">
        <v>38317</v>
      </c>
      <c r="F2815" s="7" t="n">
        <v>2</v>
      </c>
      <c r="G2815" s="7" t="inlineStr">
        <is>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is>
      </c>
    </row>
    <row r="2816">
      <c r="A2816" s="7" t="n">
        <v>9057</v>
      </c>
      <c r="B2816" s="7" t="n">
        <v>586983</v>
      </c>
      <c r="C2816" s="7" t="n">
        <v>117833</v>
      </c>
      <c r="D2816" s="7" t="n">
        <v>145400</v>
      </c>
      <c r="E2816" s="8" t="n">
        <v>38676</v>
      </c>
      <c r="F2816" s="7" t="n">
        <v>3</v>
      </c>
      <c r="G2816" s="7" t="inlineStr">
        <is>
          <t>This recipe was in our local newspaper and after trying it, I was so disappointed I came to Recipezaar to find another broccoli recipe, and this was 1st on the list!  It was definitely easy, and it looked wonderful coming out of the oven, but was extremely bland.  I added salt and more cheese, but couldn't get any flavor.  If I try again, I may add some onions and/or experiment with cheese with more flavor instead of just the cheddar.  It has potential, just needs some tweaking!</t>
        </is>
      </c>
    </row>
    <row r="2817">
      <c r="A2817" s="7" t="n">
        <v>32111</v>
      </c>
      <c r="B2817" s="7" t="n">
        <v>779295</v>
      </c>
      <c r="C2817" s="7" t="n">
        <v>296809</v>
      </c>
      <c r="D2817" s="7" t="n">
        <v>145481</v>
      </c>
      <c r="E2817" s="8" t="n">
        <v>38937</v>
      </c>
      <c r="F2817" s="7" t="n">
        <v>5</v>
      </c>
      <c r="G2817" s="7" t="inlineStr">
        <is>
          <t>This soup is amazing in every way! So quick &amp; easy to fix, wonderful taste, lovely company-worthy presentation &amp; the fresh mushrooms as a finishing touch take it to sublime. I would never guess a cabbage soup could be this special, but you were right. A real winner for us &amp; I hope a lot of people try this excellent soup. Thx for posting.</t>
        </is>
      </c>
    </row>
    <row r="2818">
      <c r="A2818" s="7" t="n">
        <v>51500</v>
      </c>
      <c r="B2818" s="7" t="n">
        <v>449649</v>
      </c>
      <c r="C2818" s="7" t="n">
        <v>1584068</v>
      </c>
      <c r="D2818" s="7" t="n">
        <v>218237</v>
      </c>
      <c r="E2818" s="8" t="n">
        <v>40274</v>
      </c>
      <c r="F2818" s="7" t="n">
        <v>5</v>
      </c>
      <c r="G2818" s="7" t="inlineStr">
        <is>
          <t>This was a great recipe.  The ham came out so succulent.  7lbs was way to big for my crock pot, so shaved it down to 4lbs.  Filled the crock pot with mountain dew and dumped all the cherries on top of the meat and poured half the cherry juice into the mixture.  Cooked on low for about 8 hours and then drained the juices but garnished the meat with the cherries.  My girlfriend comes from a big Italian family and they take holiday cooking very seriously, so she was a bit skeptical when I told her I was going to try this recipe.  However she was completely blown away by the results.  The meat maintained it's moisture for several days and even after being microwaved.  Thanks for the great recipe!</t>
        </is>
      </c>
    </row>
    <row r="2819">
      <c r="A2819" s="7" t="n">
        <v>104309</v>
      </c>
      <c r="B2819" s="7" t="n">
        <v>327207</v>
      </c>
      <c r="C2819" s="7" t="n">
        <v>1295837</v>
      </c>
      <c r="D2819" s="7" t="n">
        <v>326224</v>
      </c>
      <c r="E2819" s="8" t="n">
        <v>40195</v>
      </c>
      <c r="F2819" s="7" t="n">
        <v>5</v>
      </c>
      <c r="G2819" s="7" t="inlineStr">
        <is>
          <t>flawless. i loved this soup and so did everyone else who tried it. it is so good if you sprinkle a little parmesean on top too. thanks!</t>
        </is>
      </c>
    </row>
    <row r="2820">
      <c r="A2820" s="7" t="n">
        <v>103759</v>
      </c>
      <c r="B2820" s="7" t="n">
        <v>697024</v>
      </c>
      <c r="C2820" s="7" t="n">
        <v>805456</v>
      </c>
      <c r="D2820" s="7" t="n">
        <v>319259</v>
      </c>
      <c r="E2820" s="8" t="n">
        <v>39673</v>
      </c>
      <c r="F2820" s="7" t="n">
        <v>5</v>
      </c>
      <c r="G2820" s="7" t="inlineStr">
        <is>
          <t>Sounds awesome, can't wait to try it, thanks!!</t>
        </is>
      </c>
    </row>
    <row r="2821">
      <c r="A2821" s="7" t="n">
        <v>51764</v>
      </c>
      <c r="B2821" s="7" t="n">
        <v>114895</v>
      </c>
      <c r="C2821" s="7" t="n">
        <v>204024</v>
      </c>
      <c r="D2821" s="7" t="n">
        <v>186887</v>
      </c>
      <c r="E2821" s="8" t="n">
        <v>41636</v>
      </c>
      <c r="F2821" s="7" t="n">
        <v>5</v>
      </c>
      <c r="G2821" s="7" t="inlineStr">
        <is>
          <t>This bread is nummy and very moist.  Made for Sweet December.</t>
        </is>
      </c>
    </row>
    <row r="2822">
      <c r="A2822" s="7" t="n">
        <v>95802</v>
      </c>
      <c r="B2822" s="7" t="n">
        <v>946725</v>
      </c>
      <c r="C2822" s="7" t="n">
        <v>27783</v>
      </c>
      <c r="D2822" s="7" t="n">
        <v>209634</v>
      </c>
      <c r="E2822" s="8" t="n">
        <v>39123</v>
      </c>
      <c r="F2822" s="7" t="n">
        <v>4</v>
      </c>
      <c r="G2822" s="7" t="inlineStr">
        <is>
          <t>Very rich and very beautiful.  The filling is delicious and a cross between a soft cheesecake pie and a mousse.  I had trouble with the tin foil sticking to the chocolate heart shell...perhaps greasing it lightly with cooking spray would have helped, or using something different to line the pan (plastic wrap).  I returned the chocolate shell to my heart shaped dish since there were spots where the tin foil removal process had torn the sides, then filled the shell with the yummy filling.  Next time, I would skip the shell and instead make a chocolate cookie crust instead.</t>
        </is>
      </c>
    </row>
    <row r="2823">
      <c r="A2823" s="7" t="n">
        <v>21197</v>
      </c>
      <c r="B2823" s="7" t="n">
        <v>908138</v>
      </c>
      <c r="C2823" s="7" t="n">
        <v>130819</v>
      </c>
      <c r="D2823" s="7" t="n">
        <v>149475</v>
      </c>
      <c r="E2823" s="8" t="n">
        <v>38779</v>
      </c>
      <c r="F2823" s="7" t="n">
        <v>5</v>
      </c>
      <c r="G2823" s="7" t="inlineStr">
        <is>
          <t>I have a number of gatherings to prepare for in the next while and am wanting some new recipes. I couldn't resist trying this salad and so glad I did ... we loved it and know it will be one family and friends will as well! I can't wait to be serving this one! No changes needed, perfect as is. Thank you Dotty, it's another Dotty2 winner!</t>
        </is>
      </c>
    </row>
    <row r="2824">
      <c r="A2824" s="7" t="n">
        <v>101049</v>
      </c>
      <c r="B2824" s="7" t="n">
        <v>411163</v>
      </c>
      <c r="C2824" s="7" t="n">
        <v>2651564</v>
      </c>
      <c r="D2824" s="7" t="n">
        <v>518151</v>
      </c>
      <c r="E2824" s="8" t="n">
        <v>41880</v>
      </c>
      <c r="F2824" s="7" t="n">
        <v>5</v>
      </c>
      <c r="G2824" s="7" t="inlineStr">
        <is>
          <t>Great party recipe! Sure fire hit!</t>
        </is>
      </c>
    </row>
    <row r="2825" ht="60" customHeight="1">
      <c r="A2825" t="n">
        <v>33784</v>
      </c>
      <c r="B2825" t="n">
        <v>667714</v>
      </c>
      <c r="C2825" t="n">
        <v>330649</v>
      </c>
      <c r="D2825" t="n">
        <v>916</v>
      </c>
      <c r="E2825" s="1" t="n">
        <v>39245</v>
      </c>
      <c r="F2825" t="n">
        <v>1</v>
      </c>
      <c r="G2825" s="2" t="inlineStr">
        <is>
          <t>it was aful kids hate it _x000D_
sorry</t>
        </is>
      </c>
    </row>
    <row r="2826">
      <c r="A2826" s="7" t="n">
        <v>15176</v>
      </c>
      <c r="B2826" s="7" t="n">
        <v>625937</v>
      </c>
      <c r="C2826" s="7" t="n">
        <v>339260</v>
      </c>
      <c r="D2826" s="7" t="n">
        <v>355008</v>
      </c>
      <c r="E2826" s="8" t="n">
        <v>41209</v>
      </c>
      <c r="F2826" s="7" t="n">
        <v>5</v>
      </c>
      <c r="G2826" s="7" t="inlineStr">
        <is>
          <t>As the description says, this is a good basic meatloaf recipe.  I did make a couple changes...I used cubed bread instead of oatmeal (I'm not crazy about the texture of meatloaf with oatmeal in it) and I topped the meatloaf with a mixture of ketchup, dried mustard and brown sugar.  Comfort food at its best.  Leftovers made great meatloaf sandwiches.  Made for PAC Fall 2012.</t>
        </is>
      </c>
    </row>
    <row r="2827">
      <c r="A2827" s="7" t="n">
        <v>79181</v>
      </c>
      <c r="B2827" s="7" t="n">
        <v>460992</v>
      </c>
      <c r="C2827" s="7" t="n">
        <v>219942</v>
      </c>
      <c r="D2827" s="7" t="n">
        <v>215699</v>
      </c>
      <c r="E2827" s="8" t="n">
        <v>39233</v>
      </c>
      <c r="F2827" s="7" t="n">
        <v>5</v>
      </c>
      <c r="G2827" s="7" t="inlineStr">
        <is>
          <t>I fixed this up while my friend was visiting. She took the first sip of anyone, and her facial expression is the 5 star rating! WOW! This quite possibly should be illegal it is SO GOOD! Thanks Kim, this will go down in history here. Made for ZWT '07. But it won't stop there!</t>
        </is>
      </c>
    </row>
    <row r="2828">
      <c r="A2828" s="7" t="n">
        <v>102397</v>
      </c>
      <c r="B2828" s="7" t="n">
        <v>65050</v>
      </c>
      <c r="C2828" s="7" t="n">
        <v>1365338</v>
      </c>
      <c r="D2828" s="7" t="n">
        <v>458701</v>
      </c>
      <c r="E2828" s="8" t="n">
        <v>40978</v>
      </c>
      <c r="F2828" s="7" t="n">
        <v>3</v>
      </c>
      <c r="G2828" s="7" t="inlineStr">
        <is>
          <t>I personally found this recipe to be bland in taste. Except for the sauce which was yummy. I eyeballed the sauce recipe and it had just the right amount of sweetness. The breasts however were a big disappointment. Sorry, but if eaten without the sauce they just lacked any real savory flavor. I guess if you're on a strict diet and need to cut calories this is a great recipe for that. I won't make this again nor try to tweak it. Only the sauce.</t>
        </is>
      </c>
    </row>
    <row r="2829">
      <c r="A2829" s="7" t="n">
        <v>110068</v>
      </c>
      <c r="B2829" s="7" t="n">
        <v>247032</v>
      </c>
      <c r="C2829" s="7" t="n">
        <v>141590</v>
      </c>
      <c r="D2829" s="7" t="n">
        <v>140652</v>
      </c>
      <c r="E2829" s="8" t="n">
        <v>38648</v>
      </c>
      <c r="F2829" s="7" t="n">
        <v>5</v>
      </c>
      <c r="G2829" s="7" t="inlineStr">
        <is>
          <t>Made these after Thanksgiving with leftover pumpkin. Omitted pecans. Very easy to make, taste delicious. My daughter (a teacher) brought a dozen to the secretaries at school. They were stunned by the orange colour but devoured them in minutes. Glad I made an extra batch. They lasted one day at home.</t>
        </is>
      </c>
    </row>
    <row r="2830">
      <c r="A2830" s="7" t="n">
        <v>84163</v>
      </c>
      <c r="B2830" s="7" t="n">
        <v>853115</v>
      </c>
      <c r="C2830" s="7" t="n">
        <v>37463</v>
      </c>
      <c r="D2830" s="7" t="n">
        <v>90040</v>
      </c>
      <c r="E2830" s="8" t="n">
        <v>38343</v>
      </c>
      <c r="F2830" s="7" t="n">
        <v>5</v>
      </c>
      <c r="G2830" s="7" t="inlineStr">
        <is>
          <t>This is an amazing spice cake.Very moist with great flavor.</t>
        </is>
      </c>
    </row>
    <row r="2831">
      <c r="A2831" s="7" t="n">
        <v>21112</v>
      </c>
      <c r="B2831" s="7" t="n">
        <v>212666</v>
      </c>
      <c r="C2831" s="7" t="n">
        <v>835173</v>
      </c>
      <c r="D2831" s="7" t="n">
        <v>199579</v>
      </c>
      <c r="E2831" s="8" t="n">
        <v>39786</v>
      </c>
      <c r="F2831" s="7" t="n">
        <v>4</v>
      </c>
      <c r="G2831" s="7" t="inlineStr">
        <is>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is>
      </c>
    </row>
    <row r="2832" ht="409.5" customHeight="1">
      <c r="A2832" s="7" t="n">
        <v>113929</v>
      </c>
      <c r="B2832" s="7" t="n">
        <v>769476</v>
      </c>
      <c r="C2832" s="7" t="n">
        <v>124249</v>
      </c>
      <c r="D2832" s="7" t="n">
        <v>149284</v>
      </c>
      <c r="E2832" s="8" t="n">
        <v>38882</v>
      </c>
      <c r="F2832" s="7" t="n">
        <v>5</v>
      </c>
      <c r="G2832" s="9" t="inlineStr">
        <is>
          <t>I was going to post my Mom's recipe for this salad but yours is the exact same one. My Mom only made this when it was hot. This salad was always cool and refreshing with a slight crunch. I like it._x000D_
_x000D_
Thanks Pam-I-Am._x000D_
_x000D_
Bullwinkle.</t>
        </is>
      </c>
    </row>
    <row r="2833">
      <c r="A2833" s="7" t="n">
        <v>109867</v>
      </c>
      <c r="B2833" s="7" t="n">
        <v>221907</v>
      </c>
      <c r="C2833" s="7" t="n">
        <v>793359</v>
      </c>
      <c r="D2833" s="7" t="n">
        <v>505690</v>
      </c>
      <c r="E2833" s="8" t="n">
        <v>42525</v>
      </c>
      <c r="F2833" s="7" t="n">
        <v>5</v>
      </c>
      <c r="G2833" s="7" t="inlineStr">
        <is>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is>
      </c>
    </row>
    <row r="2834">
      <c r="A2834" s="7" t="n">
        <v>12381</v>
      </c>
      <c r="B2834" s="7" t="n">
        <v>422852</v>
      </c>
      <c r="C2834" s="7" t="n">
        <v>570795</v>
      </c>
      <c r="D2834" s="7" t="n">
        <v>249878</v>
      </c>
      <c r="E2834" s="8" t="n">
        <v>39357</v>
      </c>
      <c r="F2834" s="7" t="n">
        <v>5</v>
      </c>
      <c r="G2834" s="7" t="inlineStr">
        <is>
          <t>I also make this slaw. It is the real thing. I use the food processor to get everything the same size. The only thing I do different is for the milk called for in the recipe I use buttermilk. It's a great recipe. It is even better left over night.</t>
        </is>
      </c>
    </row>
    <row r="2835">
      <c r="A2835" s="7" t="n">
        <v>122834</v>
      </c>
      <c r="B2835" s="7" t="n">
        <v>762960</v>
      </c>
      <c r="C2835" s="7" t="n">
        <v>383346</v>
      </c>
      <c r="D2835" s="7" t="n">
        <v>287490</v>
      </c>
      <c r="E2835" s="8" t="n">
        <v>39705</v>
      </c>
      <c r="F2835" s="7" t="n">
        <v>5</v>
      </c>
      <c r="G2835" s="7" t="inlineStr">
        <is>
          <t>Yummy muffins!  After 23 minutes they were ready.  I used only 1/2 cup of sugar.  I omitted the sunflower seeds.  These muffins have a nice taste and are healthy with the zucchini and carrot.  I added a little bit of milk cause the batter was a little bit too thick.  Thanks Marz.  Made for Photo tag.</t>
        </is>
      </c>
    </row>
    <row r="2836">
      <c r="A2836" s="7" t="n">
        <v>122246</v>
      </c>
      <c r="B2836" s="7" t="n">
        <v>438895</v>
      </c>
      <c r="C2836" s="7" t="n">
        <v>140132</v>
      </c>
      <c r="D2836" s="7" t="n">
        <v>76470</v>
      </c>
      <c r="E2836" s="8" t="n">
        <v>40595</v>
      </c>
      <c r="F2836" s="7" t="n">
        <v>5</v>
      </c>
      <c r="G2836" s="7" t="inlineStr">
        <is>
          <t>These are so delicious.  I served the last night to my family with some rice pilaf and cauliflower.  Very good.  We thought the spices were just perfect, wouldn't change a thing.  Thank you for sharing this with us it is a family favorite.</t>
        </is>
      </c>
    </row>
    <row r="2837">
      <c r="A2837" s="7" t="n">
        <v>42082</v>
      </c>
      <c r="B2837" s="7" t="n">
        <v>296948</v>
      </c>
      <c r="C2837" s="7" t="n">
        <v>66322</v>
      </c>
      <c r="D2837" s="7" t="n">
        <v>50385</v>
      </c>
      <c r="E2837" s="8" t="n">
        <v>38378</v>
      </c>
      <c r="F2837" s="7" t="n">
        <v>5</v>
      </c>
      <c r="G2837" s="7" t="inlineStr">
        <is>
          <t>This was absolutely wonderful.  The only change I made was to cut the chicken breasts into strips instead of leaving them whole.  DH praised it, and he only does that if he REALLY loves it.</t>
        </is>
      </c>
    </row>
    <row r="2838">
      <c r="A2838" s="7" t="n">
        <v>77752</v>
      </c>
      <c r="B2838" s="7" t="n">
        <v>901467</v>
      </c>
      <c r="C2838" s="7" t="n">
        <v>105179</v>
      </c>
      <c r="D2838" s="7" t="n">
        <v>79275</v>
      </c>
      <c r="E2838" s="8" t="n">
        <v>38064</v>
      </c>
      <c r="F2838" s="7" t="n">
        <v>5</v>
      </c>
      <c r="G2838" s="7" t="inlineStr">
        <is>
          <t>I have used this sauce twice on scallops and love it.  I have not been able to find the Knorr swiss aromat, though.  I'm hoping to find this ingredient somewhere and try the sauce with it.  Thanks for a great recipe!</t>
        </is>
      </c>
    </row>
    <row r="2839">
      <c r="A2839" s="7" t="n">
        <v>119120</v>
      </c>
      <c r="B2839" s="7" t="n">
        <v>1028653</v>
      </c>
      <c r="C2839" s="7" t="n">
        <v>337983</v>
      </c>
      <c r="D2839" s="7" t="n">
        <v>85916</v>
      </c>
      <c r="E2839" s="8" t="n">
        <v>39635</v>
      </c>
      <c r="F2839" s="7" t="n">
        <v>5</v>
      </c>
      <c r="G2839" s="7" t="inlineStr">
        <is>
          <t>Wonderful recipe. Have made it twice on our electric grill. First time I used fresh basil instead of fresh oregano, and it was delicious. This time didn't have oregano or basil so tried a reduced quantity of mint. My wife and I like this so much that I made up extra sauce for an easy meal during the week.</t>
        </is>
      </c>
    </row>
    <row r="2840">
      <c r="A2840" s="7" t="n">
        <v>63808</v>
      </c>
      <c r="B2840" s="7" t="n">
        <v>564398</v>
      </c>
      <c r="C2840" s="7" t="n">
        <v>1582584</v>
      </c>
      <c r="D2840" s="7" t="n">
        <v>256914</v>
      </c>
      <c r="E2840" s="8" t="n">
        <v>40297</v>
      </c>
      <c r="F2840" s="7" t="n">
        <v>5</v>
      </c>
      <c r="G2840" s="7" t="inlineStr">
        <is>
          <t>We love this, and make these fairly often.  Sometimes we serve them with honey (Ramon's idea) and it adds a whole new element.</t>
        </is>
      </c>
    </row>
    <row r="2841">
      <c r="A2841" s="7" t="n">
        <v>99660</v>
      </c>
      <c r="B2841" s="7" t="n">
        <v>727457</v>
      </c>
      <c r="C2841" s="7" t="n">
        <v>73836</v>
      </c>
      <c r="D2841" s="7" t="n">
        <v>104763</v>
      </c>
      <c r="E2841" s="8" t="n">
        <v>38416</v>
      </c>
      <c r="F2841" s="7" t="n">
        <v>5</v>
      </c>
      <c r="G2841" s="7" t="inlineStr">
        <is>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is>
      </c>
    </row>
    <row r="2842" ht="330" customHeight="1">
      <c r="A2842" s="7" t="n">
        <v>89418</v>
      </c>
      <c r="B2842" s="7" t="n">
        <v>940248</v>
      </c>
      <c r="C2842" s="7" t="n">
        <v>46153</v>
      </c>
      <c r="D2842" s="7" t="n">
        <v>14745</v>
      </c>
      <c r="E2842" s="8" t="n">
        <v>37681</v>
      </c>
      <c r="F2842" s="7" t="n">
        <v>5</v>
      </c>
      <c r="G2842" s="9" t="inlineStr">
        <is>
          <t xml:space="preserve">I really enjoyed this dish. I left out the mushrooms (didn't have any) and prepared the entire thing in my rice cooker. It turned out great. No complaints!_x000D_
</t>
        </is>
      </c>
    </row>
    <row r="2843">
      <c r="A2843" s="7" t="n">
        <v>24266</v>
      </c>
      <c r="B2843" s="7" t="n">
        <v>680993</v>
      </c>
      <c r="C2843" s="7" t="n">
        <v>115964</v>
      </c>
      <c r="D2843" s="7" t="n">
        <v>108248</v>
      </c>
      <c r="E2843" s="8" t="n">
        <v>38734</v>
      </c>
      <c r="F2843" s="7" t="n">
        <v>5</v>
      </c>
      <c r="G2843" s="7" t="inlineStr">
        <is>
          <t>I took these to work and they were gone in less than an hour, and I did 1 1/2 the amount of ings. because  I used exlarge sheet pan. Thanks newspappergal for such a good and simple recipe.</t>
        </is>
      </c>
    </row>
    <row r="2844">
      <c r="A2844" s="7" t="n">
        <v>16407</v>
      </c>
      <c r="B2844" s="7" t="n">
        <v>991007</v>
      </c>
      <c r="C2844" s="7" t="n">
        <v>482933</v>
      </c>
      <c r="D2844" s="7" t="n">
        <v>409263</v>
      </c>
      <c r="E2844" s="8" t="n">
        <v>40765</v>
      </c>
      <c r="F2844" s="7" t="n">
        <v>5</v>
      </c>
      <c r="G2844" s="7" t="inlineStr">
        <is>
          <t>Am still smacking my lips! Umm ... so good!   Made as posted and then put inside buttered bread and grilled in our Foreman for a wonderful lunch. Thank you for sharing duonyte!</t>
        </is>
      </c>
    </row>
    <row r="2845">
      <c r="A2845" s="7" t="n">
        <v>4693</v>
      </c>
      <c r="B2845" s="7" t="n">
        <v>613803</v>
      </c>
      <c r="C2845" s="7" t="n">
        <v>461724</v>
      </c>
      <c r="D2845" s="7" t="n">
        <v>227225</v>
      </c>
      <c r="E2845" s="8" t="n">
        <v>39842</v>
      </c>
      <c r="F2845" s="7" t="n">
        <v>3</v>
      </c>
      <c r="G2845" s="7" t="inlineStr">
        <is>
          <t>This was ok.  We just didn't think it had much flavor.  Made for Zaar Chef Alphabet Soup Game.</t>
        </is>
      </c>
    </row>
    <row r="2846">
      <c r="A2846" s="7" t="n">
        <v>99891</v>
      </c>
      <c r="B2846" s="7" t="n">
        <v>503537</v>
      </c>
      <c r="C2846" s="7" t="n">
        <v>451640</v>
      </c>
      <c r="D2846" s="7" t="n">
        <v>192940</v>
      </c>
      <c r="E2846" s="8" t="n">
        <v>39376</v>
      </c>
      <c r="F2846" s="7" t="n">
        <v>4</v>
      </c>
      <c r="G2846" s="7" t="inlineStr">
        <is>
          <t>I really liked how light yet dynamic the flavor of the chicken was. This was much easier to make than it seemed it was going to be. Would definitely make again.</t>
        </is>
      </c>
    </row>
    <row r="2847">
      <c r="A2847" t="n">
        <v>114123</v>
      </c>
      <c r="B2847" t="n">
        <v>530164</v>
      </c>
      <c r="C2847" t="n">
        <v>133174</v>
      </c>
      <c r="D2847" t="n">
        <v>162121</v>
      </c>
      <c r="E2847" s="1" t="n">
        <v>39259</v>
      </c>
      <c r="F2847" t="n">
        <v>5</v>
      </c>
      <c r="G2847" t="inlineStr">
        <is>
          <t>This made for a tasty breakfast treat this morning.  I used fresh mango, a frozen banana and mango nector.  The whey protein powder was omitted and not missed a bit.  ZWTIII!</t>
        </is>
      </c>
    </row>
    <row r="2848">
      <c r="A2848" s="7" t="n">
        <v>77004</v>
      </c>
      <c r="B2848" s="7" t="n">
        <v>264222</v>
      </c>
      <c r="C2848" s="7" t="n">
        <v>311003</v>
      </c>
      <c r="D2848" s="7" t="n">
        <v>302812</v>
      </c>
      <c r="E2848" s="8" t="n">
        <v>39891</v>
      </c>
      <c r="F2848" s="7" t="n">
        <v>5</v>
      </c>
      <c r="G2848" s="7" t="inlineStr">
        <is>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is>
      </c>
    </row>
    <row r="2849">
      <c r="A2849" s="7" t="n">
        <v>95277</v>
      </c>
      <c r="B2849" s="7" t="n">
        <v>704282</v>
      </c>
      <c r="C2849" s="7" t="n">
        <v>163112</v>
      </c>
      <c r="D2849" s="7" t="n">
        <v>472651</v>
      </c>
      <c r="E2849" s="8" t="n">
        <v>41115</v>
      </c>
      <c r="F2849" s="7" t="n">
        <v>5</v>
      </c>
      <c r="G2849" s="7" t="inlineStr">
        <is>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is>
      </c>
    </row>
    <row r="2850">
      <c r="A2850" t="n">
        <v>85059</v>
      </c>
      <c r="B2850" t="n">
        <v>736719</v>
      </c>
      <c r="C2850" t="n">
        <v>223898</v>
      </c>
      <c r="D2850" t="n">
        <v>38672</v>
      </c>
      <c r="E2850" s="1" t="n">
        <v>40765</v>
      </c>
      <c r="F2850" t="n">
        <v>3</v>
      </c>
      <c r="G2850" t="inlineStr">
        <is>
          <t>Easy and simple to make. I did find it to be a bit bland.</t>
        </is>
      </c>
    </row>
    <row r="2851">
      <c r="A2851" s="7" t="n">
        <v>47930</v>
      </c>
      <c r="B2851" s="7" t="n">
        <v>305598</v>
      </c>
      <c r="C2851" s="7" t="n">
        <v>82994</v>
      </c>
      <c r="D2851" s="7" t="n">
        <v>31062</v>
      </c>
      <c r="E2851" s="8" t="n">
        <v>38711</v>
      </c>
      <c r="F2851" s="7" t="n">
        <v>5</v>
      </c>
      <c r="G2851" s="7" t="inlineStr">
        <is>
          <t>OK, I admit I was more than a little nervous about covering an 89 dollar prime rib in kosher salt, but I bit the bullet and it was probably the best I've ever eaten, let alone made. I had no problems with getting the salt crust to stick and after exactly 2 hours as stated a 7 lb prime rib was done to perfection. THANX!</t>
        </is>
      </c>
    </row>
    <row r="2852">
      <c r="A2852" s="7" t="n">
        <v>47242</v>
      </c>
      <c r="B2852" s="7" t="n">
        <v>928262</v>
      </c>
      <c r="C2852" s="7" t="n">
        <v>141293</v>
      </c>
      <c r="D2852" s="7" t="n">
        <v>86258</v>
      </c>
      <c r="E2852" s="8" t="n">
        <v>38633</v>
      </c>
      <c r="F2852" s="7" t="n">
        <v>5</v>
      </c>
      <c r="G2852" s="7" t="inlineStr">
        <is>
          <t>Wow!  This was excellent.  You would not know there is cabbage in with the onions.  I sauted the onion, cabbage, and garlic for more like 30 minutes to really caramelize them together.  Used an organic low sodium beef broth and topped with croutons and 5 cheese italian shredded cheese.  Perfect for a cool evening any time of year.</t>
        </is>
      </c>
    </row>
    <row r="2853">
      <c r="A2853" s="7" t="n">
        <v>115687</v>
      </c>
      <c r="B2853" s="7" t="n">
        <v>402531</v>
      </c>
      <c r="C2853" s="7" t="n">
        <v>647666</v>
      </c>
      <c r="D2853" s="7" t="n">
        <v>299795</v>
      </c>
      <c r="E2853" s="8" t="n">
        <v>39561</v>
      </c>
      <c r="F2853" s="7" t="n">
        <v>5</v>
      </c>
      <c r="G2853" s="7" t="inlineStr">
        <is>
          <t>Very tasty!  Yes, I used Hellman's mayo.  I totally agree with you on that fact.</t>
        </is>
      </c>
    </row>
    <row r="2854">
      <c r="A2854" s="7" t="n">
        <v>48136</v>
      </c>
      <c r="B2854" s="7" t="n">
        <v>935866</v>
      </c>
      <c r="C2854" s="7" t="n">
        <v>254649</v>
      </c>
      <c r="D2854" s="7" t="n">
        <v>42401</v>
      </c>
      <c r="E2854" s="8" t="n">
        <v>39236</v>
      </c>
      <c r="F2854" s="7" t="n">
        <v>5</v>
      </c>
      <c r="G2854" s="7" t="inlineStr">
        <is>
          <t>This will be a family favorite for a LONG time!! Thanks so much for the awesome recipe!</t>
        </is>
      </c>
    </row>
    <row r="2855">
      <c r="A2855" s="7" t="n">
        <v>14239</v>
      </c>
      <c r="B2855" s="7" t="n">
        <v>63733</v>
      </c>
      <c r="C2855" s="7" t="n">
        <v>275326</v>
      </c>
      <c r="D2855" s="7" t="n">
        <v>64913</v>
      </c>
      <c r="E2855" s="8" t="n">
        <v>39710</v>
      </c>
      <c r="F2855" s="7" t="n">
        <v>5</v>
      </c>
      <c r="G2855" s="7" t="inlineStr">
        <is>
          <t>I added way more garlic (already peeled), but next time I'll add much more than that.  The garlic kind of melts and spreads really well onto baguette bread.  The meat was really tender and flavorful.   I'm going to cook two at a time, loaded with garlic, so I can have lots of left-overs.</t>
        </is>
      </c>
    </row>
    <row r="2856">
      <c r="A2856" s="7" t="n">
        <v>92981</v>
      </c>
      <c r="B2856" s="7" t="n">
        <v>986843</v>
      </c>
      <c r="C2856" s="7" t="n">
        <v>315565</v>
      </c>
      <c r="D2856" s="7" t="n">
        <v>387394</v>
      </c>
      <c r="E2856" s="8" t="n">
        <v>40187</v>
      </c>
      <c r="F2856" s="7" t="n">
        <v>5</v>
      </c>
      <c r="G2856" s="7" t="inlineStr">
        <is>
          <t>Absolutely divine - 5 stars plus. I added a handful of grated chocolate instead of nuts. Made for Everyday is a Holiday.</t>
        </is>
      </c>
    </row>
    <row r="2857" ht="409.5" customHeight="1">
      <c r="A2857" s="7" t="n">
        <v>28910</v>
      </c>
      <c r="B2857" s="7" t="n">
        <v>744234</v>
      </c>
      <c r="C2857" s="7" t="n">
        <v>380547</v>
      </c>
      <c r="D2857" s="7" t="n">
        <v>48635</v>
      </c>
      <c r="E2857" s="8" t="n">
        <v>40023</v>
      </c>
      <c r="F2857" s="7" t="n">
        <v>4</v>
      </c>
      <c r="G2857" s="9" t="inlineStr">
        <is>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is>
      </c>
    </row>
    <row r="2858">
      <c r="A2858" s="7" t="n">
        <v>45923</v>
      </c>
      <c r="B2858" s="7" t="n">
        <v>1082796</v>
      </c>
      <c r="C2858" s="7" t="n">
        <v>829250</v>
      </c>
      <c r="D2858" s="7" t="n">
        <v>286405</v>
      </c>
      <c r="E2858" s="8" t="n">
        <v>41291</v>
      </c>
      <c r="F2858" s="7" t="n">
        <v>4</v>
      </c>
      <c r="G2858" s="7" t="inlineStr">
        <is>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is>
      </c>
    </row>
    <row r="2859">
      <c r="A2859" s="7" t="n">
        <v>113853</v>
      </c>
      <c r="B2859" s="7" t="n">
        <v>367704</v>
      </c>
      <c r="C2859" s="7" t="n">
        <v>6357</v>
      </c>
      <c r="D2859" s="7" t="n">
        <v>70789</v>
      </c>
      <c r="E2859" s="8" t="n">
        <v>37881</v>
      </c>
      <c r="F2859" s="7" t="n">
        <v>4</v>
      </c>
      <c r="G2859" s="7" t="inlineStr">
        <is>
          <t>I made this yesterday in the afternoon. This is tasty, but really very messy. Because of the jam being added in separate layers, the loaf took an extra hour to bake in my AMC Dutch Oven. Normally, if I would've followed my instincts(which I really should have), I would add the jam to the rest of the mixture while mixing in all the ingredients. When I removed this from my loaf tin, it was very messy, but very yummy all the same. My friends' enjoyed it on its own - the jam served the purpose of glaze;-) Thanks for sharing the recipe, but I really recommend adding the jam to the rest of the batter while mixing everything together. That way, not only will the yellow and red colours blend beautifully, but also, the loaf will be ready faster and will not be messy like it has been otherwise.</t>
        </is>
      </c>
    </row>
    <row r="2860">
      <c r="A2860" s="7" t="n">
        <v>75412</v>
      </c>
      <c r="B2860" s="7" t="n">
        <v>821923</v>
      </c>
      <c r="C2860" s="7" t="n">
        <v>232463</v>
      </c>
      <c r="D2860" s="7" t="n">
        <v>359719</v>
      </c>
      <c r="E2860" s="8" t="n">
        <v>40248</v>
      </c>
      <c r="F2860" s="7" t="n">
        <v>5</v>
      </c>
      <c r="G2860" s="7" t="inlineStr">
        <is>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is>
      </c>
    </row>
    <row r="2861">
      <c r="A2861" s="7" t="n">
        <v>124168</v>
      </c>
      <c r="B2861" s="7" t="n">
        <v>901315</v>
      </c>
      <c r="C2861" s="7" t="n">
        <v>28346</v>
      </c>
      <c r="D2861" s="7" t="n">
        <v>31608</v>
      </c>
      <c r="E2861" s="8" t="n">
        <v>37647</v>
      </c>
      <c r="F2861" s="7" t="n">
        <v>5</v>
      </c>
      <c r="G2861" s="7" t="inlineStr">
        <is>
          <t>Oh YUMMM!  I made this as one of my 3 choices for the 1st "Pick Your Chef" game.  This is so good...a daiquiri in a bowl!!  I used frozen berries, and I increased the sugar just a bit since the berries were quite tart.  Don't have an ice cream freezer, but I got great results just freezing this in a bowl, then let it sit out a few minutes before serving.  I know this'll be a real popular item around here this summer.  Thanks Chris!</t>
        </is>
      </c>
    </row>
    <row r="2862">
      <c r="A2862" s="7" t="n">
        <v>73140</v>
      </c>
      <c r="B2862" s="7" t="n">
        <v>437220</v>
      </c>
      <c r="C2862" s="7" t="n">
        <v>34357</v>
      </c>
      <c r="D2862" s="7" t="n">
        <v>14296</v>
      </c>
      <c r="E2862" s="8" t="n">
        <v>37366</v>
      </c>
      <c r="F2862" s="7" t="n">
        <v>3</v>
      </c>
      <c r="G2862" s="7" t="inlineStr">
        <is>
          <t>The olives really were a nice touch, but it wasn't really anything we would make again.</t>
        </is>
      </c>
    </row>
    <row r="2863">
      <c r="A2863" s="7" t="n">
        <v>77776</v>
      </c>
      <c r="B2863" s="7" t="n">
        <v>1126780</v>
      </c>
      <c r="C2863" s="7" t="n">
        <v>798217</v>
      </c>
      <c r="D2863" s="7" t="n">
        <v>244245</v>
      </c>
      <c r="E2863" s="8" t="n">
        <v>39529</v>
      </c>
      <c r="F2863" s="7" t="n">
        <v>5</v>
      </c>
      <c r="G2863" s="7" t="inlineStr">
        <is>
          <t>Awesome!!  Extremely simple to make!! I made some changes: I used 1/2 cup of oil and  1/2 cup of unsweetened applesauce.  Plus, I used light chocolate soy milk.  I agree that they take a little longer than 30 minutes to make.  Thanks for sharing!!!!</t>
        </is>
      </c>
    </row>
    <row r="2864">
      <c r="A2864" s="7" t="n">
        <v>60280</v>
      </c>
      <c r="B2864" s="7" t="n">
        <v>424079</v>
      </c>
      <c r="C2864" s="7" t="n">
        <v>416985</v>
      </c>
      <c r="D2864" s="7" t="n">
        <v>489054</v>
      </c>
      <c r="E2864" s="8" t="n">
        <v>41411</v>
      </c>
      <c r="F2864" s="7" t="n">
        <v>5</v>
      </c>
      <c r="G2864" s="7" t="inlineStr">
        <is>
          <t>We really liked these. My DD added salsa, which is also great. Next time, I need to leave more potato in the skins because they were more crunchy than we prefer. Overall, a great recipe!</t>
        </is>
      </c>
    </row>
    <row r="2865">
      <c r="A2865" s="7" t="n">
        <v>32892</v>
      </c>
      <c r="B2865" s="7" t="n">
        <v>395091</v>
      </c>
      <c r="C2865" s="7" t="n">
        <v>746803</v>
      </c>
      <c r="D2865" s="7" t="n">
        <v>378050</v>
      </c>
      <c r="E2865" s="8" t="n">
        <v>40288</v>
      </c>
      <c r="F2865" s="7" t="n">
        <v>5</v>
      </c>
      <c r="G2865" s="7" t="inlineStr">
        <is>
          <t>Made this for the office lunch today - everyone agreed it was very healthy and tasty and thats saying something when most of the staff are meat eaters!  The only change I made was using lettuce as I didn't have any cabbage on hand. Made for Aus/NZ Swap #39</t>
        </is>
      </c>
    </row>
    <row r="2866">
      <c r="A2866" s="7" t="n">
        <v>113311</v>
      </c>
      <c r="B2866" s="7" t="n">
        <v>744713</v>
      </c>
      <c r="C2866" s="7" t="n">
        <v>1179225</v>
      </c>
      <c r="D2866" s="7" t="n">
        <v>367708</v>
      </c>
      <c r="E2866" s="8" t="n">
        <v>40703</v>
      </c>
      <c r="F2866" s="7" t="n">
        <v>5</v>
      </c>
      <c r="G2866" s="7" t="inlineStr">
        <is>
          <t>This turned out great! I served the pudding with blueberries, angel food cake and whipped cream. Just what I was looking for. Thanks for posting.</t>
        </is>
      </c>
    </row>
    <row r="2867">
      <c r="A2867" s="7" t="n">
        <v>91488</v>
      </c>
      <c r="B2867" s="7" t="n">
        <v>377548</v>
      </c>
      <c r="C2867" s="7" t="n">
        <v>313120</v>
      </c>
      <c r="D2867" s="7" t="n">
        <v>299075</v>
      </c>
      <c r="E2867" s="8" t="n">
        <v>39632</v>
      </c>
      <c r="F2867" s="7" t="n">
        <v>5</v>
      </c>
      <c r="G2867" s="7" t="inlineStr">
        <is>
          <t>Great recipe, used butter and garlic club crackers. Thanks, will make this again.</t>
        </is>
      </c>
    </row>
    <row r="2868">
      <c r="A2868" s="7" t="n">
        <v>47281</v>
      </c>
      <c r="B2868" s="7" t="n">
        <v>910719</v>
      </c>
      <c r="C2868" s="7" t="n">
        <v>2001607116</v>
      </c>
      <c r="D2868" s="7" t="n">
        <v>26420</v>
      </c>
      <c r="E2868" s="8" t="n">
        <v>42917</v>
      </c>
      <c r="F2868" s="7" t="n">
        <v>0</v>
      </c>
      <c r="G2868" s="7" t="inlineStr">
        <is>
          <t>Wonderful recipe! I made it on the spur of the moment and it was perfect!</t>
        </is>
      </c>
    </row>
    <row r="2869">
      <c r="A2869" s="7" t="n">
        <v>100748</v>
      </c>
      <c r="B2869" s="7" t="n">
        <v>1068362</v>
      </c>
      <c r="C2869" s="7" t="n">
        <v>1828522</v>
      </c>
      <c r="D2869" s="7" t="n">
        <v>32142</v>
      </c>
      <c r="E2869" s="8" t="n">
        <v>42033</v>
      </c>
      <c r="F2869" s="7" t="n">
        <v>5</v>
      </c>
      <c r="G2869" s="7" t="inlineStr">
        <is>
          <t>Yummy!  I&amp;#039;ve made it several times.  I have added some diced cook chicken for extra protein. Either way, it taste great and is easy to make,</t>
        </is>
      </c>
    </row>
    <row r="2870">
      <c r="A2870" s="7" t="n">
        <v>45738</v>
      </c>
      <c r="B2870" s="7" t="n">
        <v>379986</v>
      </c>
      <c r="C2870" s="7" t="n">
        <v>164610</v>
      </c>
      <c r="D2870" s="7" t="n">
        <v>251626</v>
      </c>
      <c r="E2870" s="8" t="n">
        <v>39349</v>
      </c>
      <c r="F2870" s="7" t="n">
        <v>0</v>
      </c>
      <c r="G2870" s="7" t="inlineStr">
        <is>
          <t>raspberryjello, I can't wait to try this!  I absolutely LOVE pierogies!  Finding pierogies in the store that I can safely eat with my diet is nearly impossible, so I am really excited to try this.  I'm a novice cook, too, so it should be fun.  Your instructions sound fairly easy and complete.  I hope to write a review soon.  Thanks! :)</t>
        </is>
      </c>
    </row>
    <row r="2871">
      <c r="A2871" s="7" t="n">
        <v>35366</v>
      </c>
      <c r="B2871" s="7" t="n">
        <v>5224</v>
      </c>
      <c r="C2871" s="7" t="n">
        <v>1365025</v>
      </c>
      <c r="D2871" s="7" t="n">
        <v>273976</v>
      </c>
      <c r="E2871" s="8" t="n">
        <v>41218</v>
      </c>
      <c r="F2871" s="7" t="n">
        <v>5</v>
      </c>
      <c r="G2871" s="7" t="inlineStr">
        <is>
          <t>I had a ton of yellow tomatoes that hadn't turn yellow yet after the weather turned cold so I brought them into the house to vine ripen. After cooking them I put them through the food mill. To this I added the butter, garlic and onion salt, oregano, basil, salt, parsley and cayenne pepper. I simmered this for several hours. I like my sauce a little thicker so I added some cornstarch to just thicken enough to coat the spoon. Wow was this good. The secret is definitely the butter. I usually add a couple Tablespoons of butter to my gravies and soups but never thought of adding it to the tomato sauce. Thank you so much for posting. I promised next time I'll make it as written.</t>
        </is>
      </c>
    </row>
    <row r="2872">
      <c r="A2872" s="7" t="n">
        <v>42962</v>
      </c>
      <c r="B2872" s="7" t="n">
        <v>370481</v>
      </c>
      <c r="C2872" s="7" t="n">
        <v>175286</v>
      </c>
      <c r="D2872" s="7" t="n">
        <v>57993</v>
      </c>
      <c r="E2872" s="8" t="n">
        <v>38350</v>
      </c>
      <c r="F2872" s="7" t="n">
        <v>5</v>
      </c>
      <c r="G2872" s="7" t="inlineStr">
        <is>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is>
      </c>
    </row>
    <row r="2873">
      <c r="A2873" s="7" t="n">
        <v>122317</v>
      </c>
      <c r="B2873" s="7" t="n">
        <v>379116</v>
      </c>
      <c r="C2873" s="7" t="n">
        <v>19198</v>
      </c>
      <c r="D2873" s="7" t="n">
        <v>26059</v>
      </c>
      <c r="E2873" s="8" t="n">
        <v>38546</v>
      </c>
      <c r="F2873" s="7" t="n">
        <v>5</v>
      </c>
      <c r="G2873" s="7" t="inlineStr">
        <is>
          <t xml:space="preserve">Excellent!  Has a wonderful aroma.  I took prev. reviewer's advice and blackened outside on the grill burner. Good thing, it was smokin!   I also just used a bit of olive oil in the pan.  Can't wait to try this on chicken!  Thanks for sharing this recipe!  </t>
        </is>
      </c>
    </row>
    <row r="2874">
      <c r="A2874" s="7" t="n">
        <v>108007</v>
      </c>
      <c r="B2874" s="7" t="n">
        <v>548103</v>
      </c>
      <c r="C2874" s="7" t="n">
        <v>305531</v>
      </c>
      <c r="D2874" s="7" t="n">
        <v>458298</v>
      </c>
      <c r="E2874" s="8" t="n">
        <v>41893</v>
      </c>
      <c r="F2874" s="7" t="n">
        <v>5</v>
      </c>
      <c r="G2874" s="7" t="inlineStr">
        <is>
          <t>Loved this! This was so super simple but really tasty. I used a combination of white and black (Kuro goma) sesame seeds. Thanks for sharing this nice winner, Linky. Made for Culinary Quest 2014.</t>
        </is>
      </c>
    </row>
    <row r="2875">
      <c r="A2875" s="7" t="n">
        <v>77226</v>
      </c>
      <c r="B2875" s="7" t="n">
        <v>452643</v>
      </c>
      <c r="C2875" s="7" t="n">
        <v>69752</v>
      </c>
      <c r="D2875" s="7" t="n">
        <v>32583</v>
      </c>
      <c r="E2875" s="8" t="n">
        <v>38795</v>
      </c>
      <c r="F2875" s="7" t="n">
        <v>5</v>
      </c>
      <c r="G2875" s="7" t="inlineStr">
        <is>
          <t xml:space="preserve">WOW, talk about "knock your socks off" GREAT!!  My husband served this for dessert over French vanilla ice cream as part of our Cuban menu for the evening. Color me done!!  I don't even care for bananas and I truly enjoyed it!! Thank you for sharing with us! </t>
        </is>
      </c>
    </row>
    <row r="2876">
      <c r="A2876" s="7" t="n">
        <v>40444</v>
      </c>
      <c r="B2876" s="7" t="n">
        <v>115660</v>
      </c>
      <c r="C2876" s="7" t="n">
        <v>124190</v>
      </c>
      <c r="D2876" s="7" t="n">
        <v>124269</v>
      </c>
      <c r="E2876" s="8" t="n">
        <v>39206</v>
      </c>
      <c r="F2876" s="7" t="n">
        <v>4</v>
      </c>
      <c r="G2876" s="7" t="inlineStr">
        <is>
          <t>I loved the cinnamon in this. I thought it added a really great depth of flavor. I did think there needed to be some garlic, so I added it. I also really wanted more cumin, so I added that too. This was just great. I will use it again and again. Thank you!</t>
        </is>
      </c>
    </row>
    <row r="2877">
      <c r="A2877" s="7" t="n">
        <v>116598</v>
      </c>
      <c r="B2877" s="7" t="n">
        <v>145058</v>
      </c>
      <c r="C2877" s="7" t="n">
        <v>171790</v>
      </c>
      <c r="D2877" s="7" t="n">
        <v>284288</v>
      </c>
      <c r="E2877" s="8" t="n">
        <v>39778</v>
      </c>
      <c r="F2877" s="7" t="n">
        <v>5</v>
      </c>
      <c r="G2877" s="7" t="inlineStr">
        <is>
          <t>This is an excellent pizza. The crust is quite simple and quick (other than time to rise) to make. I used pizza sauce rather than pasta sauce. Made for November Beverage Tag.</t>
        </is>
      </c>
    </row>
    <row r="2878">
      <c r="A2878" s="7" t="n">
        <v>47143</v>
      </c>
      <c r="B2878" s="7" t="n">
        <v>152935</v>
      </c>
      <c r="C2878" s="7" t="n">
        <v>130819</v>
      </c>
      <c r="D2878" s="7" t="n">
        <v>168116</v>
      </c>
      <c r="E2878" s="8" t="n">
        <v>39685</v>
      </c>
      <c r="F2878" s="7" t="n">
        <v>5</v>
      </c>
      <c r="G2878" s="7" t="inlineStr">
        <is>
          <t>Made this back in June using lush red stalks of rhubarb - we rhubarb lovers enjoyed this compote with the hint of orange added. Going to assure making this delightful dish for breakfast when having early summer guests that enjoy fresh from the garden rhubarb specialities  - I know they will love it as much as we do! Thank you for sharing.</t>
        </is>
      </c>
    </row>
    <row r="2879">
      <c r="A2879" s="7" t="n">
        <v>227</v>
      </c>
      <c r="B2879" s="7" t="n">
        <v>62272</v>
      </c>
      <c r="C2879" s="7" t="n">
        <v>140132</v>
      </c>
      <c r="D2879" s="7" t="n">
        <v>94031</v>
      </c>
      <c r="E2879" s="8" t="n">
        <v>39899</v>
      </c>
      <c r="F2879" s="7" t="n">
        <v>5</v>
      </c>
      <c r="G2879" s="7" t="inlineStr">
        <is>
          <t>Wowzers!!!  What a great recipe.  I used a leftover roast that was medium rare.  I sliced it on the slicer and proceeded to follow the recipe.  We loved this and plan on making the roast just for this recipe....lol.   I made this for lunch for the kids and I but this will be made for dinner in this house.  I didn't have provolone this time so I subbed in swiss cheese but I plan on using the provolone next time.  Thank you for posting this awesome sandwich.</t>
        </is>
      </c>
    </row>
    <row r="2880">
      <c r="A2880" s="7" t="n">
        <v>76274</v>
      </c>
      <c r="B2880" s="7" t="n">
        <v>1047416</v>
      </c>
      <c r="C2880" s="7" t="n">
        <v>1298077</v>
      </c>
      <c r="D2880" s="7" t="n">
        <v>273342</v>
      </c>
      <c r="E2880" s="8" t="n">
        <v>40631</v>
      </c>
      <c r="F2880" s="7" t="n">
        <v>5</v>
      </c>
      <c r="G2880" s="7" t="inlineStr">
        <is>
          <t>I must admit, first time making anything like this, where it's supposed to "set" up.  Well...it kind of did for me...I realize, I did not boil the sugar/butter mixture long enough as my toffee part is chewy and grainy.  The flavor though, is great.  I will make these again and would fully expect to give it 5 stars.  They're so easy and very delicious.  Can't wait until the next batch and my concentrating better on the boil time.  Thanks for sharing!</t>
        </is>
      </c>
    </row>
    <row r="2881">
      <c r="A2881" s="7" t="n">
        <v>67201</v>
      </c>
      <c r="B2881" s="7" t="n">
        <v>419755</v>
      </c>
      <c r="C2881" s="7" t="n">
        <v>185056</v>
      </c>
      <c r="D2881" s="7" t="n">
        <v>146022</v>
      </c>
      <c r="E2881" s="8" t="n">
        <v>39193</v>
      </c>
      <c r="F2881" s="7" t="n">
        <v>5</v>
      </c>
      <c r="G2881" s="7" t="inlineStr">
        <is>
          <t>I bought the ingredients to make as an appetizer for a girl's get together, but ended up not making them. I really wanted to try this recipe so I made it for lunch today for my DH and me.  I used Polish Kielbasa and followed the recipe exactly.  We both really enjoyed the taste.  I will definitely make this at my next get together, but will probably double the recipe because I am sure they will be gobbled up quickly!  Thanks for posting.</t>
        </is>
      </c>
    </row>
    <row r="2882">
      <c r="A2882" s="7" t="n">
        <v>23299</v>
      </c>
      <c r="B2882" s="7" t="n">
        <v>471741</v>
      </c>
      <c r="C2882" s="7" t="n">
        <v>233583</v>
      </c>
      <c r="D2882" s="7" t="n">
        <v>202923</v>
      </c>
      <c r="E2882" s="8" t="n">
        <v>40586</v>
      </c>
      <c r="F2882" s="7" t="n">
        <v>5</v>
      </c>
      <c r="G2882" s="7" t="inlineStr">
        <is>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is>
      </c>
    </row>
    <row r="2883">
      <c r="A2883" s="7" t="n">
        <v>101820</v>
      </c>
      <c r="B2883" s="7" t="n">
        <v>369317</v>
      </c>
      <c r="C2883" s="7" t="n">
        <v>2595810</v>
      </c>
      <c r="D2883" s="7" t="n">
        <v>14596</v>
      </c>
      <c r="E2883" s="8" t="n">
        <v>41271</v>
      </c>
      <c r="F2883" s="7" t="n">
        <v>0</v>
      </c>
      <c r="G2883" s="7" t="inlineStr">
        <is>
          <t>This is a great, quick and easy recipe. My guests loved it (one asked to take leftovers home). I used the HVR dip, rather than the dressing, mix and reduced the amount by about a tsp as recommended by another reviewer and it was perfect. I'll definitely make this one again.</t>
        </is>
      </c>
    </row>
    <row r="2884">
      <c r="A2884" s="7" t="n">
        <v>1393</v>
      </c>
      <c r="B2884" s="7" t="n">
        <v>552539</v>
      </c>
      <c r="C2884" s="7" t="n">
        <v>18391</v>
      </c>
      <c r="D2884" s="7" t="n">
        <v>73779</v>
      </c>
      <c r="E2884" s="8" t="n">
        <v>37953</v>
      </c>
      <c r="F2884" s="7" t="n">
        <v>5</v>
      </c>
      <c r="G2884" s="7" t="inlineStr">
        <is>
          <t>An excellent bread recipe! after rolling the dough out I sprinkled it with the poppy seeds, and cut it up cinnamon roll style, for some very pretty rolls! they only took 20 minutes in the oven .. thanks</t>
        </is>
      </c>
    </row>
    <row r="2885">
      <c r="A2885" s="7" t="n">
        <v>123060</v>
      </c>
      <c r="B2885" s="7" t="n">
        <v>116327</v>
      </c>
      <c r="C2885" s="7" t="n">
        <v>94142</v>
      </c>
      <c r="D2885" s="7" t="n">
        <v>8757</v>
      </c>
      <c r="E2885" s="8" t="n">
        <v>39800</v>
      </c>
      <c r="F2885" s="7" t="n">
        <v>5</v>
      </c>
      <c r="G2885" s="7" t="inlineStr">
        <is>
          <t>I've never successfully made sugar cookies. I've tried every recipe--finally these worked!  They were perfect, and even my kids could roll them out and cut them without having them just melt and ooze all over the place.  Thanks!</t>
        </is>
      </c>
    </row>
    <row r="2886">
      <c r="A2886" t="n">
        <v>99174</v>
      </c>
      <c r="B2886" t="n">
        <v>144239</v>
      </c>
      <c r="C2886" t="n">
        <v>30534</v>
      </c>
      <c r="D2886" t="n">
        <v>50951</v>
      </c>
      <c r="E2886" s="1" t="n">
        <v>38177</v>
      </c>
      <c r="F2886" t="n">
        <v>5</v>
      </c>
      <c r="G2886" t="inlineStr">
        <is>
          <t>Excellent Polish comfort food! I made the recipe as directed using tri-tip steak, 1/4 tsp pepper and Hungarian sweet paprika. The papriks adds a subtle richness to the dish. We ate it out of soup bowls with crusty rye bread for dipping. Next time I will  brown the beef for even more flavor. Thanks CL - it's a simple pleasure.</t>
        </is>
      </c>
    </row>
    <row r="2887">
      <c r="A2887" s="7" t="n">
        <v>93420</v>
      </c>
      <c r="B2887" s="7" t="n">
        <v>999681</v>
      </c>
      <c r="C2887" s="7" t="n">
        <v>344860</v>
      </c>
      <c r="D2887" s="7" t="n">
        <v>38600</v>
      </c>
      <c r="E2887" s="8" t="n">
        <v>39179</v>
      </c>
      <c r="F2887" s="7" t="n">
        <v>5</v>
      </c>
      <c r="G2887" s="7" t="inlineStr">
        <is>
          <t>I was not impressed with this frosting.  It wasn't fluffy like buttercream usually is.  I didn't think it was lemony enough and I frosted a lemon cake with it and it needed more lemon.  Sorry :(</t>
        </is>
      </c>
    </row>
    <row r="2888">
      <c r="A2888" s="7" t="n">
        <v>10919</v>
      </c>
      <c r="B2888" s="7" t="n">
        <v>1085523</v>
      </c>
      <c r="C2888" s="7" t="n">
        <v>242007</v>
      </c>
      <c r="D2888" s="7" t="n">
        <v>397218</v>
      </c>
      <c r="E2888" s="8" t="n">
        <v>40274</v>
      </c>
      <c r="F2888" s="7" t="n">
        <v>5</v>
      </c>
      <c r="G2888" s="7" t="inlineStr">
        <is>
          <t>Delicious!  Came out perfect. I have to try this as a no knead bread--I think it would be even better.</t>
        </is>
      </c>
    </row>
    <row r="2889">
      <c r="A2889" s="7" t="n">
        <v>22405</v>
      </c>
      <c r="B2889" s="7" t="n">
        <v>180381</v>
      </c>
      <c r="C2889" s="7" t="n">
        <v>424680</v>
      </c>
      <c r="D2889" s="7" t="n">
        <v>321957</v>
      </c>
      <c r="E2889" s="8" t="n">
        <v>39741</v>
      </c>
      <c r="F2889" s="7" t="n">
        <v>5</v>
      </c>
      <c r="G2889" s="7" t="inlineStr">
        <is>
          <t>Made these according to the recipe &amp; used a homemade pasta sauce that I always have on hand! Have been looking for another great vegetable lasagna recipe that my son &amp; DIL might like, &amp; I think this one will do just fine the next time they are over for dinner! Definitely a keeper of a recipe! [Tagged, made &amp; reviewed for one of my adoptees in the current Pick-A-Chef]</t>
        </is>
      </c>
    </row>
    <row r="2890">
      <c r="A2890" s="7" t="n">
        <v>20725</v>
      </c>
      <c r="B2890" s="7" t="n">
        <v>979582</v>
      </c>
      <c r="C2890" s="7" t="n">
        <v>204628</v>
      </c>
      <c r="D2890" s="7" t="n">
        <v>376934</v>
      </c>
      <c r="E2890" s="8" t="n">
        <v>40113</v>
      </c>
      <c r="F2890" s="7" t="n">
        <v>4</v>
      </c>
      <c r="G2890" s="7" t="inlineStr">
        <is>
          <t>Real comfort food! Just a thought for those of you making this lovely snack.  It's also very good if you spread the toast with some cheese spread, or a slice of processed cheese.  You can also sprinkle on some grated cheese before you spoon on the beans. Always under the beans so the cheese goes nice and gooey!</t>
        </is>
      </c>
    </row>
    <row r="2891">
      <c r="A2891" s="7" t="n">
        <v>32860</v>
      </c>
      <c r="B2891" s="7" t="n">
        <v>242567</v>
      </c>
      <c r="C2891" s="7" t="n">
        <v>592426</v>
      </c>
      <c r="D2891" s="7" t="n">
        <v>107097</v>
      </c>
      <c r="E2891" s="8" t="n">
        <v>39344</v>
      </c>
      <c r="F2891" s="7" t="n">
        <v>4</v>
      </c>
      <c r="G2891" s="7" t="inlineStr">
        <is>
          <t>I liked it a lot and so did my family, BUT I am one for a lot of flavor and the gravy was BLAND so I think I will try to make my gravy with spicy sausage to give it a kick.  But other than that it was delightful!  :) and the dish was easy to make.... Thank you!</t>
        </is>
      </c>
    </row>
    <row r="2892">
      <c r="A2892" s="7" t="n">
        <v>62751</v>
      </c>
      <c r="B2892" s="7" t="n">
        <v>123599</v>
      </c>
      <c r="C2892" s="7" t="n">
        <v>178427</v>
      </c>
      <c r="D2892" s="7" t="n">
        <v>320163</v>
      </c>
      <c r="E2892" s="8" t="n">
        <v>41127</v>
      </c>
      <c r="F2892" s="7" t="n">
        <v>5</v>
      </c>
      <c r="G2892" s="7" t="inlineStr">
        <is>
          <t>I made this for the gluten free challenge (Australia 2012). I used chicken breasts and gluten free soy sauce. I marinated it overnight then grilled on the gas barbie. Delicious, tender and great flavors. Thanks for sharing. Made for ZWT 8- Australia/New Zealand.</t>
        </is>
      </c>
    </row>
    <row r="2893">
      <c r="A2893" s="7" t="n">
        <v>74973</v>
      </c>
      <c r="B2893" s="7" t="n">
        <v>1013266</v>
      </c>
      <c r="C2893" s="7" t="n">
        <v>136033</v>
      </c>
      <c r="D2893" s="7" t="n">
        <v>31003</v>
      </c>
      <c r="E2893" s="8" t="n">
        <v>38267</v>
      </c>
      <c r="F2893" s="7" t="n">
        <v>5</v>
      </c>
      <c r="G2893" s="7" t="inlineStr">
        <is>
          <t xml:space="preserve">Very nice!  I skewered them on some shish-ka-bobs, and fried them in my electric fry pan.  YUMM! (they were good even when they were cooled off a bit). </t>
        </is>
      </c>
    </row>
    <row r="2894">
      <c r="A2894" s="7" t="n">
        <v>103411</v>
      </c>
      <c r="B2894" s="7" t="n">
        <v>736676</v>
      </c>
      <c r="C2894" s="7" t="n">
        <v>2827637</v>
      </c>
      <c r="D2894" s="7" t="n">
        <v>99918</v>
      </c>
      <c r="E2894" s="8" t="n">
        <v>41409</v>
      </c>
      <c r="F2894" s="7" t="n">
        <v>5</v>
      </c>
      <c r="G2894" s="7" t="inlineStr">
        <is>
          <t>This pasta was delicious... I did it exactly as it said.. except found a bag of fresh stir fry veggies instead of frozen... I thought the sauce is not enough and i ended making the sauce twice.. this time adding more chili sauce.. it was not spicy at all.. would do again.. with double the sauce...</t>
        </is>
      </c>
    </row>
    <row r="2895">
      <c r="A2895" s="7" t="n">
        <v>58250</v>
      </c>
      <c r="B2895" s="7" t="n">
        <v>246155</v>
      </c>
      <c r="C2895" s="7" t="n">
        <v>2001083680</v>
      </c>
      <c r="D2895" s="7" t="n">
        <v>129063</v>
      </c>
      <c r="E2895" s="8" t="n">
        <v>42561</v>
      </c>
      <c r="F2895" s="7" t="n">
        <v>0</v>
      </c>
      <c r="G2895" s="7" t="inlineStr">
        <is>
          <t>I am a lover of vinegar cole slaw and am on a serious (Atkins phase 1) low-carb diet. I made a DOUBLE BATCH of this by shredding a small cabbage and a head of anise. I used 3 coffee-type packets of Splenda, so that works out to a packet and a half for the recipe as written. I used wine vinegar. I also added a little celery seed. Absolutely wonderful. Using the anise is a fave of mine, but it is not necessary by any means.</t>
        </is>
      </c>
    </row>
    <row r="2896">
      <c r="A2896" s="7" t="n">
        <v>54007</v>
      </c>
      <c r="B2896" s="7" t="n">
        <v>290979</v>
      </c>
      <c r="C2896" s="7" t="n">
        <v>530220</v>
      </c>
      <c r="D2896" s="7" t="n">
        <v>21999</v>
      </c>
      <c r="E2896" s="8" t="n">
        <v>39528</v>
      </c>
      <c r="F2896" s="7" t="n">
        <v>0</v>
      </c>
      <c r="G2896" s="7" t="inlineStr">
        <is>
          <t>We just had this Good Friday (Easter) dinner and it was very nice... I used hoki fillets instead of sole, and mixed 2 teas of sweet chille sauce and 4 tab lime juice to pour over fish instead of the lemon juice... I will try lemon next time... I also left out the swiss cheese to reduce the fat and diary content.... and added 1/2 teas paprika as mentioned on another review... Will certainly make it again... We all loved it with rice and green vegetalbes...</t>
        </is>
      </c>
    </row>
    <row r="2897">
      <c r="A2897" s="7" t="n">
        <v>79261</v>
      </c>
      <c r="B2897" s="7" t="n">
        <v>660620</v>
      </c>
      <c r="C2897" s="7" t="n">
        <v>1744280</v>
      </c>
      <c r="D2897" s="7" t="n">
        <v>214051</v>
      </c>
      <c r="E2897" s="8" t="n">
        <v>40508</v>
      </c>
      <c r="F2897" s="7" t="n">
        <v>5</v>
      </c>
      <c r="G2897" s="7" t="inlineStr">
        <is>
          <t>Wonderful recipe.  I did double the spices in the scone recipe itself and I only used the spicy glaze.  I will make these again!!  Very yummy, great texture and simple to whip together.</t>
        </is>
      </c>
    </row>
    <row r="2898">
      <c r="A2898" s="7" t="n">
        <v>38209</v>
      </c>
      <c r="B2898" s="7" t="n">
        <v>772589</v>
      </c>
      <c r="C2898" s="7" t="n">
        <v>182010</v>
      </c>
      <c r="D2898" s="7" t="n">
        <v>135339</v>
      </c>
      <c r="E2898" s="8" t="n">
        <v>38601</v>
      </c>
      <c r="F2898" s="7" t="n">
        <v>5</v>
      </c>
      <c r="G2898" s="7" t="inlineStr">
        <is>
          <t>Fantastic combination--the pepper is crucial.  Served some of it with thin slices of cucumber for scooping it up like a dip or salsa. Served the rest with some watercress and endive--beautiful pale to dark green colors with the black flecks of pepper--and so tasty and palate cleansing.  Thanks, Lori!</t>
        </is>
      </c>
    </row>
    <row r="2899" ht="390" customHeight="1">
      <c r="A2899" s="7" t="n">
        <v>41912</v>
      </c>
      <c r="B2899" s="7" t="n">
        <v>33029</v>
      </c>
      <c r="C2899" s="7" t="n">
        <v>60231</v>
      </c>
      <c r="D2899" s="7" t="n">
        <v>60287</v>
      </c>
      <c r="E2899" s="8" t="n">
        <v>38795</v>
      </c>
      <c r="F2899" s="7" t="n">
        <v>5</v>
      </c>
      <c r="G2899" s="9" t="inlineStr">
        <is>
          <t xml:space="preserve">We all liked the cake - especially the icing! - but I think next time I'll try it with a lemon cake mix. I used yellow, and it wasn't quite lemony enough for our tastes._x000D_
Thanks!_x000D_
</t>
        </is>
      </c>
    </row>
    <row r="2900">
      <c r="A2900" s="7" t="n">
        <v>58545</v>
      </c>
      <c r="B2900" s="7" t="n">
        <v>36462</v>
      </c>
      <c r="C2900" s="7" t="n">
        <v>36690</v>
      </c>
      <c r="D2900" s="7" t="n">
        <v>57763</v>
      </c>
      <c r="E2900" s="8" t="n">
        <v>38283</v>
      </c>
      <c r="F2900" s="7" t="n">
        <v>3</v>
      </c>
      <c r="G2900" s="7" t="inlineStr">
        <is>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is>
      </c>
    </row>
    <row r="2901" ht="225" customHeight="1">
      <c r="A2901" s="7" t="n">
        <v>78566</v>
      </c>
      <c r="B2901" s="7" t="n">
        <v>1075615</v>
      </c>
      <c r="C2901" s="7" t="n">
        <v>354019</v>
      </c>
      <c r="D2901" s="7" t="n">
        <v>28000</v>
      </c>
      <c r="E2901" s="8" t="n">
        <v>39166</v>
      </c>
      <c r="F2901" s="7" t="n">
        <v>4</v>
      </c>
      <c r="G2901" s="9" t="inlineStr">
        <is>
          <t>This was delicious!  I've also made a 2nd one using orange cake mix, and it was gone in an hour!_x000D_
thanks again.</t>
        </is>
      </c>
    </row>
    <row r="2902">
      <c r="A2902" s="7" t="n">
        <v>34309</v>
      </c>
      <c r="B2902" s="7" t="n">
        <v>238049</v>
      </c>
      <c r="C2902" s="7" t="n">
        <v>55690</v>
      </c>
      <c r="D2902" s="7" t="n">
        <v>25066</v>
      </c>
      <c r="E2902" s="8" t="n">
        <v>40060</v>
      </c>
      <c r="F2902" s="7" t="n">
        <v>5</v>
      </c>
      <c r="G2902" s="7" t="inlineStr">
        <is>
          <t>This was delicious.  I took a friend's advice and put the pecans and the brown sugar (with a tad of butter) in the over to caramelize, and then added that to my salad.  I like it better that way.</t>
        </is>
      </c>
    </row>
    <row r="2903">
      <c r="A2903" s="7" t="n">
        <v>67470</v>
      </c>
      <c r="B2903" s="7" t="n">
        <v>580265</v>
      </c>
      <c r="C2903" s="7" t="n">
        <v>45638037</v>
      </c>
      <c r="D2903" s="7" t="n">
        <v>45069</v>
      </c>
      <c r="E2903" s="8" t="n">
        <v>41686</v>
      </c>
      <c r="F2903" s="7" t="n">
        <v>5</v>
      </c>
      <c r="G2903" s="7" t="inlineStr">
        <is>
          <t>So Good! Made this for the husband and I, and didn&amp;#039;t change a thing! It was so good, even the left overs! Will be making it again soon! Thanks for the recipe! * We Did top it with sour cream and mild shredded cheddar cheese.</t>
        </is>
      </c>
    </row>
    <row r="2904">
      <c r="A2904" s="7" t="n">
        <v>82885</v>
      </c>
      <c r="B2904" s="7" t="n">
        <v>394119</v>
      </c>
      <c r="C2904" s="7" t="n">
        <v>131674</v>
      </c>
      <c r="D2904" s="7" t="n">
        <v>217210</v>
      </c>
      <c r="E2904" s="8" t="n">
        <v>39555</v>
      </c>
      <c r="F2904" s="7" t="n">
        <v>5</v>
      </c>
      <c r="G2904" s="7" t="inlineStr">
        <is>
          <t>My boys (and I) loved this simple recipe.  I used my own tomato sauce and this made a quick and easy supper.  I added a little extra cream and served it over some tri-color noodles.  Made for 1-2-3 Wonders.</t>
        </is>
      </c>
    </row>
    <row r="2905">
      <c r="A2905" s="7" t="n">
        <v>82662</v>
      </c>
      <c r="B2905" s="7" t="n">
        <v>344076</v>
      </c>
      <c r="C2905" s="7" t="n">
        <v>226321</v>
      </c>
      <c r="D2905" s="7" t="n">
        <v>24143</v>
      </c>
      <c r="E2905" s="8" t="n">
        <v>38544</v>
      </c>
      <c r="F2905" s="7" t="n">
        <v>0</v>
      </c>
      <c r="G2905" s="7" t="inlineStr">
        <is>
          <t>I just saw this recipe on the Betty Crocker site. looks really cute-I think I'll try it.</t>
        </is>
      </c>
    </row>
    <row r="2906">
      <c r="A2906" s="7" t="n">
        <v>36338</v>
      </c>
      <c r="B2906" s="7" t="n">
        <v>243003</v>
      </c>
      <c r="C2906" s="7" t="n">
        <v>272313</v>
      </c>
      <c r="D2906" s="7" t="n">
        <v>26656</v>
      </c>
      <c r="E2906" s="8" t="n">
        <v>38698</v>
      </c>
      <c r="F2906" s="7" t="n">
        <v>5</v>
      </c>
      <c r="G2906" s="7" t="inlineStr">
        <is>
          <t>Really great and soooo easy!  My eight-year-old son had to be told they were all gone after he had three of them.  Only change I made was to flour them before frying.  Great with a sauce but even better without one.</t>
        </is>
      </c>
    </row>
    <row r="2907">
      <c r="A2907" s="7" t="n">
        <v>106435</v>
      </c>
      <c r="B2907" s="7" t="n">
        <v>8896</v>
      </c>
      <c r="C2907" s="7" t="n">
        <v>125280</v>
      </c>
      <c r="D2907" s="7" t="n">
        <v>67113</v>
      </c>
      <c r="E2907" s="8" t="n">
        <v>38381</v>
      </c>
      <c r="F2907" s="7" t="n">
        <v>3</v>
      </c>
      <c r="G2907" s="7" t="inlineStr">
        <is>
          <t>I guess since travelling to maine every summer and having their crab rolls, which are outstanding... this was just a bit too lemony for me and DH. I'd decrease the lemon next time, but overall it was an o-k-a-y crab roll.</t>
        </is>
      </c>
    </row>
    <row r="2908">
      <c r="A2908" s="7" t="n">
        <v>103589</v>
      </c>
      <c r="B2908" s="7" t="n">
        <v>567189</v>
      </c>
      <c r="C2908" s="7" t="n">
        <v>424680</v>
      </c>
      <c r="D2908" s="7" t="n">
        <v>335904</v>
      </c>
      <c r="E2908" s="8" t="n">
        <v>39867</v>
      </c>
      <c r="F2908" s="7" t="n">
        <v>5</v>
      </c>
      <c r="G2908" s="7" t="inlineStr">
        <is>
          <t>It's interesting how various people look at cranberries ~ Now I NEVER think of them as leftovers &amp; always have them on hand, whether as in-season fresh, after-season frozen, the dried variety or the canned whole berry cranberry sauce! Anyway, pairing them with white chocolate in this keeper of a recipe made for A WONDERFUL TASTE TREAT! This time around I used a very generous amount of dried berries (probably half again as much as indicated in the recipe) &amp; the muffins were great! And, I look forward to making this using fresh cranberries! Thank you so much for sharing the recipe! [Tagged, made &amp; reviewed in Potluck Tag]</t>
        </is>
      </c>
    </row>
    <row r="2909">
      <c r="A2909" s="7" t="n">
        <v>30413</v>
      </c>
      <c r="B2909" s="7" t="n">
        <v>979622</v>
      </c>
      <c r="C2909" s="7" t="n">
        <v>736554</v>
      </c>
      <c r="D2909" s="7" t="n">
        <v>190516</v>
      </c>
      <c r="E2909" s="8" t="n">
        <v>39683</v>
      </c>
      <c r="F2909" s="7" t="n">
        <v>5</v>
      </c>
      <c r="G2909" s="7" t="inlineStr">
        <is>
          <t>Very nice cookie.  I was getting read to post and glad that you have all ready done so.   I did not have whole wheat flour so I used 1 1/2 cups of all purpose flour and used I cup chocolate chips in place of the chunks.  I also used my hand mixer.  Thanks LilyZackMom.</t>
        </is>
      </c>
    </row>
    <row r="2910" ht="315" customHeight="1">
      <c r="A2910" s="7" t="n">
        <v>96024</v>
      </c>
      <c r="B2910" s="7" t="n">
        <v>531348</v>
      </c>
      <c r="C2910" s="7" t="n">
        <v>257949</v>
      </c>
      <c r="D2910" s="7" t="n">
        <v>18849</v>
      </c>
      <c r="E2910" s="8" t="n">
        <v>39435</v>
      </c>
      <c r="F2910" s="7" t="n">
        <v>2</v>
      </c>
      <c r="G2910" s="9" t="inlineStr">
        <is>
          <t>I haven't tried making this yet, but I was wondering..I'm not a big fan of Meringue, so can you just spread a dollop of cool whip on it instead?
Would it still taste good?</t>
        </is>
      </c>
    </row>
    <row r="2911">
      <c r="A2911" s="7" t="n">
        <v>114484</v>
      </c>
      <c r="B2911" s="7" t="n">
        <v>41350</v>
      </c>
      <c r="C2911" s="7" t="n">
        <v>325654</v>
      </c>
      <c r="D2911" s="7" t="n">
        <v>19823</v>
      </c>
      <c r="E2911" s="8" t="n">
        <v>39309</v>
      </c>
      <c r="F2911" s="7" t="n">
        <v>4</v>
      </c>
      <c r="G2911" s="7" t="inlineStr">
        <is>
          <t>This recipe is great! Even a veggie can do it! I made this for my meat eating boyfriend and he loved it. I did find that the sauce came out a little thin, so I added some flour and volia, looked just like the picture. I now have permission to cook any kind of meat for my boyfriend. Speaking of which, do you have any good recipes for outside round?! (whatever that means!!!) Thanks, this ones a keeper</t>
        </is>
      </c>
    </row>
    <row r="2912">
      <c r="A2912" s="7" t="n">
        <v>49064</v>
      </c>
      <c r="B2912" s="7" t="n">
        <v>593447</v>
      </c>
      <c r="C2912" s="7" t="n">
        <v>144138</v>
      </c>
      <c r="D2912" s="7" t="n">
        <v>271985</v>
      </c>
      <c r="E2912" s="8" t="n">
        <v>39439</v>
      </c>
      <c r="F2912" s="7" t="n">
        <v>5</v>
      </c>
      <c r="G2912" s="7" t="inlineStr">
        <is>
          <t>Have been making this recipe for fudge about 10 years - it is very easy and everyone enjoys,  I thought the recipe had been misplaced and was searching for it and was saved by recipe zaar.</t>
        </is>
      </c>
    </row>
    <row r="2913">
      <c r="A2913" s="7" t="n">
        <v>113510</v>
      </c>
      <c r="B2913" s="7" t="n">
        <v>1022849</v>
      </c>
      <c r="C2913" s="7" t="n">
        <v>100246</v>
      </c>
      <c r="D2913" s="7" t="n">
        <v>39317</v>
      </c>
      <c r="E2913" s="8" t="n">
        <v>37878</v>
      </c>
      <c r="F2913" s="7" t="n">
        <v>4</v>
      </c>
      <c r="G2913" s="7" t="inlineStr">
        <is>
          <t>My husband loved this recipe and so did I.  Only our toddler preferred the plain green beans.  The recipe doesn't say, but I drained the fat off after sauting the onions.</t>
        </is>
      </c>
    </row>
    <row r="2914">
      <c r="A2914" s="7" t="n">
        <v>73185</v>
      </c>
      <c r="B2914" s="7" t="n">
        <v>656770</v>
      </c>
      <c r="C2914" s="7" t="n">
        <v>443447</v>
      </c>
      <c r="D2914" s="7" t="n">
        <v>27208</v>
      </c>
      <c r="E2914" s="8" t="n">
        <v>39621</v>
      </c>
      <c r="F2914" s="7" t="n">
        <v>5</v>
      </c>
      <c r="G2914" s="7" t="inlineStr">
        <is>
          <t>To call this "to die for" describes it perfectly!!  This roast is far beyond a 5 star rating.  It will be my roast recipe from now on.  My family couldn't stop talking about it.  Thanks for a great recipe.</t>
        </is>
      </c>
    </row>
    <row r="2915">
      <c r="A2915" s="7" t="n">
        <v>45933</v>
      </c>
      <c r="B2915" s="7" t="n">
        <v>589736</v>
      </c>
      <c r="C2915" s="7" t="n">
        <v>1086570</v>
      </c>
      <c r="D2915" s="7" t="n">
        <v>407261</v>
      </c>
      <c r="E2915" s="8" t="n">
        <v>40216</v>
      </c>
      <c r="F2915" s="7" t="n">
        <v>3</v>
      </c>
      <c r="G2915" s="7" t="inlineStr">
        <is>
          <t>Good but not anywhere near great. Would not try this again</t>
        </is>
      </c>
    </row>
    <row r="2916">
      <c r="A2916" s="7" t="n">
        <v>71130</v>
      </c>
      <c r="B2916" s="7" t="n">
        <v>741934</v>
      </c>
      <c r="C2916" s="7" t="n">
        <v>162826</v>
      </c>
      <c r="D2916" s="7" t="n">
        <v>286635</v>
      </c>
      <c r="E2916" s="8" t="n">
        <v>40306</v>
      </c>
      <c r="F2916" s="7" t="n">
        <v>5</v>
      </c>
      <c r="G2916" s="7" t="inlineStr">
        <is>
          <t>WOW! Who knew? This is a fast, tasty and different parfait. I used some orange marmalade for the grape and crunch PB, so sprinkled the top with chopped peanuts. What a treat! Made for Strawberry Fair in the French Forum.</t>
        </is>
      </c>
    </row>
    <row r="2917">
      <c r="A2917" s="7" t="n">
        <v>115013</v>
      </c>
      <c r="B2917" s="7" t="n">
        <v>1004312</v>
      </c>
      <c r="C2917" s="7" t="n">
        <v>28649</v>
      </c>
      <c r="D2917" s="7" t="n">
        <v>154356</v>
      </c>
      <c r="E2917" s="8" t="n">
        <v>40230</v>
      </c>
      <c r="F2917" s="7" t="n">
        <v>5</v>
      </c>
      <c r="G2917" s="7" t="inlineStr">
        <is>
          <t>This was a great way to make chicken.  It was simple and tasted great too.  I put it on low for 8 hours since I was at work all day and the chicken was very tender by the time I got home.  This is something I will make again.  Thanks for posting.</t>
        </is>
      </c>
    </row>
    <row r="2918">
      <c r="A2918" s="7" t="n">
        <v>61095</v>
      </c>
      <c r="B2918" s="7" t="n">
        <v>92352</v>
      </c>
      <c r="C2918" s="7" t="n">
        <v>57765</v>
      </c>
      <c r="D2918" s="7" t="n">
        <v>36537</v>
      </c>
      <c r="E2918" s="8" t="n">
        <v>37554</v>
      </c>
      <c r="F2918" s="7" t="n">
        <v>4</v>
      </c>
      <c r="G2918" s="7" t="inlineStr">
        <is>
          <t>This recipe smells wonderful while cooking!  We didn't like or dislike it - something pretty neutral.</t>
        </is>
      </c>
    </row>
    <row r="2919">
      <c r="A2919" s="7" t="n">
        <v>97963</v>
      </c>
      <c r="B2919" s="7" t="n">
        <v>1098808</v>
      </c>
      <c r="C2919" s="7" t="n">
        <v>995278</v>
      </c>
      <c r="D2919" s="7" t="n">
        <v>74275</v>
      </c>
      <c r="E2919" s="8" t="n">
        <v>39740</v>
      </c>
      <c r="F2919" s="7" t="n">
        <v>5</v>
      </c>
      <c r="G2919" s="7" t="inlineStr">
        <is>
          <t>This is really easy and wonderful! I used half and half in mine. I also added 4 chicken boullion and  2 onion boullion cubes instead of onion. So quick, easy and yummy!</t>
        </is>
      </c>
    </row>
    <row r="2920">
      <c r="A2920" s="7" t="n">
        <v>48209</v>
      </c>
      <c r="B2920" s="7" t="n">
        <v>503691</v>
      </c>
      <c r="C2920" s="7" t="n">
        <v>324621</v>
      </c>
      <c r="D2920" s="7" t="n">
        <v>213876</v>
      </c>
      <c r="E2920" s="8" t="n">
        <v>39741</v>
      </c>
      <c r="F2920" s="7" t="n">
        <v>4</v>
      </c>
      <c r="G2920" s="7" t="inlineStr">
        <is>
          <t>These were pretty good. A bit on the dry side, which I suppose it to be expected with the lack of any oil. I didn't have any zucchini on hand so I substituted carrot. These were very good with a little Smart Balance on them. My kids liked them and so did I. We had them for dinner along with a bit of cheese, yogurt and some fruit. Thanks for a simple weeknight dinner!</t>
        </is>
      </c>
    </row>
    <row r="2921">
      <c r="A2921" s="7" t="n">
        <v>92307</v>
      </c>
      <c r="B2921" s="7" t="n">
        <v>1084733</v>
      </c>
      <c r="C2921" s="7" t="n">
        <v>1140690</v>
      </c>
      <c r="D2921" s="7" t="n">
        <v>318129</v>
      </c>
      <c r="E2921" s="8" t="n">
        <v>39836</v>
      </c>
      <c r="F2921" s="7" t="n">
        <v>5</v>
      </c>
      <c r="G2921" s="7" t="inlineStr">
        <is>
          <t>Wonderful, I didn't change a thing! Thank you for sharing!</t>
        </is>
      </c>
    </row>
    <row r="2922">
      <c r="A2922" s="7" t="n">
        <v>59503</v>
      </c>
      <c r="B2922" s="7" t="n">
        <v>386135</v>
      </c>
      <c r="C2922" s="7" t="n">
        <v>2002140526</v>
      </c>
      <c r="D2922" s="7" t="n">
        <v>165500</v>
      </c>
      <c r="E2922" s="8" t="n">
        <v>43224</v>
      </c>
      <c r="F2922" s="7" t="n">
        <v>5</v>
      </c>
      <c r="G2922" s="7" t="inlineStr">
        <is>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is>
      </c>
    </row>
    <row r="2923">
      <c r="A2923" s="7" t="n">
        <v>31403</v>
      </c>
      <c r="B2923" s="7" t="n">
        <v>588410</v>
      </c>
      <c r="C2923" s="7" t="n">
        <v>465056</v>
      </c>
      <c r="D2923" s="7" t="n">
        <v>226062</v>
      </c>
      <c r="E2923" s="8" t="n">
        <v>39315</v>
      </c>
      <c r="F2923" s="7" t="n">
        <v>5</v>
      </c>
      <c r="G2923" s="7" t="inlineStr">
        <is>
          <t>Excellant!  I added a bit more red pepper and more garlic.  It was worth heating the oven up for.</t>
        </is>
      </c>
    </row>
    <row r="2924">
      <c r="A2924" s="7" t="n">
        <v>6617</v>
      </c>
      <c r="B2924" s="7" t="n">
        <v>675278</v>
      </c>
      <c r="C2924" s="7" t="n">
        <v>424680</v>
      </c>
      <c r="D2924" s="7" t="n">
        <v>180001</v>
      </c>
      <c r="E2924" s="8" t="n">
        <v>39660</v>
      </c>
      <c r="F2924" s="7" t="n">
        <v>5</v>
      </c>
      <c r="G2924" s="7" t="inlineStr">
        <is>
          <t>FINALLY got through the entire pickling process &amp; can tell you, without reservations, that THESE SWEET CUCKS ARE OUTSTANDING! Unfortunately I made just half a recipe, &amp; now I have neighbors &amp; friends who would love to have some of them! Definitely want to do these again, sometime, &amp; when I do, I'll be including some cauliflower as well! Thanks so much for sharing the recipe! [Tagged, made &amp; reviewed in Zaar Chef Alphabet Soup cooking game]</t>
        </is>
      </c>
    </row>
    <row r="2925">
      <c r="A2925" s="7" t="n">
        <v>96499</v>
      </c>
      <c r="B2925" s="7" t="n">
        <v>448644</v>
      </c>
      <c r="C2925" s="7" t="n">
        <v>18391</v>
      </c>
      <c r="D2925" s="7" t="n">
        <v>10780</v>
      </c>
      <c r="E2925" s="8" t="n">
        <v>38161</v>
      </c>
      <c r="F2925" s="7" t="n">
        <v>4</v>
      </c>
      <c r="G2925" s="7" t="inlineStr">
        <is>
          <t>This is a pretty nice recipe .. I will use less oil next time .. thanks</t>
        </is>
      </c>
    </row>
    <row r="2926">
      <c r="A2926" s="7" t="n">
        <v>69998</v>
      </c>
      <c r="B2926" s="7" t="n">
        <v>481116</v>
      </c>
      <c r="C2926" s="7" t="n">
        <v>288146</v>
      </c>
      <c r="D2926" s="7" t="n">
        <v>239420</v>
      </c>
      <c r="E2926" s="8" t="n">
        <v>39508</v>
      </c>
      <c r="F2926" s="7" t="n">
        <v>5</v>
      </c>
      <c r="G2926" s="7" t="inlineStr">
        <is>
          <t>Delicious!  We really loved these and will definitely make again.  I had some difficulty finding the kiwi where I live but was finally able to track one down.  These would also make a great appetizer.  Thanks for the great recipe Marra!</t>
        </is>
      </c>
    </row>
    <row r="2927">
      <c r="A2927" s="7" t="n">
        <v>34187</v>
      </c>
      <c r="B2927" s="7" t="n">
        <v>266344</v>
      </c>
      <c r="C2927" s="7" t="n">
        <v>2001974930</v>
      </c>
      <c r="D2927" s="7" t="n">
        <v>107786</v>
      </c>
      <c r="E2927" s="8" t="n">
        <v>43136</v>
      </c>
      <c r="F2927" s="7" t="n">
        <v>5</v>
      </c>
      <c r="G2927" s="7" t="inlineStr">
        <is>
          <t>These ribs came out fantastic! I will definitely make this again, next time I'll try the salt suggested in the recipe, I used plain salt. The meat fell off the bone...so good!</t>
        </is>
      </c>
    </row>
    <row r="2928">
      <c r="A2928" s="7" t="n">
        <v>63332</v>
      </c>
      <c r="B2928" s="7" t="n">
        <v>161641</v>
      </c>
      <c r="C2928" s="7" t="n">
        <v>416985</v>
      </c>
      <c r="D2928" s="7" t="n">
        <v>222225</v>
      </c>
      <c r="E2928" s="8" t="n">
        <v>39959</v>
      </c>
      <c r="F2928" s="7" t="n">
        <v>4</v>
      </c>
      <c r="G2928" s="7" t="inlineStr">
        <is>
          <t>We had different reviews on this dish- mainly because my fiance didn't like the lime. If the lime was replaced with something else- like lemon or cranberry- it wouldn't have a "little" tart taste. On the other hand- I really enjoyed this. I had to use tenderloins as I was out of breasts but they came out SO TENDER.Thanks! Made for ZWT5 for The Groovy Gastrognomes.</t>
        </is>
      </c>
    </row>
    <row r="2929">
      <c r="A2929" s="7" t="n">
        <v>33705</v>
      </c>
      <c r="B2929" s="7" t="n">
        <v>312240</v>
      </c>
      <c r="C2929" s="7" t="n">
        <v>296027</v>
      </c>
      <c r="D2929" s="7" t="n">
        <v>224795</v>
      </c>
      <c r="E2929" s="8" t="n">
        <v>39226</v>
      </c>
      <c r="F2929" s="7" t="n">
        <v>5</v>
      </c>
      <c r="G2929" s="7" t="inlineStr">
        <is>
          <t>My kids LOVED these smoothies and I also thought it was super tasty!  I used 1-6oz container of Tillamook Vanilla yogurt, 1-6oz can of Dole pineapple juice and the fruit cocktail in natural juices.  VERY nice!!</t>
        </is>
      </c>
    </row>
    <row r="2930">
      <c r="A2930" s="7" t="n">
        <v>4189</v>
      </c>
      <c r="B2930" s="7" t="n">
        <v>305600</v>
      </c>
      <c r="C2930" s="7" t="n">
        <v>115523</v>
      </c>
      <c r="D2930" s="7" t="n">
        <v>31062</v>
      </c>
      <c r="E2930" s="8" t="n">
        <v>38783</v>
      </c>
      <c r="F2930" s="7" t="n">
        <v>5</v>
      </c>
      <c r="G2930" s="7" t="inlineStr">
        <is>
          <t>This was my first attempt at prime rib and it turned out great!  We thought the salt was crazy, but there were enough good comments that we did it.  I think I got the salt a bit too wet and you'll want to avoid doing that.  Enough of it stuck to the roast to do the job.  Mine was just over 6 lbs and took just over 2 hours.  Fabulous!</t>
        </is>
      </c>
    </row>
    <row r="2931">
      <c r="A2931" s="7" t="n">
        <v>27130</v>
      </c>
      <c r="B2931" s="7" t="n">
        <v>5204</v>
      </c>
      <c r="C2931" s="7" t="n">
        <v>259150</v>
      </c>
      <c r="D2931" s="7" t="n">
        <v>273976</v>
      </c>
      <c r="E2931" s="8" t="n">
        <v>39689</v>
      </c>
      <c r="F2931" s="7" t="n">
        <v>3</v>
      </c>
      <c r="G2931" s="7" t="inlineStr">
        <is>
          <t>Oh Marra, I so wanted to love this sauce.  I have only lived in 3 states and I have to say that the corner pizza store in each of these states has the same TOO sweet sauce that they use for all of their pasta recipes.  I like this sauce.  It did not taste bad. But I would not use it in any of my recipes that require a tomato sauce.</t>
        </is>
      </c>
    </row>
    <row r="2932">
      <c r="A2932" s="7" t="n">
        <v>52824</v>
      </c>
      <c r="B2932" s="7" t="n">
        <v>31335</v>
      </c>
      <c r="C2932" s="7" t="n">
        <v>945847</v>
      </c>
      <c r="D2932" s="7" t="n">
        <v>8596</v>
      </c>
      <c r="E2932" s="8" t="n">
        <v>39735</v>
      </c>
      <c r="F2932" s="7" t="n">
        <v>5</v>
      </c>
      <c r="G2932" s="7" t="inlineStr">
        <is>
          <t>This recipe brought the Olive Garden to our home.....great recipie!</t>
        </is>
      </c>
    </row>
    <row r="2933">
      <c r="A2933" s="7" t="n">
        <v>21150</v>
      </c>
      <c r="B2933" s="7" t="n">
        <v>518457</v>
      </c>
      <c r="C2933" s="7" t="n">
        <v>1072593</v>
      </c>
      <c r="D2933" s="7" t="n">
        <v>131295</v>
      </c>
      <c r="E2933" s="8" t="n">
        <v>40874</v>
      </c>
      <c r="F2933" s="7" t="n">
        <v>5</v>
      </c>
      <c r="G2933" s="7" t="inlineStr">
        <is>
          <t>Sizzlin' hot!  Now show me your photo collection of sexy men.</t>
        </is>
      </c>
    </row>
    <row r="2934">
      <c r="A2934" s="7" t="n">
        <v>75501</v>
      </c>
      <c r="B2934" s="7" t="n">
        <v>1130093</v>
      </c>
      <c r="C2934" s="7" t="n">
        <v>763515</v>
      </c>
      <c r="D2934" s="7" t="n">
        <v>137575</v>
      </c>
      <c r="E2934" s="8" t="n">
        <v>40139</v>
      </c>
      <c r="F2934" s="7" t="n">
        <v>2</v>
      </c>
      <c r="G2934" s="7" t="inlineStr">
        <is>
          <t>Mine were pretty bland and didn't hold together very well making a mess when trying to fry...  I would add some salt, dill, parsley and maybe more cornmeal or breadcrumbs on the outside so it holds together.</t>
        </is>
      </c>
    </row>
    <row r="2935">
      <c r="A2935" s="7" t="n">
        <v>11494</v>
      </c>
      <c r="B2935" s="7" t="n">
        <v>678878</v>
      </c>
      <c r="C2935" s="7" t="n">
        <v>95743</v>
      </c>
      <c r="D2935" s="7" t="n">
        <v>95842</v>
      </c>
      <c r="E2935" s="8" t="n">
        <v>38206</v>
      </c>
      <c r="F2935" s="7" t="n">
        <v>5</v>
      </c>
      <c r="G2935" s="7" t="inlineStr">
        <is>
          <t>Packed with interesting flavors and absolutely delicious.  Definitely worth the slight bit of effort needed to put together. I used fat free versions of everything and the dish was still rich tasting and satisfying.</t>
        </is>
      </c>
    </row>
    <row r="2936">
      <c r="A2936" s="7" t="n">
        <v>25191</v>
      </c>
      <c r="B2936" s="7" t="n">
        <v>589261</v>
      </c>
      <c r="C2936" s="7" t="n">
        <v>1314168</v>
      </c>
      <c r="D2936" s="7" t="n">
        <v>49232</v>
      </c>
      <c r="E2936" s="8" t="n">
        <v>41966</v>
      </c>
      <c r="F2936" s="7" t="n">
        <v>5</v>
      </c>
      <c r="G2936" s="7" t="inlineStr">
        <is>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is>
      </c>
    </row>
    <row r="2937">
      <c r="A2937" s="7" t="n">
        <v>69595</v>
      </c>
      <c r="B2937" s="7" t="n">
        <v>273293</v>
      </c>
      <c r="C2937" s="7" t="n">
        <v>37449</v>
      </c>
      <c r="D2937" s="7" t="n">
        <v>208120</v>
      </c>
      <c r="E2937" s="8" t="n">
        <v>39395</v>
      </c>
      <c r="F2937" s="7" t="n">
        <v>4</v>
      </c>
      <c r="G2937" s="7" t="inlineStr">
        <is>
          <t>An easy, quick fix for a light supper! I used packaged boboli pizza crust which made this even faster! Thanks Kitten!</t>
        </is>
      </c>
    </row>
    <row r="2938">
      <c r="A2938" s="7" t="n">
        <v>3185</v>
      </c>
      <c r="B2938" s="7" t="n">
        <v>174612</v>
      </c>
      <c r="C2938" s="7" t="n">
        <v>169430</v>
      </c>
      <c r="D2938" s="7" t="n">
        <v>208091</v>
      </c>
      <c r="E2938" s="8" t="n">
        <v>39334</v>
      </c>
      <c r="F2938" s="7" t="n">
        <v>3</v>
      </c>
      <c r="G2938" s="7" t="inlineStr">
        <is>
          <t>Very interesting recipe. I have to agree with the previous reviewer in one respect. I think the maple syrup wasn't in keeping with the rest of the flavors, I know it's there to avoid processed sugars but it just doesn't jive with the rest of the recipe in this case. I cut the raisins back to a scant 1 tbs to cut the sugars and that amount was plenty for me. After tasting the cooked cereal I added another 1/4 tsp of cinnamon to balance off the ginger. I should say that I made a single serving. I didn't use the soymilk simply because I never use milk in my porridge. It was a nice change but I would skip the maple syrup next time.</t>
        </is>
      </c>
    </row>
    <row r="2939" ht="409.5" customHeight="1">
      <c r="A2939" s="7" t="n">
        <v>1722</v>
      </c>
      <c r="B2939" s="7" t="n">
        <v>472578</v>
      </c>
      <c r="C2939" s="7" t="n">
        <v>451055</v>
      </c>
      <c r="D2939" s="7" t="n">
        <v>108364</v>
      </c>
      <c r="E2939" s="8" t="n">
        <v>39559</v>
      </c>
      <c r="F2939" s="7" t="n">
        <v>5</v>
      </c>
      <c r="G2939" s="9" t="inlineStr">
        <is>
          <t>Love it!  Was making for a picnic of about 20 people.  Sorry I didn't pay attention to how many pounds of chicken I used, but it was 1 1/2 large packages of fresh chicken breasts from Costco.  The amount of sauce was perfect for the amount of chicken, but I did have to triple the flour mixture.  I cut up each half breast into 4-5 pieces.  Thought it was excellent hot, right out of the deep fryer, but it held up rather well and was delicious cold at the picnic with a side of blue cheese dressing.  
I personally would have liked it a lot spicier.  I used Frank's Hot Sauce and would suggest marinating it in the sauce for a bit if you like your food with a little kick and maybe adding some cayenne.  I did add all the seasoning blend to the dredging mixture.  
Thanks for a great fried chicken recipe.</t>
        </is>
      </c>
    </row>
    <row r="2940">
      <c r="A2940" s="7" t="n">
        <v>323</v>
      </c>
      <c r="B2940" s="7" t="n">
        <v>563863</v>
      </c>
      <c r="C2940" s="7" t="n">
        <v>425154</v>
      </c>
      <c r="D2940" s="7" t="n">
        <v>125618</v>
      </c>
      <c r="E2940" s="8" t="n">
        <v>39320</v>
      </c>
      <c r="F2940" s="7" t="n">
        <v>4</v>
      </c>
      <c r="G2940" s="7" t="inlineStr">
        <is>
          <t>My son and I liked this recipe, although, even though I added garlic pepper salt to the chicken breasts, they needed a little more flavor.  Next time, maybe I'll add more pesto?  I will make them, again, though, because they were easy and fancy-looking.</t>
        </is>
      </c>
    </row>
    <row r="2941">
      <c r="A2941" s="7" t="n">
        <v>34798</v>
      </c>
      <c r="B2941" s="7" t="n">
        <v>532995</v>
      </c>
      <c r="C2941" s="7" t="n">
        <v>633653</v>
      </c>
      <c r="D2941" s="7" t="n">
        <v>57336</v>
      </c>
      <c r="E2941" s="8" t="n">
        <v>39445</v>
      </c>
      <c r="F2941" s="7" t="n">
        <v>5</v>
      </c>
      <c r="G2941" s="7" t="inlineStr">
        <is>
          <t>Fabulous! Mine turned out to be a more dense and hard cookie but this is the type of cookie I like. This will be the only choc chip cookie I make from now on.</t>
        </is>
      </c>
    </row>
    <row r="2942">
      <c r="A2942" s="7" t="n">
        <v>87374</v>
      </c>
      <c r="B2942" s="7" t="n">
        <v>645627</v>
      </c>
      <c r="C2942" s="7" t="n">
        <v>259997</v>
      </c>
      <c r="D2942" s="7" t="n">
        <v>115221</v>
      </c>
      <c r="E2942" s="8" t="n">
        <v>38674</v>
      </c>
      <c r="F2942" s="7" t="n">
        <v>4</v>
      </c>
      <c r="G2942" s="7" t="inlineStr">
        <is>
          <t>I made this the other night. It was very easy to make.I used real crab meat instead of imitation. It turned out real well and tasted pretty good, but next time I might cut back to about 6 oz of cream cheese instead of 8 and maby do about 1/4 of the dill instead of the full 1/2 because it does leave a strong after taste, which led me to give this a 4 star instead of a 5. Also it does make enough for several people, I only made it for two and we did not eat it all. I tried to reheat it the next day and it does not heat up well, so it pretty much has to get eaten when you make it.</t>
        </is>
      </c>
    </row>
    <row r="2943" ht="270" customHeight="1">
      <c r="A2943" s="7" t="n">
        <v>57993</v>
      </c>
      <c r="B2943" s="7" t="n">
        <v>70582</v>
      </c>
      <c r="C2943" s="7" t="n">
        <v>58210</v>
      </c>
      <c r="D2943" s="7" t="n">
        <v>17566</v>
      </c>
      <c r="E2943" s="8" t="n">
        <v>39060</v>
      </c>
      <c r="F2943" s="7" t="n">
        <v>4</v>
      </c>
      <c r="G2943" s="9" t="inlineStr">
        <is>
          <t>I made this for dinner tonight.  It was a crowd-pleaser. Everyone liked it, and there are plenty of leftovers for another meal.  _x000D_
Thanks so much!</t>
        </is>
      </c>
    </row>
    <row r="2944">
      <c r="A2944" s="7" t="n">
        <v>124215</v>
      </c>
      <c r="B2944" s="7" t="n">
        <v>451109</v>
      </c>
      <c r="C2944" s="7" t="n">
        <v>907492</v>
      </c>
      <c r="D2944" s="7" t="n">
        <v>271613</v>
      </c>
      <c r="E2944" s="8" t="n">
        <v>40222</v>
      </c>
      <c r="F2944" s="7" t="n">
        <v>4</v>
      </c>
      <c r="G2944" s="7" t="inlineStr">
        <is>
          <t>It didn't rise as much as I would have liked so it turned out to be a bit of a dense loaf, but the flavor of this bread is fantastic! Both my kids (and me) are munching on it like mad. I did the dough in the bread machine then baked it in a loaf pan. I had to add a bit of olive oil when the dough wasn't sticking together (suppose I could have used a bit more buttermilk). Very nice bread. I will try it again and see if it raises better next time, as it could have been the yeast I was using.</t>
        </is>
      </c>
    </row>
    <row r="2945">
      <c r="A2945" s="7" t="n">
        <v>124942</v>
      </c>
      <c r="B2945" s="7" t="n">
        <v>457771</v>
      </c>
      <c r="C2945" s="7" t="n">
        <v>223979</v>
      </c>
      <c r="D2945" s="7" t="n">
        <v>35606</v>
      </c>
      <c r="E2945" s="8" t="n">
        <v>39831</v>
      </c>
      <c r="F2945" s="7" t="n">
        <v>5</v>
      </c>
      <c r="G2945" s="7" t="inlineStr">
        <is>
          <t>Wonderful!  Not only does this taste excellent, it looks beautiful!  I love that it has a lot of fresh vegetables ( I used fresh asparagus).  I let mine stir fry a little longer, about 5-6 minutes before going to step 3. The ginger and lemon are delicious in this dish.  Thanks!</t>
        </is>
      </c>
    </row>
    <row r="2946">
      <c r="A2946" s="7" t="n">
        <v>77362</v>
      </c>
      <c r="B2946" s="7" t="n">
        <v>168412</v>
      </c>
      <c r="C2946" s="7" t="n">
        <v>223714</v>
      </c>
      <c r="D2946" s="7" t="n">
        <v>163204</v>
      </c>
      <c r="E2946" s="8" t="n">
        <v>40024</v>
      </c>
      <c r="F2946" s="7" t="n">
        <v>5</v>
      </c>
      <c r="G2946" s="7" t="inlineStr">
        <is>
          <t>Had a 2lb package of flank steaks (2 x 1 lb. each) so I marinated one for cooking with half the marinade and froze the other with the rest of the marinade.  I had to cook mine a little bit longer on the grill, but it came out great.  Thanks!</t>
        </is>
      </c>
    </row>
    <row r="2947">
      <c r="A2947" s="7" t="n">
        <v>32470</v>
      </c>
      <c r="B2947" s="7" t="n">
        <v>1096122</v>
      </c>
      <c r="C2947" s="7" t="n">
        <v>2374262</v>
      </c>
      <c r="D2947" s="7" t="n">
        <v>384150</v>
      </c>
      <c r="E2947" s="8" t="n">
        <v>41505</v>
      </c>
      <c r="F2947" s="7" t="n">
        <v>4</v>
      </c>
      <c r="G2947" s="7" t="inlineStr">
        <is>
          <t>I added green onions and doubled the corn and barley. Delicious!</t>
        </is>
      </c>
    </row>
    <row r="2948">
      <c r="A2948" s="7" t="n">
        <v>31694</v>
      </c>
      <c r="B2948" s="7" t="n">
        <v>597726</v>
      </c>
      <c r="C2948" s="7" t="n">
        <v>106205</v>
      </c>
      <c r="D2948" s="7" t="n">
        <v>325612</v>
      </c>
      <c r="E2948" s="8" t="n">
        <v>39752</v>
      </c>
      <c r="F2948" s="7" t="n">
        <v>5</v>
      </c>
      <c r="G2948" s="7" t="inlineStr">
        <is>
          <t>Excellent recipe!! I made this for a staff dessert today and it was gone!!  They loved it and many asked for the recipe.  This is definately a keeper....and very easy.  I doubled the recipe without any problems.  Thank you for sharing!</t>
        </is>
      </c>
    </row>
    <row r="2949">
      <c r="A2949" s="7" t="n">
        <v>6974</v>
      </c>
      <c r="B2949" s="7" t="n">
        <v>14304</v>
      </c>
      <c r="C2949" s="7" t="n">
        <v>573173</v>
      </c>
      <c r="D2949" s="7" t="n">
        <v>25377</v>
      </c>
      <c r="E2949" s="8" t="n">
        <v>39382</v>
      </c>
      <c r="F2949" s="7" t="n">
        <v>5</v>
      </c>
      <c r="G2949" s="7" t="inlineStr">
        <is>
          <t>I am trying to eat healthier and although I am not fond of coconut found this loaf delectable.</t>
        </is>
      </c>
    </row>
    <row r="2950">
      <c r="A2950" s="7" t="n">
        <v>83507</v>
      </c>
      <c r="B2950" s="7" t="n">
        <v>17860</v>
      </c>
      <c r="C2950" s="7" t="n">
        <v>420929</v>
      </c>
      <c r="D2950" s="7" t="n">
        <v>153305</v>
      </c>
      <c r="E2950" s="8" t="n">
        <v>39139</v>
      </c>
      <c r="F2950" s="7" t="n">
        <v>5</v>
      </c>
      <c r="G2950" s="7" t="inlineStr">
        <is>
          <t>Loved these, I've made them twice!!</t>
        </is>
      </c>
    </row>
    <row r="2951">
      <c r="A2951" s="7" t="n">
        <v>3443</v>
      </c>
      <c r="B2951" s="7" t="n">
        <v>1021640</v>
      </c>
      <c r="C2951" s="7" t="n">
        <v>24386</v>
      </c>
      <c r="D2951" s="7" t="n">
        <v>111877</v>
      </c>
      <c r="E2951" s="8" t="n">
        <v>38420</v>
      </c>
      <c r="F2951" s="7" t="n">
        <v>4</v>
      </c>
      <c r="G2951" s="7" t="inlineStr">
        <is>
          <t>This made for a nice dinner last night.  I substituted garlic for the onions and basil for the tarragon - just a preference.  It wasn't clear whether to sprinkle the herbs and salt over just the tomatoes or over the entire dish so I did so over everything. Recipe was also confusing as to where the tomato juice comes from (the can of tomatoes?)  As written, this may not be clear enough for an inexperienced cook.  Thanks for posting.</t>
        </is>
      </c>
    </row>
    <row r="2952">
      <c r="A2952" s="7" t="n">
        <v>81841</v>
      </c>
      <c r="B2952" s="7" t="n">
        <v>463579</v>
      </c>
      <c r="C2952" s="7" t="n">
        <v>1609858</v>
      </c>
      <c r="D2952" s="7" t="n">
        <v>49567</v>
      </c>
      <c r="E2952" s="8" t="n">
        <v>40350</v>
      </c>
      <c r="F2952" s="7" t="n">
        <v>5</v>
      </c>
      <c r="G2952" s="7" t="inlineStr">
        <is>
          <t>This is definately a nice "take-along" salad, and I don't mind having leftovers.   Also works as a simple lunch.</t>
        </is>
      </c>
    </row>
    <row r="2953">
      <c r="A2953" s="7" t="n">
        <v>26104</v>
      </c>
      <c r="B2953" s="7" t="n">
        <v>446679</v>
      </c>
      <c r="C2953" s="7" t="n">
        <v>2002198109</v>
      </c>
      <c r="D2953" s="7" t="n">
        <v>14457</v>
      </c>
      <c r="E2953" s="8" t="n">
        <v>43276</v>
      </c>
      <c r="F2953" s="7" t="n">
        <v>0</v>
      </c>
      <c r="G2953" s="7" t="inlineStr">
        <is>
          <t>Want to make the rhubarb cake ,can l use frozen rhubarb</t>
        </is>
      </c>
    </row>
    <row r="2954">
      <c r="A2954" s="7" t="n">
        <v>5539</v>
      </c>
      <c r="B2954" s="7" t="n">
        <v>66044</v>
      </c>
      <c r="C2954" s="7" t="n">
        <v>804550</v>
      </c>
      <c r="D2954" s="7" t="n">
        <v>382373</v>
      </c>
      <c r="E2954" s="8" t="n">
        <v>40079</v>
      </c>
      <c r="F2954" s="7" t="n">
        <v>5</v>
      </c>
      <c r="G2954" s="7" t="inlineStr">
        <is>
          <t>Deliciously textured chicken tenders. We just loved them. I added some chives to the cornflake coating. So easy too! They have that crispy crunch that you get when deep fried without any of the guilt. Made for Fall 2009 PAC.</t>
        </is>
      </c>
    </row>
    <row r="2955">
      <c r="A2955" t="n">
        <v>103666</v>
      </c>
      <c r="B2955" t="n">
        <v>1072952</v>
      </c>
      <c r="C2955" t="n">
        <v>39194</v>
      </c>
      <c r="D2955" t="n">
        <v>58976</v>
      </c>
      <c r="E2955" s="1" t="n">
        <v>38999</v>
      </c>
      <c r="F2955" t="n">
        <v>4</v>
      </c>
      <c r="G2955" t="inlineStr">
        <is>
          <t>Although I am not a soup person per se, this soup was presented to me to give a try, and I am very glad I did!  I did not use the salsa, but topped the soup with Cheddar cheese and green onions, and served with grilled chili chicken sandwiches.  Very good!  Thank you. :)</t>
        </is>
      </c>
    </row>
    <row r="2956">
      <c r="A2956" s="7" t="n">
        <v>90903</v>
      </c>
      <c r="B2956" s="7" t="n">
        <v>39019</v>
      </c>
      <c r="C2956" s="7" t="n">
        <v>223979</v>
      </c>
      <c r="D2956" s="7" t="n">
        <v>170022</v>
      </c>
      <c r="E2956" s="8" t="n">
        <v>38913</v>
      </c>
      <c r="F2956" s="7" t="n">
        <v>5</v>
      </c>
      <c r="G2956" s="7" t="inlineStr">
        <is>
          <t>Great cake!!  It was a big hit tonight!  Thanks!</t>
        </is>
      </c>
    </row>
    <row r="2957">
      <c r="A2957" s="7" t="n">
        <v>85052</v>
      </c>
      <c r="B2957" s="7" t="n">
        <v>1054367</v>
      </c>
      <c r="C2957" s="7" t="n">
        <v>582561</v>
      </c>
      <c r="D2957" s="7" t="n">
        <v>225056</v>
      </c>
      <c r="E2957" s="8" t="n">
        <v>41278</v>
      </c>
      <c r="F2957" s="7" t="n">
        <v>5</v>
      </c>
      <c r="G2957" s="7" t="inlineStr">
        <is>
          <t>Perfection on a plate.  I used sirloin steak which was melt in the mouth delicious.  Served with simple vegetables which allowed the steak to more than shine, not that it needed any help.  For the mustard I used 'Grainy Mustard' which worked really well.  Made for Aussie / Kiwi Swap Jan 2013</t>
        </is>
      </c>
    </row>
    <row r="2958" ht="255" customHeight="1">
      <c r="A2958" s="7" t="n">
        <v>106264</v>
      </c>
      <c r="B2958" s="7" t="n">
        <v>376315</v>
      </c>
      <c r="C2958" s="7" t="n">
        <v>159532</v>
      </c>
      <c r="D2958" s="7" t="n">
        <v>273618</v>
      </c>
      <c r="E2958" s="8" t="n">
        <v>39534</v>
      </c>
      <c r="F2958" s="7" t="n">
        <v>5</v>
      </c>
      <c r="G2958" s="9" t="inlineStr">
        <is>
          <t>Loved it!  I wanted comfort food, but I wanted chicken with a little texture too.  This was wonderful._x000D_
_x000D_
Thanks for sharing</t>
        </is>
      </c>
    </row>
    <row r="2959">
      <c r="A2959" s="7" t="n">
        <v>92142</v>
      </c>
      <c r="B2959" s="7" t="n">
        <v>656391</v>
      </c>
      <c r="C2959" s="7" t="n">
        <v>98212</v>
      </c>
      <c r="D2959" s="7" t="n">
        <v>27208</v>
      </c>
      <c r="E2959" s="8" t="n">
        <v>38548</v>
      </c>
      <c r="F2959" s="7" t="n">
        <v>5</v>
      </c>
      <c r="G2959" s="7" t="inlineStr">
        <is>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is>
      </c>
    </row>
    <row r="2960">
      <c r="A2960" s="7" t="n">
        <v>37084</v>
      </c>
      <c r="B2960" s="7" t="n">
        <v>396220</v>
      </c>
      <c r="C2960" s="7" t="n">
        <v>233583</v>
      </c>
      <c r="D2960" s="7" t="n">
        <v>297516</v>
      </c>
      <c r="E2960" s="8" t="n">
        <v>39674</v>
      </c>
      <c r="F2960" s="7" t="n">
        <v>5</v>
      </c>
      <c r="G2960" s="7" t="inlineStr">
        <is>
          <t>5 stars for ease of making.  Tastes great for a quick and simple recipe.  TY</t>
        </is>
      </c>
    </row>
    <row r="2961">
      <c r="A2961" s="7" t="n">
        <v>32238</v>
      </c>
      <c r="B2961" s="7" t="n">
        <v>648973</v>
      </c>
      <c r="C2961" s="7" t="n">
        <v>755569</v>
      </c>
      <c r="D2961" s="7" t="n">
        <v>15903</v>
      </c>
      <c r="E2961" s="8" t="n">
        <v>39492</v>
      </c>
      <c r="F2961" s="7" t="n">
        <v>5</v>
      </c>
      <c r="G2961" s="7" t="inlineStr">
        <is>
          <t>Wow, so much chocolate! So rich! So fantastic!</t>
        </is>
      </c>
    </row>
    <row r="2962">
      <c r="A2962" s="7" t="n">
        <v>36430</v>
      </c>
      <c r="B2962" s="7" t="n">
        <v>355313</v>
      </c>
      <c r="C2962" s="7" t="n">
        <v>2000947320</v>
      </c>
      <c r="D2962" s="7" t="n">
        <v>92096</v>
      </c>
      <c r="E2962" s="8" t="n">
        <v>42458</v>
      </c>
      <c r="F2962" s="7" t="n">
        <v>2</v>
      </c>
      <c r="G2962" s="7" t="inlineStr">
        <is>
          <t>I think the cloves made the sauce smell and have a funny taste. Kind of wasted my whole dinner.</t>
        </is>
      </c>
    </row>
    <row r="2963">
      <c r="A2963" s="7" t="n">
        <v>22633</v>
      </c>
      <c r="B2963" s="7" t="n">
        <v>290978</v>
      </c>
      <c r="C2963" s="7" t="n">
        <v>394077</v>
      </c>
      <c r="D2963" s="7" t="n">
        <v>21999</v>
      </c>
      <c r="E2963" s="8" t="n">
        <v>39131</v>
      </c>
      <c r="F2963" s="7" t="n">
        <v>4</v>
      </c>
      <c r="G2963" s="7" t="inlineStr">
        <is>
          <t>My daughter made this tonight and it was very tasty.  Light and delicate.</t>
        </is>
      </c>
    </row>
    <row r="2964">
      <c r="A2964" s="7" t="n">
        <v>92060</v>
      </c>
      <c r="B2964" s="7" t="n">
        <v>419767</v>
      </c>
      <c r="C2964" s="7" t="n">
        <v>573577</v>
      </c>
      <c r="D2964" s="7" t="n">
        <v>146022</v>
      </c>
      <c r="E2964" s="8" t="n">
        <v>39441</v>
      </c>
      <c r="F2964" s="7" t="n">
        <v>5</v>
      </c>
      <c r="G2964" s="7" t="inlineStr">
        <is>
          <t>Excellent! A true party pleaser. I did what other reviewers did and browned kielbasa first. I then added the cooked sauce and heated thoroughly and transferred to my crockpot for about two hours. It came out fabulous so this is how I will make it (and it will be made again and again) in the future. I also doubled the recipe, and I'm glad I did!!</t>
        </is>
      </c>
    </row>
    <row r="2965">
      <c r="A2965" s="7" t="n">
        <v>85444</v>
      </c>
      <c r="B2965" s="7" t="n">
        <v>487733</v>
      </c>
      <c r="C2965" s="7" t="n">
        <v>1314436</v>
      </c>
      <c r="D2965" s="7" t="n">
        <v>89909</v>
      </c>
      <c r="E2965" s="8" t="n">
        <v>39998</v>
      </c>
      <c r="F2965" s="7" t="n">
        <v>5</v>
      </c>
      <c r="G2965" s="7" t="inlineStr">
        <is>
          <t>I really enjoy this base recipe. I did my own twist and the wife said it was the best chicken and ribs she has ever had. I add a little extra WS and herb garlic seasoning rub. I have tried 3-4 different spices. All are great.</t>
        </is>
      </c>
    </row>
    <row r="2966">
      <c r="A2966" s="7" t="n">
        <v>55431</v>
      </c>
      <c r="B2966" s="7" t="n">
        <v>278462</v>
      </c>
      <c r="C2966" s="7" t="n">
        <v>440735</v>
      </c>
      <c r="D2966" s="7" t="n">
        <v>294168</v>
      </c>
      <c r="E2966" s="8" t="n">
        <v>39748</v>
      </c>
      <c r="F2966" s="7" t="n">
        <v>4</v>
      </c>
      <c r="G2966" s="7" t="inlineStr">
        <is>
          <t>I mixed the bleu cheese in the burger. It was good but could use a little more flavor.</t>
        </is>
      </c>
    </row>
    <row r="2967">
      <c r="A2967" s="7" t="n">
        <v>73583</v>
      </c>
      <c r="B2967" s="7" t="n">
        <v>344513</v>
      </c>
      <c r="C2967" s="7" t="n">
        <v>2137950</v>
      </c>
      <c r="D2967" s="7" t="n">
        <v>222188</v>
      </c>
      <c r="E2967" s="8" t="n">
        <v>41203</v>
      </c>
      <c r="F2967" s="7" t="n">
        <v>5</v>
      </c>
      <c r="G2967" s="7" t="inlineStr">
        <is>
          <t>This is the easiest frosting recipe I've ever made and the absolute best. I love the salty, sweet combination.  Like several people said, it's a bit thick. I had trouble squeezing it through my make shift frosting bag; a zip lock bag with a corner cut off to hold the tip.  No way to spread the frosting over my cupcakes. So I added just enough milk to allow the frosting to squeeze through, but not enough to make it soft. It was great. Thanks for the recipe.</t>
        </is>
      </c>
    </row>
    <row r="2968">
      <c r="A2968" s="7" t="n">
        <v>83917</v>
      </c>
      <c r="B2968" s="7" t="n">
        <v>780956</v>
      </c>
      <c r="C2968" s="7" t="n">
        <v>67728</v>
      </c>
      <c r="D2968" s="7" t="n">
        <v>232757</v>
      </c>
      <c r="E2968" s="8" t="n">
        <v>39247</v>
      </c>
      <c r="F2968" s="7" t="n">
        <v>5</v>
      </c>
      <c r="G2968" s="7" t="inlineStr">
        <is>
          <t>This was delicious! I didn't have any good white bread on hand, so I used some Oat Nut bread instead (it was a bit more sturdy than the white bread I had). My honey was crystallized, so I had to warm it up a bit before I could put it on the bread, but that helped it to soak in a little faster. Very rich and sweet, but the heavy cream is a wonderful complement to the sweetness. I didn't actually get to let it chill because it looked and smelled so good that we couldn't wait for it to even cool fully. I'll have to remake this some time when no one is around so I can try it chilled, but I definitely recommend the still-warm version too. Thanks for posting!</t>
        </is>
      </c>
    </row>
    <row r="2969">
      <c r="A2969" s="7" t="n">
        <v>65389</v>
      </c>
      <c r="B2969" s="7" t="n">
        <v>306257</v>
      </c>
      <c r="C2969" s="7" t="n">
        <v>4470</v>
      </c>
      <c r="D2969" s="7" t="n">
        <v>231101</v>
      </c>
      <c r="E2969" s="8" t="n">
        <v>40363</v>
      </c>
      <c r="F2969" s="7" t="n">
        <v>5</v>
      </c>
      <c r="G2969" s="7" t="inlineStr">
        <is>
          <t>This is a WOW burger.  I used hot Italian sausage mix, didn't add onion to the peppers because I love raw sweet onions and had them in my salad. I used lite mozzarella chesse . We loved every tasty morsel</t>
        </is>
      </c>
    </row>
    <row r="2970">
      <c r="A2970" s="7" t="n">
        <v>8283</v>
      </c>
      <c r="B2970" s="7" t="n">
        <v>455845</v>
      </c>
      <c r="C2970" s="7" t="n">
        <v>197023</v>
      </c>
      <c r="D2970" s="7" t="n">
        <v>336069</v>
      </c>
      <c r="E2970" s="8" t="n">
        <v>39811</v>
      </c>
      <c r="F2970" s="7" t="n">
        <v>5</v>
      </c>
      <c r="G2970" s="7" t="inlineStr">
        <is>
          <t>A totally delicious kugel! I was a bit approximate with my ingredients - I'm so much more comfortable with recipes where I don't have to be exact! - and I added two leeks and a few additional favourite herbs but otherwise followed the recipe exactly.  Loved the versatility - the room to make it differently each time I make it - the wonderfully healthy ingredients, the low fat content and the fact that we could enjoy some now and freeze some to enjoy on other occasions.  Thank you for sharing this super recipe, mikekey!  Made for PRMR.</t>
        </is>
      </c>
    </row>
    <row r="2971">
      <c r="A2971" s="7" t="n">
        <v>115388</v>
      </c>
      <c r="B2971" s="7" t="n">
        <v>820798</v>
      </c>
      <c r="C2971" s="7" t="n">
        <v>204153</v>
      </c>
      <c r="D2971" s="7" t="n">
        <v>284507</v>
      </c>
      <c r="E2971" s="8" t="n">
        <v>41496</v>
      </c>
      <c r="F2971" s="7" t="n">
        <v>5</v>
      </c>
      <c r="G2971" s="7" t="inlineStr">
        <is>
          <t>Delicious! This recipe yields a big bang for the minimal effort required.  I&amp;#039;m a noodle freak, and I loved this one. My only complaint is that 10 ounces of noodles isn&amp;#039;t nearly enough. I now use a pound of spaghetti noodles and increase the rest of the ingredients by roughly 2/3rds. Otherwise, I make it exactly as written unless I have some other veggies I want to throw in. I can see how this one would be good served cold, but I&amp;#039;d have to have leftovers to be able to verify that!</t>
        </is>
      </c>
    </row>
    <row r="2972">
      <c r="A2972" s="7" t="n">
        <v>13547</v>
      </c>
      <c r="B2972" s="7" t="n">
        <v>232201</v>
      </c>
      <c r="C2972" s="7" t="n">
        <v>590105</v>
      </c>
      <c r="D2972" s="7" t="n">
        <v>383502</v>
      </c>
      <c r="E2972" s="8" t="n">
        <v>40267</v>
      </c>
      <c r="F2972" s="7" t="n">
        <v>5</v>
      </c>
      <c r="G2972" s="7" t="inlineStr">
        <is>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is>
      </c>
    </row>
    <row r="2973">
      <c r="A2973" s="7" t="n">
        <v>39032</v>
      </c>
      <c r="B2973" s="7" t="n">
        <v>365750</v>
      </c>
      <c r="C2973" s="7" t="n">
        <v>472074</v>
      </c>
      <c r="D2973" s="7" t="n">
        <v>43267</v>
      </c>
      <c r="E2973" s="8" t="n">
        <v>40106</v>
      </c>
      <c r="F2973" s="7" t="n">
        <v>5</v>
      </c>
      <c r="G2973" s="7" t="inlineStr">
        <is>
          <t>I halved this recipe and used 1 16oz can of drained sweet potatoes.  Also, since I had the oven on anyway, I didn't use the microwave.  I baked them at 325F for about 20 minutes.  My husband who's not a big fan of sweet potatoes was surprised that he actually liked this! Thanks for such an easy recipe!</t>
        </is>
      </c>
    </row>
    <row r="2974">
      <c r="A2974" s="7" t="n">
        <v>80494</v>
      </c>
      <c r="B2974" s="7" t="n">
        <v>998948</v>
      </c>
      <c r="C2974" s="7" t="n">
        <v>424680</v>
      </c>
      <c r="D2974" s="7" t="n">
        <v>322342</v>
      </c>
      <c r="E2974" s="8" t="n">
        <v>39723</v>
      </c>
      <c r="F2974" s="7" t="n">
        <v>5</v>
      </c>
      <c r="G2974" s="7" t="inlineStr">
        <is>
          <t>Using thawed chicken breasts, Squirt for the beverage(love that stuff!), &amp; dark brown sugar, my crock pot had this dish ready in just under 5 hours! VERY NICE TASTING CHICKEN, &amp; something I'd make again! Thanks for sharing the recipe! [Tagged, made &amp; reviewed for one of my adoptees in the current Pick-A-Chef]</t>
        </is>
      </c>
    </row>
    <row r="2975">
      <c r="A2975" s="7" t="n">
        <v>18153</v>
      </c>
      <c r="B2975" s="7" t="n">
        <v>537028</v>
      </c>
      <c r="C2975" s="7" t="n">
        <v>465659</v>
      </c>
      <c r="D2975" s="7" t="n">
        <v>113203</v>
      </c>
      <c r="E2975" s="8" t="n">
        <v>39456</v>
      </c>
      <c r="F2975" s="7" t="n">
        <v>5</v>
      </c>
      <c r="G2975" s="7" t="inlineStr">
        <is>
          <t>I used this for the first time in Olive Garden Stuffed Chicken Marsala (Recipe #206581) and it tasted great.  I found a recipe on another site that I was going to use that used ricotta,  tapioca and water, but this is much more simple and my other one took one hr.  Thank you very much, now I can make recipes that need hvy cream.</t>
        </is>
      </c>
    </row>
    <row r="2976">
      <c r="A2976" s="7" t="n">
        <v>59060</v>
      </c>
      <c r="B2976" s="7" t="n">
        <v>86083</v>
      </c>
      <c r="C2976" s="7" t="n">
        <v>59911</v>
      </c>
      <c r="D2976" s="7" t="n">
        <v>29538</v>
      </c>
      <c r="E2976" s="8" t="n">
        <v>38742</v>
      </c>
      <c r="F2976" s="7" t="n">
        <v>5</v>
      </c>
      <c r="G2976" s="7" t="inlineStr">
        <is>
          <t>Amazing. These taste better than the ones from my local Chinese restaurant (I think it's the ample ginger that makes the difference). Be sure to position the ribs fat-side up to help render them well.</t>
        </is>
      </c>
    </row>
    <row r="2977">
      <c r="A2977" s="7" t="n">
        <v>26539</v>
      </c>
      <c r="B2977" s="7" t="n">
        <v>2160</v>
      </c>
      <c r="C2977" s="7" t="n">
        <v>276837</v>
      </c>
      <c r="D2977" s="7" t="n">
        <v>56516</v>
      </c>
      <c r="E2977" s="8" t="n">
        <v>38710</v>
      </c>
      <c r="F2977" s="7" t="n">
        <v>2</v>
      </c>
      <c r="G2977" s="7" t="inlineStr">
        <is>
          <t>This was a little bit too sweet for me. I like my hot chocolate a little bit more of a deeper chocolate taste.</t>
        </is>
      </c>
    </row>
    <row r="2978">
      <c r="A2978" s="7" t="n">
        <v>11288</v>
      </c>
      <c r="B2978" s="7" t="n">
        <v>289083</v>
      </c>
      <c r="C2978" s="7" t="n">
        <v>424680</v>
      </c>
      <c r="D2978" s="7" t="n">
        <v>384875</v>
      </c>
      <c r="E2978" s="8" t="n">
        <v>40083</v>
      </c>
      <c r="F2978" s="7" t="n">
        <v>5</v>
      </c>
      <c r="G2978" s="7" t="inlineStr">
        <is>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is>
      </c>
    </row>
    <row r="2979">
      <c r="A2979" s="7" t="n">
        <v>28033</v>
      </c>
      <c r="B2979" s="7" t="n">
        <v>146523</v>
      </c>
      <c r="C2979" s="7" t="n">
        <v>39949</v>
      </c>
      <c r="D2979" s="7" t="n">
        <v>48910</v>
      </c>
      <c r="E2979" s="8" t="n">
        <v>38037</v>
      </c>
      <c r="F2979" s="7" t="n">
        <v>5</v>
      </c>
      <c r="G2979" s="7" t="inlineStr">
        <is>
          <t>Delicious recipe!  I only had light cream cheese and regular bread crumbs, so I made this recipe with those slight ingredient changes.  Perhaps because I didn't have fresh bread crumbs, my "crust" needed an extra tablespoon of melted butter, and didn't hold together well when I removed the cakes from the tins.  However, I just sprinkled the crust left in the tins over the cakes.  The taste and texture were just delicious, and they looked as good as they tasted.  I served them with a bunch of seedless red grapes, and four of us just devoured them as an appetizer.  I LOVE this, and will make again.  When I do, I'll really start tinkering, and maybe use olive oil in the bread crumb/walnut mix instead of butter, maybe even adding some garlic powder to it.  I used plain goat cheese this time, but will probably try some of the herbed or peppered cheeses next time.  Extraordinarily good - thanks, s"kat!</t>
        </is>
      </c>
    </row>
    <row r="2980">
      <c r="A2980" s="7" t="n">
        <v>59405</v>
      </c>
      <c r="B2980" s="7" t="n">
        <v>448979</v>
      </c>
      <c r="C2980" s="7" t="n">
        <v>2002272396</v>
      </c>
      <c r="D2980" s="7" t="n">
        <v>352152</v>
      </c>
      <c r="E2980" s="8" t="n">
        <v>43354</v>
      </c>
      <c r="F2980" s="7" t="n">
        <v>0</v>
      </c>
      <c r="G2980" s="7" t="inlineStr">
        <is>
          <t>As an old geezer looking for a simple pizza recipe, this is it. Most of the dough's I tried were way too sticky and I didn't like playing with the receipe. This dough came off the blade and out of the food processor just beautifully....and easily divided into 3. However, I did add garlic salt instead of kosher...;-) Taking some advice from others, I plan to leave one in the fridge for 2 days before baking and the 2 others for 5 days and of those 2 will cook one and freeze 1. Looking forward to spreading the dough to 12&amp;quot; since I've had problems with &amp;quot;snap back&amp;quot;.... Did a little research letting the dough rise in the fridge for better taste. Hmmm. Will come back and report as to the outcome.</t>
        </is>
      </c>
    </row>
    <row r="2981">
      <c r="A2981" s="7" t="n">
        <v>28258</v>
      </c>
      <c r="B2981" s="7" t="n">
        <v>781287</v>
      </c>
      <c r="C2981" s="7" t="n">
        <v>340312</v>
      </c>
      <c r="D2981" s="7" t="n">
        <v>235590</v>
      </c>
      <c r="E2981" s="8" t="n">
        <v>40024</v>
      </c>
      <c r="F2981" s="7" t="n">
        <v>0</v>
      </c>
      <c r="G2981" s="7" t="inlineStr">
        <is>
          <t>This is a great idea, and sooo cute! I will be using this recipe for the summer camp that i host for kids! They'll love it! -Thanks</t>
        </is>
      </c>
    </row>
    <row r="2982">
      <c r="A2982" s="7" t="n">
        <v>122767</v>
      </c>
      <c r="B2982" s="7" t="n">
        <v>472361</v>
      </c>
      <c r="C2982" s="7" t="n">
        <v>343010</v>
      </c>
      <c r="D2982" s="7" t="n">
        <v>108364</v>
      </c>
      <c r="E2982" s="8" t="n">
        <v>38945</v>
      </c>
      <c r="F2982" s="7" t="n">
        <v>5</v>
      </c>
      <c r="G2982" s="7" t="inlineStr">
        <is>
          <t>MMMM my family and i loved it, i will definately tossing out my plain recipe and using this one from now on, loved it</t>
        </is>
      </c>
    </row>
    <row r="2983">
      <c r="A2983" s="7" t="n">
        <v>1760</v>
      </c>
      <c r="B2983" s="7" t="n">
        <v>983124</v>
      </c>
      <c r="C2983" s="7" t="n">
        <v>1072593</v>
      </c>
      <c r="D2983" s="7" t="n">
        <v>105046</v>
      </c>
      <c r="E2983" s="8" t="n">
        <v>41098</v>
      </c>
      <c r="F2983" s="7" t="n">
        <v>5</v>
      </c>
      <c r="G2983" s="7" t="inlineStr">
        <is>
          <t>Good dip, but hey where's the party?  I got no plans.</t>
        </is>
      </c>
    </row>
    <row r="2984">
      <c r="A2984" s="7" t="n">
        <v>44124</v>
      </c>
      <c r="B2984" s="7" t="n">
        <v>427444</v>
      </c>
      <c r="C2984" s="7" t="n">
        <v>1203830</v>
      </c>
      <c r="D2984" s="7" t="n">
        <v>71933</v>
      </c>
      <c r="E2984" s="8" t="n">
        <v>40221</v>
      </c>
      <c r="F2984" s="7" t="n">
        <v>5</v>
      </c>
      <c r="G2984" s="7" t="inlineStr">
        <is>
          <t>This is great!  I usually microwave my taters, but I sure don't get that nice crispy skin when I do it that way!  This obviously takes a little more time, but it's well worth it!</t>
        </is>
      </c>
    </row>
    <row r="2985">
      <c r="A2985" s="7" t="n">
        <v>17775</v>
      </c>
      <c r="B2985" s="7" t="n">
        <v>925609</v>
      </c>
      <c r="C2985" s="7" t="n">
        <v>542159</v>
      </c>
      <c r="D2985" s="7" t="n">
        <v>468570</v>
      </c>
      <c r="E2985" s="8" t="n">
        <v>41976</v>
      </c>
      <c r="F2985" s="7" t="n">
        <v>5</v>
      </c>
      <c r="G2985" s="7" t="inlineStr">
        <is>
          <t>I could have and almost did make my whole meal nothing but these tasty sprouts. I love garlic roasted sprouts and your addition of pine nuts and bacon is yum yummy. Thanks for the post.</t>
        </is>
      </c>
    </row>
    <row r="2986">
      <c r="A2986" s="7" t="n">
        <v>121138</v>
      </c>
      <c r="B2986" s="7" t="n">
        <v>578762</v>
      </c>
      <c r="C2986" s="7" t="n">
        <v>991214</v>
      </c>
      <c r="D2986" s="7" t="n">
        <v>264566</v>
      </c>
      <c r="E2986" s="8" t="n">
        <v>40329</v>
      </c>
      <c r="F2986" s="7" t="n">
        <v>2</v>
      </c>
      <c r="G2986" s="7" t="inlineStr">
        <is>
          <t>I made this, but found it to have an unpleasant dry aftertaste -- maybe too much turmeric?</t>
        </is>
      </c>
    </row>
    <row r="2987">
      <c r="A2987" s="7" t="n">
        <v>12915</v>
      </c>
      <c r="B2987" s="7" t="n">
        <v>411677</v>
      </c>
      <c r="C2987" s="7" t="n">
        <v>269480</v>
      </c>
      <c r="D2987" s="7" t="n">
        <v>286145</v>
      </c>
      <c r="E2987" s="8" t="n">
        <v>39648</v>
      </c>
      <c r="F2987" s="7" t="n">
        <v>5</v>
      </c>
      <c r="G2987" s="7" t="inlineStr">
        <is>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is>
      </c>
    </row>
    <row r="2988">
      <c r="A2988" s="7" t="n">
        <v>76935</v>
      </c>
      <c r="B2988" s="7" t="n">
        <v>465549</v>
      </c>
      <c r="C2988" s="7" t="n">
        <v>2001548325</v>
      </c>
      <c r="D2988" s="7" t="n">
        <v>288125</v>
      </c>
      <c r="E2988" s="8" t="n">
        <v>42876</v>
      </c>
      <c r="F2988" s="7" t="n">
        <v>5</v>
      </c>
      <c r="G2988" s="7" t="inlineStr">
        <is>
          <t>This is my second attempt at homemade pasta. The dough turned out just beautifully, though I forgot to do the hand kneading step. It is in the fridge now, and it is hard to wait for the next hour.</t>
        </is>
      </c>
    </row>
    <row r="2989">
      <c r="A2989" s="7" t="n">
        <v>26594</v>
      </c>
      <c r="B2989" s="7" t="n">
        <v>729235</v>
      </c>
      <c r="C2989" s="7" t="n">
        <v>23956</v>
      </c>
      <c r="D2989" s="7" t="n">
        <v>146980</v>
      </c>
      <c r="E2989" s="8" t="n">
        <v>41852</v>
      </c>
      <c r="F2989" s="7" t="n">
        <v>5</v>
      </c>
      <c r="G2989" s="7" t="inlineStr">
        <is>
          <t>Oh this is good, I love ramen noodles but tired of the same way to eat them, so I came on here and found this was a bit unsure but wow this is so good, quick and easy to make.</t>
        </is>
      </c>
    </row>
    <row r="2990">
      <c r="A2990" s="7" t="n">
        <v>27170</v>
      </c>
      <c r="B2990" s="7" t="n">
        <v>1064669</v>
      </c>
      <c r="C2990" s="7" t="n">
        <v>537179</v>
      </c>
      <c r="D2990" s="7" t="n">
        <v>137873</v>
      </c>
      <c r="E2990" s="8" t="n">
        <v>39866</v>
      </c>
      <c r="F2990" s="7" t="n">
        <v>5</v>
      </c>
      <c r="G2990" s="7" t="inlineStr">
        <is>
          <t>Excellent! Quick and easy meal that everyone enjoyed. Thanks for sharing.  made for 123 hits</t>
        </is>
      </c>
    </row>
    <row r="2991">
      <c r="A2991" s="7" t="n">
        <v>57103</v>
      </c>
      <c r="B2991" s="7" t="n">
        <v>815809</v>
      </c>
      <c r="C2991" s="7" t="n">
        <v>265954</v>
      </c>
      <c r="D2991" s="7" t="n">
        <v>149734</v>
      </c>
      <c r="E2991" s="8" t="n">
        <v>39220</v>
      </c>
      <c r="F2991" s="7" t="n">
        <v>4</v>
      </c>
      <c r="G2991" s="7" t="inlineStr">
        <is>
          <t>This is easy to make...very quick.  It is a tad too sweet for my taste, though, and next time I'm going to use unsweetened coconut flakes.  Thanks for posting, Kburie!</t>
        </is>
      </c>
    </row>
    <row r="2992">
      <c r="A2992" s="7" t="n">
        <v>50182</v>
      </c>
      <c r="B2992" s="7" t="n">
        <v>506660</v>
      </c>
      <c r="C2992" s="7" t="n">
        <v>441518</v>
      </c>
      <c r="D2992" s="7" t="n">
        <v>209831</v>
      </c>
      <c r="E2992" s="8" t="n">
        <v>39121</v>
      </c>
      <c r="F2992" s="7" t="n">
        <v>5</v>
      </c>
      <c r="G2992" s="7" t="inlineStr">
        <is>
          <t>This cake is delicious.  I have made this probably 10 times for work birthday parties.  Just make sure you use the angel food cake mix that you only need to add water.</t>
        </is>
      </c>
    </row>
    <row r="2993">
      <c r="A2993" s="7" t="n">
        <v>15658</v>
      </c>
      <c r="B2993" s="7" t="n">
        <v>157097</v>
      </c>
      <c r="C2993" s="7" t="n">
        <v>169430</v>
      </c>
      <c r="D2993" s="7" t="n">
        <v>443064</v>
      </c>
      <c r="E2993" s="8" t="n">
        <v>41165</v>
      </c>
      <c r="F2993" s="7" t="n">
        <v>5</v>
      </c>
      <c r="G2993" s="7" t="inlineStr">
        <is>
          <t>I enjoyed this without the toppings. Loved, loved, loved the curry addition and I can see that this will surely be made again here. Used tiny Yukon Golds halved and to my taste this came out perfect. A little tang and a little spice that raise the humble potato to a very yumful salad.</t>
        </is>
      </c>
    </row>
    <row r="2994">
      <c r="A2994" s="7" t="n">
        <v>38780</v>
      </c>
      <c r="B2994" s="7" t="n">
        <v>713929</v>
      </c>
      <c r="C2994" s="7" t="n">
        <v>892973</v>
      </c>
      <c r="D2994" s="7" t="n">
        <v>14895</v>
      </c>
      <c r="E2994" s="8" t="n">
        <v>40370</v>
      </c>
      <c r="F2994" s="7" t="n">
        <v>5</v>
      </c>
      <c r="G2994" s="7" t="inlineStr">
        <is>
          <t>very nice sauce!  I added some cheddar cheese and poured it over steamed cabbage and cauliflower! yum yum!</t>
        </is>
      </c>
    </row>
    <row r="2995">
      <c r="A2995" s="7" t="n">
        <v>32386</v>
      </c>
      <c r="B2995" s="7" t="n">
        <v>60642</v>
      </c>
      <c r="C2995" s="7" t="n">
        <v>1470841</v>
      </c>
      <c r="D2995" s="7" t="n">
        <v>136015</v>
      </c>
      <c r="E2995" s="8" t="n">
        <v>40150</v>
      </c>
      <c r="F2995" s="7" t="n">
        <v>2</v>
      </c>
      <c r="G2995" s="7" t="inlineStr">
        <is>
          <t>I absolutely love the filling--delish. HOWEVER, the cookie part did not turn out for me AT ALL (they turned out as flat as paper), and they didn't have much flavor either. I plan to use the filling with Nilla Wafters or some such thing.</t>
        </is>
      </c>
    </row>
    <row r="2996" ht="409.5" customHeight="1">
      <c r="A2996" s="7" t="n">
        <v>117900</v>
      </c>
      <c r="B2996" s="7" t="n">
        <v>622535</v>
      </c>
      <c r="C2996" s="7" t="n">
        <v>162888</v>
      </c>
      <c r="D2996" s="7" t="n">
        <v>107132</v>
      </c>
      <c r="E2996" s="8" t="n">
        <v>38824</v>
      </c>
      <c r="F2996" s="7" t="n">
        <v>5</v>
      </c>
      <c r="G2996" s="9" t="inlineStr">
        <is>
          <t xml:space="preserve">Delicious buttery flavour and nice texture. I made this for Easter and the kids chose this over their chocolate bunnies !_x000D_
_x000D_
I doubled the recipe but still put it in an 8" pan.  I just think fudge is better when it's thick. </t>
        </is>
      </c>
    </row>
    <row r="2997">
      <c r="A2997" s="7" t="n">
        <v>58628</v>
      </c>
      <c r="B2997" s="7" t="n">
        <v>493560</v>
      </c>
      <c r="C2997" s="7" t="n">
        <v>310749</v>
      </c>
      <c r="D2997" s="7" t="n">
        <v>71373</v>
      </c>
      <c r="E2997" s="8" t="n">
        <v>39909</v>
      </c>
      <c r="F2997" s="7" t="n">
        <v>5</v>
      </c>
      <c r="G2997" s="7" t="inlineStr">
        <is>
          <t>These went perfectly with our turkey dinner.  Super easy and tasty!  Thanks for posting.</t>
        </is>
      </c>
    </row>
    <row r="2998">
      <c r="A2998" s="7" t="n">
        <v>81107</v>
      </c>
      <c r="B2998" s="7" t="n">
        <v>712814</v>
      </c>
      <c r="C2998" s="7" t="n">
        <v>194886</v>
      </c>
      <c r="D2998" s="7" t="n">
        <v>51209</v>
      </c>
      <c r="E2998" s="8" t="n">
        <v>39677</v>
      </c>
      <c r="F2998" s="7" t="n">
        <v>5</v>
      </c>
      <c r="G2998" s="7" t="inlineStr">
        <is>
          <t>This is by far my favorite pizza dough and now the only one I use . I recommend it  to everyone I know. I don't have a bread maker so I just just made it the "old fashioned" way, with the help of my kitchen aide mixer.  It turned out great!!!  We cook ours at about 425. Another thing you don't need to much of this dough for one pizza otherwise it does get to be to thick of a crust with a double batch we can make 2 large pizzas and 1 medium with a nice crust that suits our family. We have figured out that using this recipe and making our own pizza is cheaper than going to a pizza joint.</t>
        </is>
      </c>
    </row>
    <row r="2999">
      <c r="A2999" s="7" t="n">
        <v>61964</v>
      </c>
      <c r="B2999" s="7" t="n">
        <v>324464</v>
      </c>
      <c r="C2999" s="7" t="n">
        <v>351098</v>
      </c>
      <c r="D2999" s="7" t="n">
        <v>183635</v>
      </c>
      <c r="E2999" s="8" t="n">
        <v>39811</v>
      </c>
      <c r="F2999" s="7" t="n">
        <v>3</v>
      </c>
      <c r="G2999" s="7" t="inlineStr">
        <is>
          <t>This didn't have as much flavor as other orange granola recipes, but it was very healthy.  I added some coconut, and doubled the honey, and also used rasin bran instead of all-bran cereal.  Make sure you watch it close, or it will get burnt!</t>
        </is>
      </c>
    </row>
    <row r="3000" ht="409.5" customHeight="1">
      <c r="A3000" s="7" t="n">
        <v>36052</v>
      </c>
      <c r="B3000" s="7" t="n">
        <v>732033</v>
      </c>
      <c r="C3000" s="7" t="n">
        <v>869532</v>
      </c>
      <c r="D3000" s="7" t="n">
        <v>175545</v>
      </c>
      <c r="E3000" s="8" t="n">
        <v>39966</v>
      </c>
      <c r="F3000" s="7" t="n">
        <v>5</v>
      </c>
      <c r="G3000" s="9" t="inlineStr">
        <is>
          <t>This is a good dish. My red beans took forever to get soft._x000D_
I soaked them in water only. I added the other ingredients when I started cooking them._x000D_
I'll keep this recipe. I think next time I'll try it in the slowcooker.</t>
        </is>
      </c>
    </row>
    <row r="3001">
      <c r="A3001" s="7" t="n">
        <v>19286</v>
      </c>
      <c r="B3001" s="7" t="n">
        <v>795159</v>
      </c>
      <c r="C3001" s="7" t="n">
        <v>56181</v>
      </c>
      <c r="D3001" s="7" t="n">
        <v>67422</v>
      </c>
      <c r="E3001" s="8" t="n">
        <v>38156</v>
      </c>
      <c r="F3001" s="7" t="n">
        <v>5</v>
      </c>
      <c r="G3001" s="7" t="inlineStr">
        <is>
          <t>Yum!  So easy to make and very good!  I did make it a little different than directed.  I made it in a skillet instead of the oven so that my starving hubby could eat a little sooner-it took about 10 minutes that way!(=  Thanks for posting, Bekah!  I'll definitely be making this one again!</t>
        </is>
      </c>
    </row>
    <row r="3002">
      <c r="A3002" s="7" t="n">
        <v>85599</v>
      </c>
      <c r="B3002" s="7" t="n">
        <v>333740</v>
      </c>
      <c r="C3002" s="7" t="n">
        <v>118268</v>
      </c>
      <c r="D3002" s="7" t="n">
        <v>91576</v>
      </c>
      <c r="E3002" s="8" t="n">
        <v>38371</v>
      </c>
      <c r="F3002" s="7" t="n">
        <v>5</v>
      </c>
      <c r="G3002" s="7" t="inlineStr">
        <is>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is>
      </c>
    </row>
    <row r="3003">
      <c r="A3003" s="7" t="n">
        <v>122099</v>
      </c>
      <c r="B3003" s="7" t="n">
        <v>479763</v>
      </c>
      <c r="C3003" s="7" t="n">
        <v>130819</v>
      </c>
      <c r="D3003" s="7" t="n">
        <v>277167</v>
      </c>
      <c r="E3003" s="8" t="n">
        <v>39839</v>
      </c>
      <c r="F3003" s="7" t="n">
        <v>5</v>
      </c>
      <c r="G3003" s="7" t="inlineStr">
        <is>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is>
      </c>
    </row>
    <row r="3004">
      <c r="A3004" s="7" t="n">
        <v>43506</v>
      </c>
      <c r="B3004" s="7" t="n">
        <v>785595</v>
      </c>
      <c r="C3004" s="7" t="n">
        <v>1535</v>
      </c>
      <c r="D3004" s="7" t="n">
        <v>37625</v>
      </c>
      <c r="E3004" s="8" t="n">
        <v>39477</v>
      </c>
      <c r="F3004" s="7" t="n">
        <v>5</v>
      </c>
      <c r="G3004" s="7" t="inlineStr">
        <is>
          <t>An excellent crumb cake. I've made it a couple times now and I always have to bake it a little longer than the 20 minutes. The first time it tested done with a toothpick but once cooled the center was very doughy. Other than that, it was easy to make with very good directions. I'll never buy a crumb cake from the store again!</t>
        </is>
      </c>
    </row>
    <row r="3005">
      <c r="A3005" s="7" t="n">
        <v>124816</v>
      </c>
      <c r="B3005" s="7" t="n">
        <v>14784</v>
      </c>
      <c r="C3005" s="7" t="n">
        <v>247241</v>
      </c>
      <c r="D3005" s="7" t="n">
        <v>37413</v>
      </c>
      <c r="E3005" s="8" t="n">
        <v>38821</v>
      </c>
      <c r="F3005" s="7" t="n">
        <v>5</v>
      </c>
      <c r="G3005" s="7" t="inlineStr">
        <is>
          <t>I thought this was just wonderful.  Like everyone else said, "real comfort food".  I used milk to mix with the flour and added 1/4 cup half and half at the end.  No doubt this will be a new one in our weekly meal plan.  Everyone enjoyed this!</t>
        </is>
      </c>
    </row>
    <row r="3006">
      <c r="A3006" s="7" t="n">
        <v>106862</v>
      </c>
      <c r="B3006" s="7" t="n">
        <v>287526</v>
      </c>
      <c r="C3006" s="7" t="n">
        <v>2000428544</v>
      </c>
      <c r="D3006" s="7" t="n">
        <v>188990</v>
      </c>
      <c r="E3006" s="8" t="n">
        <v>42241</v>
      </c>
      <c r="F3006" s="7" t="n">
        <v>5</v>
      </c>
      <c r="G3006" s="7" t="inlineStr">
        <is>
          <t>Very simple straight forward recipe. Made tonight. Biscuits were delicious, soft, and fluffy. Unreal! Truly the most moist biscuits I&amp;#039;ve ever made. Thanks for posting.</t>
        </is>
      </c>
    </row>
    <row r="3007">
      <c r="A3007" s="7" t="n">
        <v>42202</v>
      </c>
      <c r="B3007" s="7" t="n">
        <v>196945</v>
      </c>
      <c r="C3007" s="7" t="n">
        <v>2000671295</v>
      </c>
      <c r="D3007" s="7" t="n">
        <v>248994</v>
      </c>
      <c r="E3007" s="8" t="n">
        <v>42395</v>
      </c>
      <c r="F3007" s="7" t="n">
        <v>5</v>
      </c>
      <c r="G3007" s="7" t="inlineStr">
        <is>
          <t>Really can&amp;#039;t go wrong here. Just a basic sandwich, really. I used Canadian bacon, and mayo instead of butter on the bread. I recommend toasting the bread first, but that&amp;#039;s my personal preference! I did try it with the pickles, and it was actually a good flavor combination.</t>
        </is>
      </c>
    </row>
    <row r="3008">
      <c r="A3008" s="7" t="n">
        <v>89034</v>
      </c>
      <c r="B3008" s="7" t="n">
        <v>584069</v>
      </c>
      <c r="C3008" s="7" t="n">
        <v>37636</v>
      </c>
      <c r="D3008" s="7" t="n">
        <v>200897</v>
      </c>
      <c r="E3008" s="8" t="n">
        <v>39569</v>
      </c>
      <c r="F3008" s="7" t="n">
        <v>5</v>
      </c>
      <c r="G3008" s="7" t="inlineStr">
        <is>
          <t>These tasted surprisingly like oven roasted potatoes to me. I will enjoy making this recipe often when my oven is occupied. Thanks for sharing. ~Sue</t>
        </is>
      </c>
    </row>
    <row r="3009">
      <c r="A3009" s="7" t="n">
        <v>60769</v>
      </c>
      <c r="B3009" s="7" t="n">
        <v>1119600</v>
      </c>
      <c r="C3009" s="7" t="n">
        <v>1048246</v>
      </c>
      <c r="D3009" s="7" t="n">
        <v>65582</v>
      </c>
      <c r="E3009" s="8" t="n">
        <v>39796</v>
      </c>
      <c r="F3009" s="7" t="n">
        <v>5</v>
      </c>
      <c r="G3009" s="7" t="inlineStr">
        <is>
          <t>Lamb doesn't get any better than this!  My family and I enjoyed every bite and I promised them all I would make it again soon.  They were happy with that one! I didn't use the green peppers, as we don't care for them much.   This recipe is superb!!  Thanks!</t>
        </is>
      </c>
    </row>
    <row r="3010">
      <c r="A3010" s="7" t="n">
        <v>76545</v>
      </c>
      <c r="B3010" s="7" t="n">
        <v>984454</v>
      </c>
      <c r="C3010" s="7" t="n">
        <v>310749</v>
      </c>
      <c r="D3010" s="7" t="n">
        <v>9272</v>
      </c>
      <c r="E3010" s="8" t="n">
        <v>40064</v>
      </c>
      <c r="F3010" s="7" t="n">
        <v>5</v>
      </c>
      <c r="G3010" s="7" t="inlineStr">
        <is>
          <t>I made 16 quarts of this yesterday mostly in pint jars.  Enough for us and a few extra for gifts.  I left one jar in the fridge for 24 hours, opened it and was very surprised.  The taste is perfect!  Just a couple of notes...pay attention to draining the tomatoes as my salsa came out a bit too liquid, but that was my fault.  Also, to keep the heat up, I chopped the whole jalapenos, core, seeds and all except the stem.  The heat is in the seeds and the white pith and so the heat in our salsa is perfect if not even slightly too hot.  Thanks for a keeper!  I will be making this every year from now on!</t>
        </is>
      </c>
    </row>
    <row r="3011">
      <c r="A3011" s="7" t="n">
        <v>93018</v>
      </c>
      <c r="B3011" s="7" t="n">
        <v>503535</v>
      </c>
      <c r="C3011" s="7" t="n">
        <v>382834</v>
      </c>
      <c r="D3011" s="7" t="n">
        <v>192940</v>
      </c>
      <c r="E3011" s="8" t="n">
        <v>39089</v>
      </c>
      <c r="F3011" s="7" t="n">
        <v>5</v>
      </c>
      <c r="G3011" s="7" t="inlineStr">
        <is>
          <t>Thank you - I have been looking for this recipe for a very long time!  Unique recipe that tastes as though you are dining at a fine restaurant.  Excellent!</t>
        </is>
      </c>
    </row>
    <row r="3012">
      <c r="A3012" s="7" t="n">
        <v>31273</v>
      </c>
      <c r="B3012" s="7" t="n">
        <v>1074853</v>
      </c>
      <c r="C3012" s="7" t="n">
        <v>1615153</v>
      </c>
      <c r="D3012" s="7" t="n">
        <v>135350</v>
      </c>
      <c r="E3012" s="8" t="n">
        <v>41726</v>
      </c>
      <c r="F3012" s="7" t="n">
        <v>5</v>
      </c>
      <c r="G3012" s="7" t="inlineStr">
        <is>
          <t>Recipe doubles very nicely, too!</t>
        </is>
      </c>
    </row>
    <row r="3013">
      <c r="A3013" s="7" t="n">
        <v>67476</v>
      </c>
      <c r="B3013" s="7" t="n">
        <v>53204</v>
      </c>
      <c r="C3013" s="7" t="n">
        <v>101823</v>
      </c>
      <c r="D3013" s="7" t="n">
        <v>78055</v>
      </c>
      <c r="E3013" s="8" t="n">
        <v>38077</v>
      </c>
      <c r="F3013" s="7" t="n">
        <v>4</v>
      </c>
      <c r="G3013" s="7" t="inlineStr">
        <is>
          <t>These were good, but we felt that they were missing a little something.  I had made another appetizer that was dipped into marinara sauce...doing the same with these puffs helped the flavor of these.  I think that I will try them again with a little onion or garlic powder added.</t>
        </is>
      </c>
    </row>
    <row r="3014">
      <c r="A3014" s="7" t="n">
        <v>95067</v>
      </c>
      <c r="B3014" s="7" t="n">
        <v>357027</v>
      </c>
      <c r="C3014" s="7" t="n">
        <v>2001202347</v>
      </c>
      <c r="D3014" s="7" t="n">
        <v>28954</v>
      </c>
      <c r="E3014" s="8" t="n">
        <v>42654</v>
      </c>
      <c r="F3014" s="7" t="n">
        <v>4</v>
      </c>
      <c r="G3014" s="7" t="inlineStr">
        <is>
          <t>This is a recipe with a lot of potential. I halved the basic ingredients (2 cups of challah bread, 1 cup of milk, 1 egg, 2 tbs butter) and turn it into savory bread pudding by ommiting all the sweet-related ingredients and adding sliced breakfast link and a handful of grated cheddar cheese. Perfection!!!</t>
        </is>
      </c>
    </row>
    <row r="3015">
      <c r="A3015" s="7" t="n">
        <v>83941</v>
      </c>
      <c r="B3015" s="7" t="n">
        <v>116983</v>
      </c>
      <c r="C3015" s="7" t="n">
        <v>49304</v>
      </c>
      <c r="D3015" s="7" t="n">
        <v>20960</v>
      </c>
      <c r="E3015" s="8" t="n">
        <v>39738</v>
      </c>
      <c r="F3015" s="7" t="n">
        <v>0</v>
      </c>
      <c r="G3015" s="7" t="inlineStr">
        <is>
          <t>Delicious easy recipe. I used recipe #19023 for the BQ Sauce. Thanks for the recipe.</t>
        </is>
      </c>
    </row>
    <row r="3016">
      <c r="A3016" s="7" t="n">
        <v>17469</v>
      </c>
      <c r="B3016" s="7" t="n">
        <v>82499</v>
      </c>
      <c r="C3016" s="7" t="n">
        <v>1144231</v>
      </c>
      <c r="D3016" s="7" t="n">
        <v>169079</v>
      </c>
      <c r="E3016" s="8" t="n">
        <v>39875</v>
      </c>
      <c r="F3016" s="7" t="n">
        <v>5</v>
      </c>
      <c r="G3016" s="7" t="inlineStr">
        <is>
          <t>These are sooooo yummy!!  I ate five cookies out of the first batch--good thing they're "no guilt"!  My three year old son has had two of them as well.  I love the texture of them, light and fluffy and cake-like.  I was hesitant to make these because other pumpkin cookies I've made haven't been very good, but I will make these again for sure.  In fact, I think I will make up another batch tomorrow and freeze the dough so I don't waste what's left of my canned pumpkin.</t>
        </is>
      </c>
    </row>
    <row r="3017">
      <c r="A3017" s="7" t="n">
        <v>63429</v>
      </c>
      <c r="B3017" s="7" t="n">
        <v>713778</v>
      </c>
      <c r="C3017" s="7" t="n">
        <v>101823</v>
      </c>
      <c r="D3017" s="7" t="n">
        <v>144294</v>
      </c>
      <c r="E3017" s="8" t="n">
        <v>39374</v>
      </c>
      <c r="F3017" s="7" t="n">
        <v>4</v>
      </c>
      <c r="G3017" s="7" t="inlineStr">
        <is>
          <t>I made some adjustments to this recipe and came away with a soup that Hubby and I absolutely loved.  First, I didn't use 1/4 cup of oil.  I melted a tablespoon of butter and a drizzle of olive oil in the pan and sauteed diced onions in it (because I didn't have diced tomatoes with onion on hand).  To this, I added the flour and Cajun seasoning.  I also didn't have enough clam juice and used only about 3/4 of a cup while substituting chicken broth for the rest of the liquid.  I know that much of the finished result rests on the quality of the Cajun seasoning, and ours was great.  The soup had delcious flavor and left just the right amount of heat in the back of your throat after eating.  Yum.  We served it with cornbread and enjoyed every spoonful.</t>
        </is>
      </c>
    </row>
    <row r="3018">
      <c r="A3018" s="7" t="n">
        <v>126385</v>
      </c>
      <c r="B3018" s="7" t="n">
        <v>167044</v>
      </c>
      <c r="C3018" s="7" t="n">
        <v>226066</v>
      </c>
      <c r="D3018" s="7" t="n">
        <v>114575</v>
      </c>
      <c r="E3018" s="8" t="n">
        <v>43419</v>
      </c>
      <c r="F3018" s="7" t="n">
        <v>5</v>
      </c>
      <c r="G3018" s="7" t="inlineStr">
        <is>
          <t>This cake was amazing!! Everyone loved it! I made the recipe as is and it was a hit!</t>
        </is>
      </c>
    </row>
    <row r="3019">
      <c r="A3019" s="7" t="n">
        <v>73623</v>
      </c>
      <c r="B3019" s="7" t="n">
        <v>899616</v>
      </c>
      <c r="C3019" s="7" t="n">
        <v>452355</v>
      </c>
      <c r="D3019" s="7" t="n">
        <v>414744</v>
      </c>
      <c r="E3019" s="8" t="n">
        <v>41378</v>
      </c>
      <c r="F3019" s="7" t="n">
        <v>5</v>
      </c>
      <c r="G3019" s="7" t="inlineStr">
        <is>
          <t>This was really fantastic.  It takes awhile to make, but is super easy.  I loved the gogonzola-rosemary topping.  I was not sure if the recipe called for fresh or dried rosemary, so I used fresh.    I served it when having friends over for dinner as a side to eggplant Napoleon and everyone really enjoyed it.  This makes a lot of focaccia so my friends happily went home with some leftovers (and there is still some left for us).  I would make this again.  Thanks for posting!  Made for PAC Spring 2013.</t>
        </is>
      </c>
    </row>
    <row r="3020">
      <c r="A3020" s="7" t="n">
        <v>119427</v>
      </c>
      <c r="B3020" s="7" t="n">
        <v>901575</v>
      </c>
      <c r="C3020" s="7" t="n">
        <v>292308</v>
      </c>
      <c r="D3020" s="7" t="n">
        <v>110548</v>
      </c>
      <c r="E3020" s="8" t="n">
        <v>39513</v>
      </c>
      <c r="F3020" s="7" t="n">
        <v>4</v>
      </c>
      <c r="G3020" s="7" t="inlineStr">
        <is>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is>
      </c>
    </row>
    <row r="3021">
      <c r="A3021" s="7" t="n">
        <v>99331</v>
      </c>
      <c r="B3021" s="7" t="n">
        <v>489908</v>
      </c>
      <c r="C3021" s="7" t="n">
        <v>520150</v>
      </c>
      <c r="D3021" s="7" t="n">
        <v>202413</v>
      </c>
      <c r="E3021" s="8" t="n">
        <v>39268</v>
      </c>
      <c r="F3021" s="7" t="n">
        <v>5</v>
      </c>
      <c r="G3021" s="7" t="inlineStr">
        <is>
          <t>This was very good.  We liked it alot.  Wonderfully easy to make as well.  Thank you for a recipe that we will use again and again.  This one is going in my permanent book! :)</t>
        </is>
      </c>
    </row>
    <row r="3022">
      <c r="A3022" s="7" t="n">
        <v>67209</v>
      </c>
      <c r="B3022" s="7" t="n">
        <v>587009</v>
      </c>
      <c r="C3022" s="7" t="n">
        <v>1190665</v>
      </c>
      <c r="D3022" s="7" t="n">
        <v>190616</v>
      </c>
      <c r="E3022" s="8" t="n">
        <v>39891</v>
      </c>
      <c r="F3022" s="7" t="n">
        <v>5</v>
      </c>
      <c r="G3022" s="7" t="inlineStr">
        <is>
          <t>Delicious and easy.  I made without the nuts because I didn't have any, and did dot the top of the apples with some butter, but otherwise made exactly as written.  My 2 year old loved it.  Hopefully there is some left for my husband when he gets home.  Used McIntosh apples and they came out beautifully.</t>
        </is>
      </c>
    </row>
    <row r="3023">
      <c r="A3023" s="7" t="n">
        <v>118905</v>
      </c>
      <c r="B3023" s="7" t="n">
        <v>748464</v>
      </c>
      <c r="C3023" s="7" t="n">
        <v>230258</v>
      </c>
      <c r="D3023" s="7" t="n">
        <v>99272</v>
      </c>
      <c r="E3023" s="8" t="n">
        <v>38674</v>
      </c>
      <c r="F3023" s="7" t="n">
        <v>5</v>
      </c>
      <c r="G3023" s="7" t="inlineStr">
        <is>
          <t>I made this this morning and so glad that i did!!!!! It was very good and enjoyed it very much. Had a bit of troulbe with my bread machine but in  the end it all turned out!</t>
        </is>
      </c>
    </row>
    <row r="3024">
      <c r="A3024" s="7" t="n">
        <v>51712</v>
      </c>
      <c r="B3024" s="7" t="n">
        <v>357003</v>
      </c>
      <c r="C3024" s="7" t="n">
        <v>546012</v>
      </c>
      <c r="D3024" s="7" t="n">
        <v>28954</v>
      </c>
      <c r="E3024" s="8" t="n">
        <v>39921</v>
      </c>
      <c r="F3024" s="7" t="n">
        <v>4</v>
      </c>
      <c r="G3024" s="7" t="inlineStr">
        <is>
          <t>it's bread pudding! i was amazed! and pretty good.  i wouldnt make it again, but it was good while it lasted. thanks!!!</t>
        </is>
      </c>
    </row>
    <row r="3025">
      <c r="A3025" s="7" t="n">
        <v>25374</v>
      </c>
      <c r="B3025" s="7" t="n">
        <v>67879</v>
      </c>
      <c r="C3025" s="7" t="n">
        <v>437598</v>
      </c>
      <c r="D3025" s="7" t="n">
        <v>341506</v>
      </c>
      <c r="E3025" s="8" t="n">
        <v>42003</v>
      </c>
      <c r="F3025" s="7" t="n">
        <v>5</v>
      </c>
      <c r="G3025" s="7" t="inlineStr">
        <is>
          <t>Quick, easy, low carb and delicious. What more could you ask for? Thanks for the recipe, it is a keeper.</t>
        </is>
      </c>
    </row>
    <row r="3026">
      <c r="A3026" s="7" t="n">
        <v>116156</v>
      </c>
      <c r="B3026" s="7" t="n">
        <v>213153</v>
      </c>
      <c r="C3026" s="7" t="n">
        <v>2354478</v>
      </c>
      <c r="D3026" s="7" t="n">
        <v>36627</v>
      </c>
      <c r="E3026" s="8" t="n">
        <v>42177</v>
      </c>
      <c r="F3026" s="7" t="n">
        <v>5</v>
      </c>
      <c r="G3026" s="7" t="inlineStr">
        <is>
          <t>I asked my husband what did they taste like,he said More....they are the best he ever had. These are so good and moist I even added some walnuts to the batter. Thanks for the recipe.....</t>
        </is>
      </c>
    </row>
    <row r="3027">
      <c r="A3027" s="7" t="n">
        <v>9665</v>
      </c>
      <c r="B3027" s="7" t="n">
        <v>807601</v>
      </c>
      <c r="C3027" s="7" t="n">
        <v>192264</v>
      </c>
      <c r="D3027" s="7" t="n">
        <v>113971</v>
      </c>
      <c r="E3027" s="8" t="n">
        <v>38448</v>
      </c>
      <c r="F3027" s="7" t="n">
        <v>5</v>
      </c>
      <c r="G3027" s="7" t="inlineStr">
        <is>
          <t>This recipe was extremely easy and my twin 16 year old girls loved it. I made it on a trip we took to the mountains.</t>
        </is>
      </c>
    </row>
    <row r="3028">
      <c r="A3028" s="7" t="n">
        <v>117467</v>
      </c>
      <c r="B3028" s="7" t="n">
        <v>703089</v>
      </c>
      <c r="C3028" s="7" t="n">
        <v>231198</v>
      </c>
      <c r="D3028" s="7" t="n">
        <v>166794</v>
      </c>
      <c r="E3028" s="8" t="n">
        <v>39039</v>
      </c>
      <c r="F3028" s="7" t="n">
        <v>5</v>
      </c>
      <c r="G3028" s="7" t="inlineStr">
        <is>
          <t>These are very good.  The only thing I did differently was to decrease the whipping cream to 1 tbsp. for the frosting.  Will definitely make again!</t>
        </is>
      </c>
    </row>
    <row r="3029">
      <c r="A3029" t="n">
        <v>107396</v>
      </c>
      <c r="B3029" t="n">
        <v>177892</v>
      </c>
      <c r="C3029" t="n">
        <v>361732</v>
      </c>
      <c r="D3029" t="n">
        <v>38249</v>
      </c>
      <c r="E3029" s="1" t="n">
        <v>39123</v>
      </c>
      <c r="F3029" t="n">
        <v>3</v>
      </c>
      <c r="G3029" t="inlineStr">
        <is>
          <t>I thought it came out a bit dry, but otherwise was fine.</t>
        </is>
      </c>
    </row>
    <row r="3030">
      <c r="A3030" s="7" t="n">
        <v>56396</v>
      </c>
      <c r="B3030" s="7" t="n">
        <v>254838</v>
      </c>
      <c r="C3030" s="7" t="n">
        <v>174096</v>
      </c>
      <c r="D3030" s="7" t="n">
        <v>41599</v>
      </c>
      <c r="E3030" s="8" t="n">
        <v>38466</v>
      </c>
      <c r="F3030" s="7" t="n">
        <v>3</v>
      </c>
      <c r="G3030" s="7" t="inlineStr">
        <is>
          <t>We were looking for ways to use up extra yogurt and found this!  It was quick and easy to make.  Next time we have yogurt about, we'll probably try adding some veggies and chicken, as others have suggested, since we thought it could use a little extra "something."  Thanks!</t>
        </is>
      </c>
    </row>
    <row r="3031">
      <c r="A3031" s="7" t="n">
        <v>11416</v>
      </c>
      <c r="B3031" s="7" t="n">
        <v>246669</v>
      </c>
      <c r="C3031" s="7" t="n">
        <v>400708</v>
      </c>
      <c r="D3031" s="7" t="n">
        <v>115110</v>
      </c>
      <c r="E3031" s="8" t="n">
        <v>41724</v>
      </c>
      <c r="F3031" s="7" t="n">
        <v>5</v>
      </c>
      <c r="G3031" s="7" t="inlineStr">
        <is>
          <t>Made this for breakfast and I loved how easy &amp;amp; adaptable it was; DH loved how great it tasted and said this is a keeper AND a repeater.  The flour tortilla was the perfect crust.  We added a chopped jalapeno and used sausage (that&amp;#039;s what we had) instead of bacon &amp;amp; also saute some sliced onions to go in it.  The fresh spinach was awesome I used the mixed cheddar &amp;amp; jack cheese combo but can see where shredded Swiss would be great too.  This is going right into my Best of 2014 Book.</t>
        </is>
      </c>
    </row>
    <row r="3032">
      <c r="A3032" s="7" t="n">
        <v>114292</v>
      </c>
      <c r="B3032" s="7" t="n">
        <v>675370</v>
      </c>
      <c r="C3032" s="7" t="n">
        <v>40961</v>
      </c>
      <c r="D3032" s="7" t="n">
        <v>72283</v>
      </c>
      <c r="E3032" s="8" t="n">
        <v>39272</v>
      </c>
      <c r="F3032" s="7" t="n">
        <v>5</v>
      </c>
      <c r="G3032" s="7" t="inlineStr">
        <is>
          <t>I've made this pizza sauce twice this week. The second time I doubled it. It is so easy and tastes really good. The first time it went on homemade pizza. Tonight it was used as a dipping sauce. Thanks for sharing your recipe.</t>
        </is>
      </c>
    </row>
    <row r="3033">
      <c r="A3033" s="7" t="n">
        <v>66638</v>
      </c>
      <c r="B3033" s="7" t="n">
        <v>849703</v>
      </c>
      <c r="C3033" s="7" t="n">
        <v>119466</v>
      </c>
      <c r="D3033" s="7" t="n">
        <v>154817</v>
      </c>
      <c r="E3033" s="8" t="n">
        <v>38789</v>
      </c>
      <c r="F3033" s="7" t="n">
        <v>5</v>
      </c>
      <c r="G3033" s="7" t="inlineStr">
        <is>
          <t>Simple, quick and delicious--can't beat that combination. I totally forgot about squeezing the lime juice over the chicken, though, until after we had eaten, but I do have leftovers, so maybe I will try that tomorrow. :) Thanks for posting!</t>
        </is>
      </c>
    </row>
    <row r="3034">
      <c r="A3034" s="7" t="n">
        <v>42096</v>
      </c>
      <c r="B3034" s="7" t="n">
        <v>515629</v>
      </c>
      <c r="C3034" s="7" t="n">
        <v>117931</v>
      </c>
      <c r="D3034" s="7" t="n">
        <v>73274</v>
      </c>
      <c r="E3034" s="8" t="n">
        <v>40114</v>
      </c>
      <c r="F3034" s="7" t="n">
        <v>5</v>
      </c>
      <c r="G3034" s="7" t="inlineStr">
        <is>
          <t>Great recipe! Did multiple batches.</t>
        </is>
      </c>
    </row>
    <row r="3035">
      <c r="A3035" s="7" t="n">
        <v>61432</v>
      </c>
      <c r="B3035" s="7" t="n">
        <v>441170</v>
      </c>
      <c r="C3035" s="7" t="n">
        <v>1329985</v>
      </c>
      <c r="D3035" s="7" t="n">
        <v>218484</v>
      </c>
      <c r="E3035" s="8" t="n">
        <v>40014</v>
      </c>
      <c r="F3035" s="7" t="n">
        <v>5</v>
      </c>
      <c r="G3035" s="7" t="inlineStr">
        <is>
          <t>My family loved this.  Super easy, tasty and quick to throw together.  We didn't miss the phyllo either.  Will definitely be making this part of our regular rotation.</t>
        </is>
      </c>
    </row>
    <row r="3036">
      <c r="A3036" s="7" t="n">
        <v>50656</v>
      </c>
      <c r="B3036" s="7" t="n">
        <v>56915</v>
      </c>
      <c r="C3036" s="7" t="n">
        <v>1182835</v>
      </c>
      <c r="D3036" s="7" t="n">
        <v>9054</v>
      </c>
      <c r="E3036" s="8" t="n">
        <v>41238</v>
      </c>
      <c r="F3036" s="7" t="n">
        <v>5</v>
      </c>
      <c r="G3036" s="7" t="inlineStr">
        <is>
          <t>These were SO good! I stuck to the recipe and they came out great. I used a small ice cream scoop to put them in the pan, then I flattened them a little with the spatula (I used olive oil) . I added cheese but left out the onions because my son doesn't like them but next time i will definately add them. I love all of the variations and think next time, I will do onions, bacon and cheese in them with a little dallop of sour cream on top~</t>
        </is>
      </c>
    </row>
    <row r="3037">
      <c r="A3037" s="7" t="n">
        <v>66321</v>
      </c>
      <c r="B3037" s="7" t="n">
        <v>338533</v>
      </c>
      <c r="C3037" s="7" t="n">
        <v>1103344</v>
      </c>
      <c r="D3037" s="7" t="n">
        <v>367984</v>
      </c>
      <c r="E3037" s="8" t="n">
        <v>40095</v>
      </c>
      <c r="F3037" s="7" t="n">
        <v>5</v>
      </c>
      <c r="G3037" s="7" t="inlineStr">
        <is>
          <t>This was super yummy and a meal in itself!!! Very easy and ver tastey! I did not use the dill as I am not a fan, and still came out wonderful! I will make this again and again!!</t>
        </is>
      </c>
    </row>
    <row r="3038">
      <c r="A3038" s="7" t="n">
        <v>106410</v>
      </c>
      <c r="B3038" s="7" t="n">
        <v>793255</v>
      </c>
      <c r="C3038" s="7" t="n">
        <v>126440</v>
      </c>
      <c r="D3038" s="7" t="n">
        <v>339697</v>
      </c>
      <c r="E3038" s="8" t="n">
        <v>40166</v>
      </c>
      <c r="F3038" s="7" t="n">
        <v>5</v>
      </c>
      <c r="G3038" s="7" t="inlineStr">
        <is>
          <t>Great meltaways.  I made them and chilled but ran out of time so they sat overnight.  Next day I baked them.  Mine took longer but turned out great.  Will make these every year.</t>
        </is>
      </c>
    </row>
    <row r="3039">
      <c r="A3039" s="7" t="n">
        <v>112289</v>
      </c>
      <c r="B3039" s="7" t="n">
        <v>1048484</v>
      </c>
      <c r="C3039" s="7" t="n">
        <v>295995</v>
      </c>
      <c r="D3039" s="7" t="n">
        <v>89695</v>
      </c>
      <c r="E3039" s="8" t="n">
        <v>40410</v>
      </c>
      <c r="F3039" s="7" t="n">
        <v>5</v>
      </c>
      <c r="G3039" s="7" t="inlineStr">
        <is>
          <t>This was an easy and great tasting recipe!  I used blackberry jam and it was awesome.  Kids loved it!  Thank you for posting, this is a keeper.</t>
        </is>
      </c>
    </row>
    <row r="3040">
      <c r="A3040" s="7" t="n">
        <v>103573</v>
      </c>
      <c r="B3040" s="7" t="n">
        <v>830236</v>
      </c>
      <c r="C3040" s="7" t="n">
        <v>28177</v>
      </c>
      <c r="D3040" s="7" t="n">
        <v>19364</v>
      </c>
      <c r="E3040" s="8" t="n">
        <v>39625</v>
      </c>
      <c r="F3040" s="7" t="n">
        <v>3</v>
      </c>
      <c r="G3040" s="7" t="inlineStr">
        <is>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is>
      </c>
    </row>
    <row r="3041">
      <c r="A3041" t="n">
        <v>6576</v>
      </c>
      <c r="B3041" t="n">
        <v>252874</v>
      </c>
      <c r="C3041" t="n">
        <v>181781</v>
      </c>
      <c r="D3041" t="n">
        <v>35157</v>
      </c>
      <c r="E3041" s="1" t="n">
        <v>38653</v>
      </c>
      <c r="F3041" t="n">
        <v>5</v>
      </c>
      <c r="G3041" t="inlineStr">
        <is>
          <t>I made these a few days in advance for a football party and of course we had to try one. Man was it hard to eat just one. Forget crab cakes! I only used about a TBS of oil to fry each side, I don't think you need a 1/4 inch. For a sauce I used Chipotle Aioli Recipe #117297 on this site. Thanks Chef morelhunter. Can't wait to make these again.</t>
        </is>
      </c>
    </row>
    <row r="3042">
      <c r="A3042" s="7" t="n">
        <v>100424</v>
      </c>
      <c r="B3042" s="7" t="n">
        <v>951622</v>
      </c>
      <c r="C3042" s="7" t="n">
        <v>360437</v>
      </c>
      <c r="D3042" s="7" t="n">
        <v>49950</v>
      </c>
      <c r="E3042" s="8" t="n">
        <v>39152</v>
      </c>
      <c r="F3042" s="7" t="n">
        <v>5</v>
      </c>
      <c r="G3042" s="7" t="inlineStr">
        <is>
          <t>I LOVE THIS! I'll probably eat it every day for breakfast. I used natural peanut butter and maple syrup and added about a tablespoon of rolled oats. Thank you!</t>
        </is>
      </c>
    </row>
    <row r="3043">
      <c r="A3043" s="7" t="n">
        <v>14583</v>
      </c>
      <c r="B3043" s="7" t="n">
        <v>501081</v>
      </c>
      <c r="C3043" s="7" t="n">
        <v>883169</v>
      </c>
      <c r="D3043" s="7" t="n">
        <v>211112</v>
      </c>
      <c r="E3043" s="8" t="n">
        <v>40466</v>
      </c>
      <c r="F3043" s="7" t="n">
        <v>5</v>
      </c>
      <c r="G3043" s="7" t="inlineStr">
        <is>
          <t>This was VERY tasty and made a great presentation.</t>
        </is>
      </c>
    </row>
    <row r="3044">
      <c r="A3044" t="n">
        <v>15080</v>
      </c>
      <c r="B3044" t="n">
        <v>937854</v>
      </c>
      <c r="C3044" t="n">
        <v>126618</v>
      </c>
      <c r="D3044" t="n">
        <v>82102</v>
      </c>
      <c r="E3044" s="1" t="n">
        <v>38296</v>
      </c>
      <c r="F3044" t="n">
        <v>4</v>
      </c>
      <c r="G3044" t="inlineStr">
        <is>
          <t xml:space="preserve">Wow! super garlic!  After eating this DH and I were garlicy for days!  It was worth is though.  The breasts I used were really large so I cut the chicken  into bite size pieces before breading and baking.  The amount of breading was still fine but the baking time was less.  </t>
        </is>
      </c>
    </row>
    <row r="3045">
      <c r="A3045" s="7" t="n">
        <v>52651</v>
      </c>
      <c r="B3045" s="7" t="n">
        <v>536535</v>
      </c>
      <c r="C3045" s="7" t="n">
        <v>121690</v>
      </c>
      <c r="D3045" s="7" t="n">
        <v>216575</v>
      </c>
      <c r="E3045" s="8" t="n">
        <v>39219</v>
      </c>
      <c r="F3045" s="7" t="n">
        <v>4</v>
      </c>
      <c r="G3045" s="7" t="inlineStr">
        <is>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is>
      </c>
    </row>
    <row r="3046">
      <c r="A3046" s="7" t="n">
        <v>126075</v>
      </c>
      <c r="B3046" s="7" t="n">
        <v>1099661</v>
      </c>
      <c r="C3046" s="7" t="n">
        <v>182923</v>
      </c>
      <c r="D3046" s="7" t="n">
        <v>494369</v>
      </c>
      <c r="E3046" s="8" t="n">
        <v>41306</v>
      </c>
      <c r="F3046" s="7" t="n">
        <v>5</v>
      </c>
      <c r="G3046" s="7" t="inlineStr">
        <is>
          <t>Very good salad!</t>
        </is>
      </c>
    </row>
    <row r="3047">
      <c r="A3047" s="7" t="n">
        <v>71206</v>
      </c>
      <c r="B3047" s="7" t="n">
        <v>655222</v>
      </c>
      <c r="C3047" s="7" t="n">
        <v>176615</v>
      </c>
      <c r="D3047" s="7" t="n">
        <v>124464</v>
      </c>
      <c r="E3047" s="8" t="n">
        <v>38846</v>
      </c>
      <c r="F3047" s="7" t="n">
        <v>5</v>
      </c>
      <c r="G3047" s="7" t="inlineStr">
        <is>
          <t xml:space="preserve">Oh, boy, these are delicious! Great for filling the cookie jar. Lots of crunchy stuff in a cookie that's bendably soft but crunchy on the outside. Awesome! with some vanilla ice cream on the side. I made a couple of subs, using butter for shortening and equal parts white whole wheat and all-purpose flour. Used Total flakes. So yummy! Thanks for the recipe!! </t>
        </is>
      </c>
    </row>
    <row r="3048">
      <c r="A3048" s="7" t="n">
        <v>111200</v>
      </c>
      <c r="B3048" s="7" t="n">
        <v>1016899</v>
      </c>
      <c r="C3048" s="7" t="n">
        <v>2002275539</v>
      </c>
      <c r="D3048" s="7" t="n">
        <v>349246</v>
      </c>
      <c r="E3048" s="8" t="n">
        <v>43358</v>
      </c>
      <c r="F3048" s="7" t="n">
        <v>1</v>
      </c>
      <c r="G3048" s="7" t="inlineStr">
        <is>
          <t>Awful. Just awful. I followed the directions exactly, and it falls apart on the spoon into a pile of crumbs. It was also very, very dry. I'm assuming it's the lack of leavening and egg, but this is a super &amp;quot;never again&amp;quot; recipe.</t>
        </is>
      </c>
    </row>
    <row r="3049">
      <c r="A3049" s="7" t="n">
        <v>73581</v>
      </c>
      <c r="B3049" s="7" t="n">
        <v>367009</v>
      </c>
      <c r="C3049" s="7" t="n">
        <v>4470</v>
      </c>
      <c r="D3049" s="7" t="n">
        <v>159554</v>
      </c>
      <c r="E3049" s="8" t="n">
        <v>40049</v>
      </c>
      <c r="F3049" s="7" t="n">
        <v>5</v>
      </c>
      <c r="G3049" s="7" t="inlineStr">
        <is>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is>
      </c>
    </row>
    <row r="3050">
      <c r="A3050" s="7" t="n">
        <v>103815</v>
      </c>
      <c r="B3050" s="7" t="n">
        <v>642802</v>
      </c>
      <c r="C3050" s="7" t="n">
        <v>1802849661</v>
      </c>
      <c r="D3050" s="7" t="n">
        <v>35988</v>
      </c>
      <c r="E3050" s="8" t="n">
        <v>42372</v>
      </c>
      <c r="F3050" s="7" t="n">
        <v>5</v>
      </c>
      <c r="G3050" s="7" t="inlineStr">
        <is>
          <t>What a great soup recipe! I&amp;#039;m always on the lookout for new homemade soups as I love them and find them so comforting. This was just perfect after the excess of Christmas! We both loved it here and will definitely make it again!</t>
        </is>
      </c>
    </row>
    <row r="3051" ht="409.5" customHeight="1">
      <c r="A3051" s="7" t="n">
        <v>123695</v>
      </c>
      <c r="B3051" s="7" t="n">
        <v>577489</v>
      </c>
      <c r="C3051" s="7" t="n">
        <v>367164</v>
      </c>
      <c r="D3051" s="7" t="n">
        <v>29636</v>
      </c>
      <c r="E3051" s="8" t="n">
        <v>39539</v>
      </c>
      <c r="F3051" s="7" t="n">
        <v>5</v>
      </c>
      <c r="G3051" s="9" t="inlineStr">
        <is>
          <t>Thanks for posting!  
Note:
Instead of double brewing, you can add twice the coffee  (I add 4 scoops instead of 2 for one cup).  Like a previous poster commented, otherwise it will get watered down with the milk and ice. =)</t>
        </is>
      </c>
    </row>
    <row r="3052">
      <c r="A3052" s="7" t="n">
        <v>45883</v>
      </c>
      <c r="B3052" s="7" t="n">
        <v>382247</v>
      </c>
      <c r="C3052" s="7" t="n">
        <v>113894</v>
      </c>
      <c r="D3052" s="7" t="n">
        <v>136983</v>
      </c>
      <c r="E3052" s="8" t="n">
        <v>39330</v>
      </c>
      <c r="F3052" s="7" t="n">
        <v>5</v>
      </c>
      <c r="G3052" s="7" t="inlineStr">
        <is>
          <t>These are excellent.  I have made them several times.  I tried another recipe that sounded promising....#107476 (Scrambled Eggs) but I came back to this one for the taste AND because they are so quick.  Thanks so much for posting this winner!</t>
        </is>
      </c>
    </row>
    <row r="3053">
      <c r="A3053" s="7" t="n">
        <v>57288</v>
      </c>
      <c r="B3053" s="7" t="n">
        <v>55917</v>
      </c>
      <c r="C3053" s="7" t="n">
        <v>148316</v>
      </c>
      <c r="D3053" s="7" t="n">
        <v>73450</v>
      </c>
      <c r="E3053" s="8" t="n">
        <v>38603</v>
      </c>
      <c r="F3053" s="7" t="n">
        <v>5</v>
      </c>
      <c r="G3053" s="7" t="inlineStr">
        <is>
          <t>WOW! This was fast, easy and delicious!  We don't have polska kielbasa here so I used garlic braadworst instead.  Other then doubling the amount of red pepper then noted, I followed the recipe exactly as directed and topped with freshly grated Parmasean.  Delicious combination of garlicy creamy spiciness! This recipe is a keeper!</t>
        </is>
      </c>
    </row>
    <row r="3054">
      <c r="A3054" s="7" t="n">
        <v>22957</v>
      </c>
      <c r="B3054" s="7" t="n">
        <v>1074375</v>
      </c>
      <c r="C3054" s="7" t="n">
        <v>1194881</v>
      </c>
      <c r="D3054" s="7" t="n">
        <v>135350</v>
      </c>
      <c r="E3054" s="8" t="n">
        <v>40070</v>
      </c>
      <c r="F3054" s="7" t="n">
        <v>5</v>
      </c>
      <c r="G3054" s="7" t="inlineStr">
        <is>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is>
      </c>
    </row>
    <row r="3055">
      <c r="A3055" s="7" t="n">
        <v>110922</v>
      </c>
      <c r="B3055" s="7" t="n">
        <v>512581</v>
      </c>
      <c r="C3055" s="7" t="n">
        <v>280271</v>
      </c>
      <c r="D3055" s="7" t="n">
        <v>115132</v>
      </c>
      <c r="E3055" s="8" t="n">
        <v>38907</v>
      </c>
      <c r="F3055" s="7" t="n">
        <v>5</v>
      </c>
      <c r="G3055" s="7" t="inlineStr">
        <is>
          <t>Wow! This was easy to prepare and had a nice tangy flavor. I didn't change a thing. You must use the pink peppercorns. I will be making again and again. I have too, because I now have pink peppecorns! Thanks Chia for posting.</t>
        </is>
      </c>
    </row>
    <row r="3056">
      <c r="A3056" s="7" t="n">
        <v>55113</v>
      </c>
      <c r="B3056" s="7" t="n">
        <v>202442</v>
      </c>
      <c r="C3056" s="7" t="n">
        <v>332987</v>
      </c>
      <c r="D3056" s="7" t="n">
        <v>201878</v>
      </c>
      <c r="E3056" s="8" t="n">
        <v>39865</v>
      </c>
      <c r="F3056" s="7" t="n">
        <v>5</v>
      </c>
      <c r="G3056" s="7" t="inlineStr">
        <is>
          <t>I had much more fennel than the recipe asked for, about 1lb, and wanted to use it all. As a result, the bisque was a bit thick and I added more stock (chicken stock), and I also needed a bit more salt. I also did not have fat-free half-and-half, so I went by recommendation on resipezaar and made the mixture by using milk and melted butter. So my bisque was probably richer than yours, but you can't spoil a soup by adding butter, so the end result was very good! Thank you!</t>
        </is>
      </c>
    </row>
    <row r="3057">
      <c r="A3057" s="7" t="n">
        <v>10033</v>
      </c>
      <c r="B3057" s="7" t="n">
        <v>657226</v>
      </c>
      <c r="C3057" s="7" t="n">
        <v>1502743</v>
      </c>
      <c r="D3057" s="7" t="n">
        <v>27208</v>
      </c>
      <c r="E3057" s="8" t="n">
        <v>40741</v>
      </c>
      <c r="F3057" s="7" t="n">
        <v>0</v>
      </c>
      <c r="G3057" s="7" t="inlineStr">
        <is>
          <t>This was the best pot roast I have made in 22 years of marriage!  I made it just as the recipe stated, and it was perfect!  One must is to serve the drippings to dip the meat in - it made it even more flavorful!  Thank you for posting this!</t>
        </is>
      </c>
    </row>
    <row r="3058">
      <c r="A3058" s="7" t="n">
        <v>75804</v>
      </c>
      <c r="B3058" s="7" t="n">
        <v>1040035</v>
      </c>
      <c r="C3058" s="7" t="n">
        <v>1847127</v>
      </c>
      <c r="D3058" s="7" t="n">
        <v>129042</v>
      </c>
      <c r="E3058" s="8" t="n">
        <v>40608</v>
      </c>
      <c r="F3058" s="7" t="n">
        <v>5</v>
      </c>
      <c r="G3058" s="7" t="inlineStr">
        <is>
          <t>This muffin is wonderful ! I added fresh blueberries and used raw sugar on top.  If you love good texture this muffin packs it all - crunchy top - soft moist middle.  It's a winner!</t>
        </is>
      </c>
    </row>
    <row r="3059">
      <c r="A3059" s="7" t="n">
        <v>15836</v>
      </c>
      <c r="B3059" s="7" t="n">
        <v>639200</v>
      </c>
      <c r="C3059" s="7" t="n">
        <v>919451</v>
      </c>
      <c r="D3059" s="7" t="n">
        <v>418170</v>
      </c>
      <c r="E3059" s="8" t="n">
        <v>41298</v>
      </c>
      <c r="F3059" s="7" t="n">
        <v>4</v>
      </c>
      <c r="G3059" s="7" t="inlineStr">
        <is>
          <t>This was so yummy!   A great way to up your protein intake in the am!</t>
        </is>
      </c>
    </row>
    <row r="3060">
      <c r="A3060" s="7" t="n">
        <v>37448</v>
      </c>
      <c r="B3060" s="7" t="n">
        <v>159433</v>
      </c>
      <c r="C3060" s="7" t="n">
        <v>593513</v>
      </c>
      <c r="D3060" s="7" t="n">
        <v>330787</v>
      </c>
      <c r="E3060" s="8" t="n">
        <v>40122</v>
      </c>
      <c r="F3060" s="7" t="n">
        <v>4</v>
      </c>
      <c r="G3060" s="7" t="inlineStr">
        <is>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is>
      </c>
    </row>
    <row r="3061">
      <c r="A3061" s="7" t="n">
        <v>67561</v>
      </c>
      <c r="B3061" s="7" t="n">
        <v>680895</v>
      </c>
      <c r="C3061" s="7" t="n">
        <v>115178</v>
      </c>
      <c r="D3061" s="7" t="n">
        <v>108248</v>
      </c>
      <c r="E3061" s="8" t="n">
        <v>38374</v>
      </c>
      <c r="F3061" s="7" t="n">
        <v>5</v>
      </c>
      <c r="G3061" s="7" t="inlineStr">
        <is>
          <t>Great recipe.My neighbor used to make these when I was a kid, and I loved them. I searched around for this recipe and made something similiar. I made these with ghiradelli milk chocolate chips and omitted the nuts.I had a bit of trouble spreading out the dough and tried to get it as close to baking pan as I could, but as it baked it spread out a bit on its own. I also used parchment paper on the bottom of the baking sheet for easy removal and quick clean up. Thanks for posting this recipe.</t>
        </is>
      </c>
    </row>
    <row r="3062">
      <c r="A3062" s="7" t="n">
        <v>70467</v>
      </c>
      <c r="B3062" s="7" t="n">
        <v>760566</v>
      </c>
      <c r="C3062" s="7" t="n">
        <v>95743</v>
      </c>
      <c r="D3062" s="7" t="n">
        <v>96355</v>
      </c>
      <c r="E3062" s="8" t="n">
        <v>38266</v>
      </c>
      <c r="F3062" s="7" t="n">
        <v>5</v>
      </c>
      <c r="G3062" s="7" t="inlineStr">
        <is>
          <t>This is a terrific stew.  I had my doubts about some of the ingredient proportions but it all worked out beautifully.  Don't forget to add the sage and pepper.  They aren't mentioned in the directions.  The only changes I made were to skip the cornstarch (didn't need it) and forego the butter (didn't miss it).  Wonderful combination, eebrag.  Loved it.</t>
        </is>
      </c>
    </row>
    <row r="3063">
      <c r="A3063" s="7" t="n">
        <v>353</v>
      </c>
      <c r="B3063" s="7" t="n">
        <v>1050209</v>
      </c>
      <c r="C3063" s="7" t="n">
        <v>122087</v>
      </c>
      <c r="D3063" s="7" t="n">
        <v>53878</v>
      </c>
      <c r="E3063" s="8" t="n">
        <v>39906</v>
      </c>
      <c r="F3063" s="7" t="n">
        <v>4</v>
      </c>
      <c r="G3063" s="7" t="inlineStr">
        <is>
          <t>Hubby gives these 3.5 stars, so we'll round up to 4. :) Easy to add the fillings you prefer. Not an "impressive" dish, but easy to make and a big hit with the kids. What more could you want?</t>
        </is>
      </c>
    </row>
    <row r="3064">
      <c r="A3064" s="7" t="n">
        <v>125201</v>
      </c>
      <c r="B3064" s="7" t="n">
        <v>260261</v>
      </c>
      <c r="C3064" s="7" t="n">
        <v>344716</v>
      </c>
      <c r="D3064" s="7" t="n">
        <v>1322</v>
      </c>
      <c r="E3064" s="8" t="n">
        <v>38958</v>
      </c>
      <c r="F3064" s="7" t="n">
        <v>2</v>
      </c>
      <c r="G3064" s="7" t="inlineStr">
        <is>
          <t>this cake was alright, but i found it very dry, and flavourless [i even added a little extra vanilla]. i dont know if i'll make it again.</t>
        </is>
      </c>
    </row>
    <row r="3065">
      <c r="A3065" s="7" t="n">
        <v>76454</v>
      </c>
      <c r="B3065" s="7" t="n">
        <v>141633</v>
      </c>
      <c r="C3065" s="7" t="n">
        <v>185142</v>
      </c>
      <c r="D3065" s="7" t="n">
        <v>24459</v>
      </c>
      <c r="E3065" s="8" t="n">
        <v>38398</v>
      </c>
      <c r="F3065" s="7" t="n">
        <v>5</v>
      </c>
      <c r="G3065" s="7" t="inlineStr">
        <is>
          <t>Delicious. I sauteed some red peppers and onions in with the butter for a few minutes before I added the flour. I also substituted fat free half and half for the milk. I didn't tell my DH about the cottage cheese until he tasted it. He absolutely loved it. Thanks Angela.</t>
        </is>
      </c>
    </row>
    <row r="3066">
      <c r="A3066" s="7" t="n">
        <v>60733</v>
      </c>
      <c r="B3066" s="7" t="n">
        <v>778828</v>
      </c>
      <c r="C3066" s="7" t="n">
        <v>130819</v>
      </c>
      <c r="D3066" s="7" t="n">
        <v>91460</v>
      </c>
      <c r="E3066" s="8" t="n">
        <v>39870</v>
      </c>
      <c r="F3066" s="7" t="n">
        <v>5</v>
      </c>
      <c r="G3066" s="7" t="inlineStr">
        <is>
          <t>Found this recipe while browsing the photo forum - the awesome looking photo had me checking out the recipe. Just knew it was another of Evelyn's recipes that would be a hit at our house - and it was. As Bergy made mention I did up the sauce early in the day. Used canned salmon and made as posted - great Salmon Cakes! No changes needed for this one.The sauce so good it will be made and offered when serving salmon. Coleslaw made using Andypandy's dressing from recipe#112601made for a perfect lunch.  Thank you Evelyn, it's a recipe that will be shared with family and friends.</t>
        </is>
      </c>
    </row>
    <row r="3067">
      <c r="A3067" s="7" t="n">
        <v>53649</v>
      </c>
      <c r="B3067" s="7" t="n">
        <v>605039</v>
      </c>
      <c r="C3067" s="7" t="n">
        <v>2001554366</v>
      </c>
      <c r="D3067" s="7" t="n">
        <v>70983</v>
      </c>
      <c r="E3067" s="8" t="n">
        <v>42881</v>
      </c>
      <c r="F3067" s="7" t="n">
        <v>5</v>
      </c>
      <c r="G3067" s="7" t="inlineStr">
        <is>
          <t>I decided to use 2 cups of mustard and 1 1/2 cups of vinegar instead the second time I made this sauce. It's better that way, I think. Otherwise this is the best recipe for gold sauce I've found.</t>
        </is>
      </c>
    </row>
    <row r="3068">
      <c r="A3068" s="7" t="n">
        <v>39341</v>
      </c>
      <c r="B3068" s="7" t="n">
        <v>824923</v>
      </c>
      <c r="C3068" s="7" t="n">
        <v>198154</v>
      </c>
      <c r="D3068" s="7" t="n">
        <v>351001</v>
      </c>
      <c r="E3068" s="8" t="n">
        <v>41927</v>
      </c>
      <c r="F3068" s="7" t="n">
        <v>4</v>
      </c>
      <c r="G3068" s="7" t="inlineStr">
        <is>
          <t>While my family thought that this was good, DH thought this dressing was the best he&amp;#039;s ever had.  Guess I&amp;#039;ll be making this a lot!  Going to have a bottle of that dressing on hand from now on.</t>
        </is>
      </c>
    </row>
    <row r="3069">
      <c r="A3069" s="7" t="n">
        <v>56873</v>
      </c>
      <c r="B3069" s="7" t="n">
        <v>701749</v>
      </c>
      <c r="C3069" s="7" t="n">
        <v>343228</v>
      </c>
      <c r="D3069" s="7" t="n">
        <v>14674</v>
      </c>
      <c r="E3069" s="8" t="n">
        <v>39108</v>
      </c>
      <c r="F3069" s="7" t="n">
        <v>4</v>
      </c>
      <c r="G3069" s="7" t="inlineStr">
        <is>
          <t>This was a wonderful dish. I served it with plain white rice, and it was good. I really enjoyed this one, reminded me of my childhood.</t>
        </is>
      </c>
    </row>
    <row r="3070">
      <c r="A3070" s="7" t="n">
        <v>29103</v>
      </c>
      <c r="B3070" s="7" t="n">
        <v>247998</v>
      </c>
      <c r="C3070" s="7" t="n">
        <v>140873</v>
      </c>
      <c r="D3070" s="7" t="n">
        <v>215414</v>
      </c>
      <c r="E3070" s="8" t="n">
        <v>40536</v>
      </c>
      <c r="F3070" s="7" t="n">
        <v>5</v>
      </c>
      <c r="G3070" s="7" t="inlineStr">
        <is>
          <t>Awesome base recipe using raw potatoes (instead of frozen). I sliced them at 1/16" and they were still a little chewy, so maybe next time I would add cooking time or do as Kittencal suggests and micro them first.  I used: cream of mushroom soup, frozen pearl onions chopped up b/c I didn't have regular yellow onion, sliced (dried) garlic as well as some minced garlic, heavy cream &amp; milk mixture; I omitted bell pepper, garlic powder, &amp; seasoning salt; I added 2 small cans mushrooms, some garlic salt, quite a bit of paprika, a little chili powder, &amp; a little crushed red pepper; I also only used about 1/2 lb ground sirloin b/c I didn't have more on hand. I mixed all together, topped with some cheddar &amp; paprika, and cooked as stated.  Because I didn't use exact measurements, I ended up with casserole that was probably more soupy than intended, but we like it that way.</t>
        </is>
      </c>
    </row>
    <row r="3071">
      <c r="A3071" s="7" t="n">
        <v>27297</v>
      </c>
      <c r="B3071" s="7" t="n">
        <v>630864</v>
      </c>
      <c r="C3071" s="7" t="n">
        <v>487909</v>
      </c>
      <c r="D3071" s="7" t="n">
        <v>14384</v>
      </c>
      <c r="E3071" s="8" t="n">
        <v>39411</v>
      </c>
      <c r="F3071" s="7" t="n">
        <v>5</v>
      </c>
      <c r="G3071" s="7" t="inlineStr">
        <is>
          <t>This was incredible!!  So easy to make and was a huge hit at Thanksgiving!  Thanks!</t>
        </is>
      </c>
    </row>
    <row r="3072">
      <c r="A3072" s="7" t="n">
        <v>37373</v>
      </c>
      <c r="B3072" s="7" t="n">
        <v>82908</v>
      </c>
      <c r="C3072" s="7" t="n">
        <v>496803</v>
      </c>
      <c r="D3072" s="7" t="n">
        <v>458009</v>
      </c>
      <c r="E3072" s="8" t="n">
        <v>40809</v>
      </c>
      <c r="F3072" s="7" t="n">
        <v>5</v>
      </c>
      <c r="G3072" s="7" t="inlineStr">
        <is>
          <t>What a wonderful breakfast!  I love the combination of scrambled eggs and smoked salmon, so I was sure I'd love this as well.  The eggs were fresh from my own chickens, and the beautiful golden yolks along with with the pink of the salmon made this as pretty as it was yummy.  I made as written, but next time I think I'll add either some fresh dill or chives, as both are wonderful with eggs and salmon.  I'd never have thought to pair Gruyere with salmon, but the combination worked beautifully- nutty flavors in the cheese with the richness of the fish.</t>
        </is>
      </c>
    </row>
    <row r="3073">
      <c r="A3073" t="n">
        <v>81188</v>
      </c>
      <c r="B3073" t="n">
        <v>777466</v>
      </c>
      <c r="C3073" t="n">
        <v>252570</v>
      </c>
      <c r="D3073" t="n">
        <v>136012</v>
      </c>
      <c r="E3073" s="1" t="n">
        <v>41058</v>
      </c>
      <c r="F3073" t="n">
        <v>3</v>
      </c>
      <c r="G3073" t="inlineStr">
        <is>
          <t>Had some left over mashed potatoes and this was a quick fix. A little bland for me, but the process worked well. Thanks !</t>
        </is>
      </c>
    </row>
    <row r="3074">
      <c r="A3074" t="n">
        <v>57499</v>
      </c>
      <c r="B3074" t="n">
        <v>542314</v>
      </c>
      <c r="C3074" t="n">
        <v>169430</v>
      </c>
      <c r="D3074" t="n">
        <v>39402</v>
      </c>
      <c r="E3074" s="1" t="n">
        <v>39664</v>
      </c>
      <c r="F3074" t="n">
        <v>5</v>
      </c>
      <c r="G3074" t="inlineStr">
        <is>
          <t>Wonderful all fruit smoothie. I reduced the size to give ne about 1 cup in total and used a tsp of Splenda for the honey. This made a perfect afternoon snack as it's thick and quite filling. I love the light tang the unsweetened oj gives it. Made for Photo Tag.</t>
        </is>
      </c>
    </row>
    <row r="3075">
      <c r="A3075" s="7" t="n">
        <v>6143</v>
      </c>
      <c r="B3075" s="7" t="n">
        <v>87123</v>
      </c>
      <c r="C3075" s="7" t="n">
        <v>611673</v>
      </c>
      <c r="D3075" s="7" t="n">
        <v>23494</v>
      </c>
      <c r="E3075" s="8" t="n">
        <v>39402</v>
      </c>
      <c r="F3075" s="7" t="n">
        <v>3</v>
      </c>
      <c r="G3075" s="7" t="inlineStr">
        <is>
          <t>Very good cookies. The only changes that I made were to cut the white sugar down to 1/2 cup and use WW flour instead of AP. There was a little too much going on with all the different textures (we're simple cookie people) but that didn't keep us from eating them.</t>
        </is>
      </c>
    </row>
    <row r="3076">
      <c r="A3076" s="7" t="n">
        <v>89177</v>
      </c>
      <c r="B3076" s="7" t="n">
        <v>936816</v>
      </c>
      <c r="C3076" s="7" t="n">
        <v>178427</v>
      </c>
      <c r="D3076" s="7" t="n">
        <v>168710</v>
      </c>
      <c r="E3076" s="8" t="n">
        <v>41111</v>
      </c>
      <c r="F3076" s="7" t="n">
        <v>5</v>
      </c>
      <c r="G3076" s="7" t="inlineStr">
        <is>
          <t>Excellent! I only made half the recipe and put it in a 8 x 11 inch pan. I used tomato fettucini for this. I didn't have the egg substitute so I added an extra egg. It worked fine. I loved how all the flavors came through. It was perfectly baked in 40 minutes. Thanks for sharing. Made for ZWT 8- France.</t>
        </is>
      </c>
    </row>
    <row r="3077">
      <c r="A3077" s="7" t="n">
        <v>48756</v>
      </c>
      <c r="B3077" s="7" t="n">
        <v>837750</v>
      </c>
      <c r="C3077" s="7" t="n">
        <v>180391</v>
      </c>
      <c r="D3077" s="7" t="n">
        <v>110683</v>
      </c>
      <c r="E3077" s="8" t="n">
        <v>40982</v>
      </c>
      <c r="F3077" s="7" t="n">
        <v>5</v>
      </c>
      <c r="G3077" s="7" t="inlineStr">
        <is>
          <t>Yum! First time I've ever made waffles from scratch. I usually use a mix. Never again! These were delicious. They were so light and fluffy. My teenage son requested them with homemade blueberry syrup and whipped cream. It was like dessert. Thanks for the easy and very yummy recipe.</t>
        </is>
      </c>
    </row>
    <row r="3078">
      <c r="A3078" s="7" t="n">
        <v>92926</v>
      </c>
      <c r="B3078" s="7" t="n">
        <v>1059800</v>
      </c>
      <c r="C3078" s="7" t="n">
        <v>581608</v>
      </c>
      <c r="D3078" s="7" t="n">
        <v>132469</v>
      </c>
      <c r="E3078" s="8" t="n">
        <v>39332</v>
      </c>
      <c r="F3078" s="7" t="n">
        <v>5</v>
      </c>
      <c r="G3078" s="7" t="inlineStr">
        <is>
          <t>After trying this out, WoW, worth the time and effort to do this.  We did not use the clear jel, but just boiled the Salsa for a couple of hours to thicken it up. Great taste, can't wait to make more!</t>
        </is>
      </c>
    </row>
    <row r="3079">
      <c r="A3079" s="7" t="n">
        <v>88953</v>
      </c>
      <c r="B3079" s="7" t="n">
        <v>893778</v>
      </c>
      <c r="C3079" s="7" t="n">
        <v>226316</v>
      </c>
      <c r="D3079" s="7" t="n">
        <v>128047</v>
      </c>
      <c r="E3079" s="8" t="n">
        <v>39218</v>
      </c>
      <c r="F3079" s="7" t="n">
        <v>5</v>
      </c>
      <c r="G3079" s="7" t="inlineStr">
        <is>
          <t>These were really great--we both loved them!  Instead of cayenne, I used ground Aleppo peppers. Thanks for posting!!</t>
        </is>
      </c>
    </row>
    <row r="3080" ht="409.5" customHeight="1">
      <c r="A3080" s="7" t="n">
        <v>116443</v>
      </c>
      <c r="B3080" s="7" t="n">
        <v>341357</v>
      </c>
      <c r="C3080" s="7" t="n">
        <v>284897</v>
      </c>
      <c r="D3080" s="7" t="n">
        <v>263600</v>
      </c>
      <c r="E3080" s="8" t="n">
        <v>39430</v>
      </c>
      <c r="F3080" s="7" t="n">
        <v>5</v>
      </c>
      <c r="G3080" s="9" t="inlineStr">
        <is>
          <t>o.k... This recipe is so easy so fantastic and so versatile, you can do so much with it! I used normal pasta, not gluten free,but followed everything else written exactly, and it was perfect. a great light, easy and tasty salad for summer !!_x000D_
Remember that verse when you were little?????? .......This little piggy went to market?? Well that verse reminds me of this recipe............ First little piggy wanted salmon on it (DS)!!! Second little piggy wanted Tuna on it (DH)!!!! Third little piggy wanted it heated with parmesan cheese on it (DD)!!!! ............ and the last little piggy wanted it a la natural ... (that is me) !!!!! Rave reviews from all little piggies **Jubes** !!!!!! Great recipe a BIG 5 here !!!!!!!</t>
        </is>
      </c>
    </row>
    <row r="3081">
      <c r="A3081" s="7" t="n">
        <v>29058</v>
      </c>
      <c r="B3081" s="7" t="n">
        <v>1088871</v>
      </c>
      <c r="C3081" s="7" t="n">
        <v>56003</v>
      </c>
      <c r="D3081" s="7" t="n">
        <v>251152</v>
      </c>
      <c r="E3081" s="8" t="n">
        <v>40451</v>
      </c>
      <c r="F3081" s="7" t="n">
        <v>5</v>
      </c>
      <c r="G3081" s="7" t="inlineStr">
        <is>
          <t>Deeeelicious!  Would have corn made this way again in a heart beat!  Thnx for posting, Man.  Made for KcK's Forum.</t>
        </is>
      </c>
    </row>
    <row r="3082">
      <c r="A3082" s="7" t="n">
        <v>56794</v>
      </c>
      <c r="B3082" s="7" t="n">
        <v>349078</v>
      </c>
      <c r="C3082" s="7" t="n">
        <v>2001038765</v>
      </c>
      <c r="D3082" s="7" t="n">
        <v>50719</v>
      </c>
      <c r="E3082" s="8" t="n">
        <v>42526</v>
      </c>
      <c r="F3082" s="7" t="n">
        <v>3</v>
      </c>
      <c r="G3082" s="7" t="inlineStr">
        <is>
          <t>I am a little disappointed. I made the recipe exactly as it stated. They were okay. Nothing special. I was expecting them to be a lot better. They did not have much flavor. I will be trying a different recipe next time.</t>
        </is>
      </c>
    </row>
    <row r="3083">
      <c r="A3083" s="7" t="n">
        <v>118353</v>
      </c>
      <c r="B3083" s="7" t="n">
        <v>924015</v>
      </c>
      <c r="C3083" s="7" t="n">
        <v>58503</v>
      </c>
      <c r="D3083" s="7" t="n">
        <v>13293</v>
      </c>
      <c r="E3083" s="8" t="n">
        <v>37554</v>
      </c>
      <c r="F3083" s="7" t="n">
        <v>5</v>
      </c>
      <c r="G3083" s="7" t="inlineStr">
        <is>
          <t>Excellent best salmon recipe I've tried. The lemon and sour cream is the bomb. Thanks</t>
        </is>
      </c>
    </row>
    <row r="3084">
      <c r="A3084" s="7" t="n">
        <v>15232</v>
      </c>
      <c r="B3084" s="7" t="n">
        <v>118513</v>
      </c>
      <c r="C3084" s="7" t="n">
        <v>47761</v>
      </c>
      <c r="D3084" s="7" t="n">
        <v>202598</v>
      </c>
      <c r="E3084" s="8" t="n">
        <v>40209</v>
      </c>
      <c r="F3084" s="7" t="n">
        <v>5</v>
      </c>
      <c r="G3084" s="7" t="inlineStr">
        <is>
          <t>Definitely a five-star delicious meal! I, too, added some fresh minced garlic to the chops when cooking. Served with roasted lemon pepper brussel sprouts and baked taters.  Sooo goodly!</t>
        </is>
      </c>
    </row>
    <row r="3085">
      <c r="A3085" s="7" t="n">
        <v>4028</v>
      </c>
      <c r="B3085" s="7" t="n">
        <v>1049898</v>
      </c>
      <c r="C3085" s="7" t="n">
        <v>538792</v>
      </c>
      <c r="D3085" s="7" t="n">
        <v>211471</v>
      </c>
      <c r="E3085" s="8" t="n">
        <v>40045</v>
      </c>
      <c r="F3085" s="7" t="n">
        <v>0</v>
      </c>
      <c r="G3085" s="7" t="inlineStr">
        <is>
          <t>Exellent meal.  Quick and easy and delicious!</t>
        </is>
      </c>
    </row>
    <row r="3086">
      <c r="A3086" s="7" t="n">
        <v>6473</v>
      </c>
      <c r="B3086" s="7" t="n">
        <v>984268</v>
      </c>
      <c r="C3086" s="7" t="n">
        <v>56251</v>
      </c>
      <c r="D3086" s="7" t="n">
        <v>9272</v>
      </c>
      <c r="E3086" s="8" t="n">
        <v>38600</v>
      </c>
      <c r="F3086" s="7" t="n">
        <v>5</v>
      </c>
      <c r="G3086" s="7" t="inlineStr">
        <is>
          <t>Love it!!!  This salsa is wonderful.  I thought it would be a lot of work, but really it wasn't.  I pressured canned mine for 15 mins. at 10 lbs. pressure.  I had just a little left over that wasn't enough for a jar, so put in bowl, and you should have seen them fight over that bowl.  I left out the cumin, but did put the sugar in, cause I like things on the sweeter side, but it wasn't overly sweet, just right.  Want to make more and give as gifts, cause this batch is just for us!  Thanks for posting this keeper.</t>
        </is>
      </c>
    </row>
    <row r="3087">
      <c r="A3087" s="7" t="n">
        <v>28037</v>
      </c>
      <c r="B3087" s="7" t="n">
        <v>787273</v>
      </c>
      <c r="C3087" s="7" t="n">
        <v>599450</v>
      </c>
      <c r="D3087" s="7" t="n">
        <v>275983</v>
      </c>
      <c r="E3087" s="8" t="n">
        <v>40152</v>
      </c>
      <c r="F3087" s="7" t="n">
        <v>4</v>
      </c>
      <c r="G3087" s="7" t="inlineStr">
        <is>
          <t>Made as directed and it was a bit liquidy which is okay. The bigger issue is the balance: given the spiciness, the sweetness was off a bit for us. I think that the next time I'd make this I will add a can of diced tomatoes and a tablespoon of sugar. Thanks, loof! Made for Zaar Stars.</t>
        </is>
      </c>
    </row>
    <row r="3088">
      <c r="A3088" s="7" t="n">
        <v>105726</v>
      </c>
      <c r="B3088" s="7" t="n">
        <v>1040036</v>
      </c>
      <c r="C3088" s="7" t="n">
        <v>2000204264</v>
      </c>
      <c r="D3088" s="7" t="n">
        <v>129042</v>
      </c>
      <c r="E3088" s="8" t="n">
        <v>42138</v>
      </c>
      <c r="F3088" s="7" t="n">
        <v>3</v>
      </c>
      <c r="G3088" s="7" t="inlineStr">
        <is>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is>
      </c>
    </row>
    <row r="3089">
      <c r="A3089" s="7" t="n">
        <v>23435</v>
      </c>
      <c r="B3089" s="7" t="n">
        <v>799807</v>
      </c>
      <c r="C3089" s="7" t="n">
        <v>2000227694</v>
      </c>
      <c r="D3089" s="7" t="n">
        <v>237769</v>
      </c>
      <c r="E3089" s="8" t="n">
        <v>42150</v>
      </c>
      <c r="F3089" s="7" t="n">
        <v>4</v>
      </c>
      <c r="G3089" s="7" t="inlineStr">
        <is>
          <t>Tasty! Very similar to my favorite pasta dish from C&amp;amp;O&amp;#039;s in Marina del Rey. I did not have the chicken cube, so I used some broth instead, sprinkled in thyme, and added some chopped chicken breast.  However, this recipe made enough sauce for 4. Served this over a thick spaghetti with a side salad. I look forward to making this again with different additions (basil, sundried tomato, etc)</t>
        </is>
      </c>
    </row>
    <row r="3090">
      <c r="A3090" t="n">
        <v>76692</v>
      </c>
      <c r="B3090" t="n">
        <v>725515</v>
      </c>
      <c r="C3090" t="n">
        <v>114681</v>
      </c>
      <c r="D3090" t="n">
        <v>201675</v>
      </c>
      <c r="E3090" s="1" t="n">
        <v>39141</v>
      </c>
      <c r="F3090" t="n">
        <v>2</v>
      </c>
      <c r="G3090" t="inlineStr">
        <is>
          <t>This wasn't so addictive for us.  I followed the recipe, even with the anchovy paste.  Turned out thin and really did not have that caesar bite.</t>
        </is>
      </c>
    </row>
    <row r="3091">
      <c r="A3091" s="7" t="n">
        <v>71094</v>
      </c>
      <c r="B3091" s="7" t="n">
        <v>1101436</v>
      </c>
      <c r="C3091" s="7" t="n">
        <v>586469</v>
      </c>
      <c r="D3091" s="7" t="n">
        <v>212775</v>
      </c>
      <c r="E3091" s="8" t="n">
        <v>39460</v>
      </c>
      <c r="F3091" s="7" t="n">
        <v>4</v>
      </c>
      <c r="G3091" s="7" t="inlineStr">
        <is>
          <t>Was very good. I didn't have hot chili paste, so I used chili garlic sauce and used around 2 teaspoons and basted the fish with what was left of the sauce.</t>
        </is>
      </c>
    </row>
    <row r="3092">
      <c r="A3092" s="7" t="n">
        <v>6537</v>
      </c>
      <c r="B3092" s="7" t="n">
        <v>6830</v>
      </c>
      <c r="C3092" s="7" t="n">
        <v>868729</v>
      </c>
      <c r="D3092" s="7" t="n">
        <v>407000</v>
      </c>
      <c r="E3092" s="8" t="n">
        <v>40808</v>
      </c>
      <c r="F3092" s="7" t="n">
        <v>5</v>
      </c>
      <c r="G3092" s="7" t="inlineStr">
        <is>
          <t>What's not to love about this?  We sure did!  Great flavored chicken and one we really liked served with brown rice on the side and then topped with the sauce.  I would suggest to double the sauce so you have lots to go over your potatoes, pasta or rice as a side dish!</t>
        </is>
      </c>
    </row>
    <row r="3093">
      <c r="A3093" s="7" t="n">
        <v>108476</v>
      </c>
      <c r="B3093" s="7" t="n">
        <v>609743</v>
      </c>
      <c r="C3093" s="7" t="n">
        <v>804931</v>
      </c>
      <c r="D3093" s="7" t="n">
        <v>3189</v>
      </c>
      <c r="E3093" s="8" t="n">
        <v>39740</v>
      </c>
      <c r="F3093" s="7" t="n">
        <v>5</v>
      </c>
      <c r="G3093" s="7" t="inlineStr">
        <is>
          <t>Outstanding recipe! I loved everything about this except the few extra pounds :)  My DH pigged out and had 2 big pieces.  He says you rock!</t>
        </is>
      </c>
    </row>
    <row r="3094">
      <c r="A3094" s="7" t="n">
        <v>122841</v>
      </c>
      <c r="B3094" s="7" t="n">
        <v>1089018</v>
      </c>
      <c r="C3094" s="7" t="n">
        <v>454012</v>
      </c>
      <c r="D3094" s="7" t="n">
        <v>25348</v>
      </c>
      <c r="E3094" s="8" t="n">
        <v>39697</v>
      </c>
      <c r="F3094" s="7" t="n">
        <v>0</v>
      </c>
      <c r="G3094" s="7" t="inlineStr">
        <is>
          <t>A perfect combo of spices lets us enjoy the authentic taste of this subzi.</t>
        </is>
      </c>
    </row>
    <row r="3095">
      <c r="A3095" s="7" t="n">
        <v>88954</v>
      </c>
      <c r="B3095" s="7" t="n">
        <v>337456</v>
      </c>
      <c r="C3095" s="7" t="n">
        <v>424680</v>
      </c>
      <c r="D3095" s="7" t="n">
        <v>279649</v>
      </c>
      <c r="E3095" s="8" t="n">
        <v>39481</v>
      </c>
      <c r="F3095" s="7" t="n">
        <v>5</v>
      </c>
      <c r="G3095" s="7" t="inlineStr">
        <is>
          <t>Crockpots are great &amp; they make cooking so easy! That goes for this recipe, too! Followed the recipe right down the line, &amp; everything turned out great! Another time I want to double the recipe [then shred the pork], serve half of it as suggested, then use the leftovers in a tortilla wrap! Thanks much for the recipe which I tagged in the Newest Zaar Tag, 08A game!</t>
        </is>
      </c>
    </row>
    <row r="3096">
      <c r="A3096" s="7" t="n">
        <v>25470</v>
      </c>
      <c r="B3096" s="7" t="n">
        <v>728824</v>
      </c>
      <c r="C3096" s="7" t="n">
        <v>556755</v>
      </c>
      <c r="D3096" s="7" t="n">
        <v>25949</v>
      </c>
      <c r="E3096" s="8" t="n">
        <v>39365</v>
      </c>
      <c r="F3096" s="7" t="n">
        <v>5</v>
      </c>
      <c r="G3096" s="7" t="inlineStr">
        <is>
          <t>just finished making it and it's as good as in the bistros! i added a bit of lemon juice  to the mix and blended it to get a better consistency. very very satisfied!</t>
        </is>
      </c>
    </row>
    <row r="3097">
      <c r="A3097" s="7" t="n">
        <v>83640</v>
      </c>
      <c r="B3097" s="7" t="n">
        <v>50959</v>
      </c>
      <c r="C3097" s="7" t="n">
        <v>2360712</v>
      </c>
      <c r="D3097" s="7" t="n">
        <v>203021</v>
      </c>
      <c r="E3097" s="8" t="n">
        <v>41133</v>
      </c>
      <c r="F3097" s="7" t="n">
        <v>3</v>
      </c>
      <c r="G3097" s="7" t="inlineStr">
        <is>
          <t>Everything was going well, but my biggest issue was the garlic. I could only manage the size of a polariton, which is slightly larger than an electron. I have a feeling that this altered the dish. I am trying it again tomorrow with a finer blade, hoping for better results.</t>
        </is>
      </c>
    </row>
    <row r="3098">
      <c r="A3098" s="7" t="n">
        <v>85162</v>
      </c>
      <c r="B3098" s="7" t="n">
        <v>14275</v>
      </c>
      <c r="C3098" s="7" t="n">
        <v>47559</v>
      </c>
      <c r="D3098" s="7" t="n">
        <v>503010</v>
      </c>
      <c r="E3098" s="8" t="n">
        <v>41477</v>
      </c>
      <c r="F3098" s="7" t="n">
        <v>5</v>
      </c>
      <c r="G3098" s="7" t="inlineStr">
        <is>
          <t>This is a great Creole spice mix.  I rubbed it on steaks before grilling.  They were very good.  It made quite a bit to use in future recipes.  Made for Mike and the Appliance Killers ZWT 9.</t>
        </is>
      </c>
    </row>
    <row r="3099" ht="409.5" customHeight="1">
      <c r="A3099" s="7" t="n">
        <v>63523</v>
      </c>
      <c r="B3099" s="7" t="n">
        <v>355175</v>
      </c>
      <c r="C3099" s="7" t="n">
        <v>58300</v>
      </c>
      <c r="D3099" s="7" t="n">
        <v>92096</v>
      </c>
      <c r="E3099" s="8" t="n">
        <v>38152</v>
      </c>
      <c r="F3099" s="7" t="n">
        <v>5</v>
      </c>
      <c r="G3099" s="9" t="inlineStr">
        <is>
          <t>Wow, this is some amazing sauce.  I have had it simmering since this morning and now the 3 hours are up. I tasted it and it is out of this world.  The flavor is incredible.  I can't wait to have it for dinner._x000D_
Thanks Allie!!!</t>
        </is>
      </c>
    </row>
    <row r="3100">
      <c r="A3100" s="7" t="n">
        <v>117547</v>
      </c>
      <c r="B3100" s="7" t="n">
        <v>204944</v>
      </c>
      <c r="C3100" s="7" t="n">
        <v>398121</v>
      </c>
      <c r="D3100" s="7" t="n">
        <v>78938</v>
      </c>
      <c r="E3100" s="8" t="n">
        <v>39369</v>
      </c>
      <c r="F3100" s="7" t="n">
        <v>2</v>
      </c>
      <c r="G3100" s="7" t="inlineStr">
        <is>
          <t>Not bad.  Maybe it's my imagination, but C.B.'s are better.</t>
        </is>
      </c>
    </row>
    <row r="3101">
      <c r="A3101" t="n">
        <v>104713</v>
      </c>
      <c r="B3101" t="n">
        <v>1076673</v>
      </c>
      <c r="C3101" t="n">
        <v>2530018</v>
      </c>
      <c r="D3101" t="n">
        <v>329804</v>
      </c>
      <c r="E3101" s="1" t="n">
        <v>43341</v>
      </c>
      <c r="F3101" t="n">
        <v>5</v>
      </c>
      <c r="G3101" t="inlineStr">
        <is>
          <t>I have made this about 4 or 5 times, only I used water instead of milk every single time with perfect results! Thank you for this wonderful recipe!</t>
        </is>
      </c>
    </row>
    <row r="3102">
      <c r="A3102" s="7" t="n">
        <v>44096</v>
      </c>
      <c r="B3102" s="7" t="n">
        <v>1065708</v>
      </c>
      <c r="C3102" s="7" t="n">
        <v>12657</v>
      </c>
      <c r="D3102" s="7" t="n">
        <v>13717</v>
      </c>
      <c r="E3102" s="8" t="n">
        <v>37516</v>
      </c>
      <c r="F3102" s="7" t="n">
        <v>4</v>
      </c>
      <c r="G3102" s="7" t="inlineStr">
        <is>
          <t>This was wonderful! Every ingredient contributed beautifully to make this a satisfying and wholesome one-dish meal for vegetarians. I didn't have brown rice so I used basmati rice, but I didn't change anything else in the recipe. Next time I might just reduce the amount of raisins because I don't like my main dishes too sweet. The cinnamon added a classic Indian touch to the recipe.</t>
        </is>
      </c>
    </row>
    <row r="3103">
      <c r="A3103" s="7" t="n">
        <v>50407</v>
      </c>
      <c r="B3103" s="7" t="n">
        <v>630601</v>
      </c>
      <c r="C3103" s="7" t="n">
        <v>701344</v>
      </c>
      <c r="D3103" s="7" t="n">
        <v>284605</v>
      </c>
      <c r="E3103" s="8" t="n">
        <v>39968</v>
      </c>
      <c r="F3103" s="7" t="n">
        <v>5</v>
      </c>
      <c r="G3103" s="7" t="inlineStr">
        <is>
          <t>This was a great idea for left over vegetables and rice.  I thought I was going to make a macaroni salad but I had no mayo.  No one complained with this substitue.  Fresh lemon juice is definately a must.  I added a little fetta cheese and it gave it a real Greek flavor.</t>
        </is>
      </c>
    </row>
    <row r="3104">
      <c r="A3104" s="7" t="n">
        <v>65327</v>
      </c>
      <c r="B3104" s="7" t="n">
        <v>465810</v>
      </c>
      <c r="C3104" s="7" t="n">
        <v>275742</v>
      </c>
      <c r="D3104" s="7" t="n">
        <v>172219</v>
      </c>
      <c r="E3104" s="8" t="n">
        <v>38991</v>
      </c>
      <c r="F3104" s="7" t="n">
        <v>5</v>
      </c>
      <c r="G3104" s="7" t="inlineStr">
        <is>
          <t>This was a good lunch. I didn't have a coffin shaped cookie cutter so I had to just use a knife. Thank you</t>
        </is>
      </c>
    </row>
    <row r="3105">
      <c r="A3105" s="7" t="n">
        <v>29508</v>
      </c>
      <c r="B3105" s="7" t="n">
        <v>478072</v>
      </c>
      <c r="C3105" s="7" t="n">
        <v>1801526387</v>
      </c>
      <c r="D3105" s="7" t="n">
        <v>149098</v>
      </c>
      <c r="E3105" s="8" t="n">
        <v>42777</v>
      </c>
      <c r="F3105" s="7" t="n">
        <v>5</v>
      </c>
      <c r="G3105" s="7" t="inlineStr">
        <is>
          <t>This soup is awesome! I've made maybe 7-8 times now. Especially good in the cold weather months. I get soy Chorizo at Trader Joes. Use dry thyme most of the time. Very flavorful and hearty soup Change up whatever and you will still love it.</t>
        </is>
      </c>
    </row>
    <row r="3106">
      <c r="A3106" s="7" t="n">
        <v>77189</v>
      </c>
      <c r="B3106" s="7" t="n">
        <v>513790</v>
      </c>
      <c r="C3106" s="7" t="n">
        <v>379787</v>
      </c>
      <c r="D3106" s="7" t="n">
        <v>99481</v>
      </c>
      <c r="E3106" s="8" t="n">
        <v>39669</v>
      </c>
      <c r="F3106" s="7" t="n">
        <v>5</v>
      </c>
      <c r="G3106" s="7" t="inlineStr">
        <is>
          <t>I was a bit skeptical but thought I would try it.   I seeded the zucchini so the shape even looked like apple.  It had the texture and taste of apple, not the least bit mushy.  It was fantastic.  I am going to try making it with Splenda for my mom who is a diabetic.</t>
        </is>
      </c>
    </row>
    <row r="3107">
      <c r="A3107" s="7" t="n">
        <v>98502</v>
      </c>
      <c r="B3107" s="7" t="n">
        <v>340763</v>
      </c>
      <c r="C3107" s="7" t="n">
        <v>259154</v>
      </c>
      <c r="D3107" s="7" t="n">
        <v>136589</v>
      </c>
      <c r="E3107" s="8" t="n">
        <v>41568</v>
      </c>
      <c r="F3107" s="7" t="n">
        <v>1</v>
      </c>
      <c r="G3107" s="7" t="inlineStr">
        <is>
          <t>I made this cake with some fresh MacIntosh apples and followed the recipe exactly. Sadly I have to agree with other pinners who said this cake was bland. It was not moist and had no flavor. Maybe with the tweaks others wrote about, it would be better, but I would not make this again. In my opinion, there are much better recipes to use up my apples  :(</t>
        </is>
      </c>
    </row>
    <row r="3108">
      <c r="A3108" s="7" t="n">
        <v>4776</v>
      </c>
      <c r="B3108" s="7" t="n">
        <v>918250</v>
      </c>
      <c r="C3108" s="7" t="n">
        <v>125325</v>
      </c>
      <c r="D3108" s="7" t="n">
        <v>144713</v>
      </c>
      <c r="E3108" s="8" t="n">
        <v>38738</v>
      </c>
      <c r="F3108" s="7" t="n">
        <v>4</v>
      </c>
      <c r="G3108" s="7" t="inlineStr">
        <is>
          <t>Definitely rich and fudgy brownies, although a bit more complicated to make than most brownie recipes. I made one major change though, I only used 150g of sugar which worked out well. I think 300g would have made them too sweet. Thanks!</t>
        </is>
      </c>
    </row>
    <row r="3109">
      <c r="A3109" s="7" t="n">
        <v>124409</v>
      </c>
      <c r="B3109" s="7" t="n">
        <v>767688</v>
      </c>
      <c r="C3109" s="7" t="n">
        <v>318236</v>
      </c>
      <c r="D3109" s="7" t="n">
        <v>11251</v>
      </c>
      <c r="E3109" s="8" t="n">
        <v>38875</v>
      </c>
      <c r="F3109" s="7" t="n">
        <v>5</v>
      </c>
      <c r="G3109" s="7" t="inlineStr">
        <is>
          <t xml:space="preserve">These cookies are so easy to make, and they taste fantastic. They disappeared very quickly. </t>
        </is>
      </c>
    </row>
    <row r="3110">
      <c r="A3110" s="7" t="n">
        <v>44878</v>
      </c>
      <c r="B3110" s="7" t="n">
        <v>419759</v>
      </c>
      <c r="C3110" s="7" t="n">
        <v>225114</v>
      </c>
      <c r="D3110" s="7" t="n">
        <v>146022</v>
      </c>
      <c r="E3110" s="8" t="n">
        <v>39295</v>
      </c>
      <c r="F3110" s="7" t="n">
        <v>5</v>
      </c>
      <c r="G3110" s="7" t="inlineStr">
        <is>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is>
      </c>
    </row>
    <row r="3111">
      <c r="A3111" s="7" t="n">
        <v>120563</v>
      </c>
      <c r="B3111" s="7" t="n">
        <v>506769</v>
      </c>
      <c r="C3111" s="7" t="n">
        <v>2214304</v>
      </c>
      <c r="D3111" s="7" t="n">
        <v>209831</v>
      </c>
      <c r="E3111" s="8" t="n">
        <v>40985</v>
      </c>
      <c r="F3111" s="7" t="n">
        <v>5</v>
      </c>
      <c r="G3111" s="7" t="inlineStr">
        <is>
          <t>This is really good!!!  I didn't let it cool enough or let the cool whip thaw enough before I ate it.</t>
        </is>
      </c>
    </row>
    <row r="3112">
      <c r="A3112" s="7" t="n">
        <v>53682</v>
      </c>
      <c r="B3112" s="7" t="n">
        <v>677819</v>
      </c>
      <c r="C3112" s="7" t="n">
        <v>290010</v>
      </c>
      <c r="D3112" s="7" t="n">
        <v>16879</v>
      </c>
      <c r="E3112" s="8" t="n">
        <v>41533</v>
      </c>
      <c r="F3112" s="7" t="n">
        <v>3</v>
      </c>
      <c r="G3112" s="7" t="inlineStr">
        <is>
          <t>This was not my favorite broccoli soup.  I didn&amp;#039;t like the celery flavor nor the worcestershire in this.</t>
        </is>
      </c>
    </row>
    <row r="3113" ht="210" customHeight="1">
      <c r="A3113" s="7" t="n">
        <v>108814</v>
      </c>
      <c r="B3113" s="7" t="n">
        <v>295704</v>
      </c>
      <c r="C3113" s="7" t="n">
        <v>149363</v>
      </c>
      <c r="D3113" s="7" t="n">
        <v>174157</v>
      </c>
      <c r="E3113" s="8" t="n">
        <v>38891</v>
      </c>
      <c r="F3113" s="7" t="n">
        <v>5</v>
      </c>
      <c r="G3113" s="9" t="inlineStr">
        <is>
          <t>Delicious tea, just a nice, light refreshing beverage for after a full meal._x000D_
Thanks for posting!</t>
        </is>
      </c>
    </row>
    <row r="3114" ht="409.5" customHeight="1">
      <c r="A3114" s="7" t="n">
        <v>126376</v>
      </c>
      <c r="B3114" s="7" t="n">
        <v>307337</v>
      </c>
      <c r="C3114" s="7" t="n">
        <v>9670</v>
      </c>
      <c r="D3114" s="7" t="n">
        <v>76522</v>
      </c>
      <c r="E3114" s="8" t="n">
        <v>38262</v>
      </c>
      <c r="F3114" s="7" t="n">
        <v>5</v>
      </c>
      <c r="G3114" s="9" t="inlineStr">
        <is>
          <t>This is a recipe I was going to post....so glad I didn't have to!_x000D_
These meatballs are delicious. The only thing I do differently is to make them smaller and serve them in a chafing dish as an appetizer. Great to use up left-over ham.</t>
        </is>
      </c>
    </row>
    <row r="3115">
      <c r="A3115" s="7" t="n">
        <v>72850</v>
      </c>
      <c r="B3115" s="7" t="n">
        <v>493757</v>
      </c>
      <c r="C3115" s="7" t="n">
        <v>163083</v>
      </c>
      <c r="D3115" s="7" t="n">
        <v>129454</v>
      </c>
      <c r="E3115" s="8" t="n">
        <v>38715</v>
      </c>
      <c r="F3115" s="7" t="n">
        <v>5</v>
      </c>
      <c r="G3115" s="7" t="inlineStr">
        <is>
          <t>What I did was layer the salami slices with a thin layer of cream cheese, then salami, then cream cheese -- for a total of 6 salami slices.  I then cut the rounds into wedges -- they looked very attractive on the platter.</t>
        </is>
      </c>
    </row>
    <row r="3116">
      <c r="A3116" s="7" t="n">
        <v>22634</v>
      </c>
      <c r="B3116" s="7" t="n">
        <v>544009</v>
      </c>
      <c r="C3116" s="7" t="n">
        <v>39334</v>
      </c>
      <c r="D3116" s="7" t="n">
        <v>379482</v>
      </c>
      <c r="E3116" s="8" t="n">
        <v>40098</v>
      </c>
      <c r="F3116" s="7" t="n">
        <v>4</v>
      </c>
      <c r="G3116" s="7" t="inlineStr">
        <is>
          <t>These were so simple to make and tasted really good...although I think you have to REALLY like blue cheese to like these! :) I do, but still only used about 3 oz instead of the full 4 oz originally called for, as I too had a good-quality blue cheese. DH discovered he does NOT like blue cheese...lol! All in all, a great recipe and very yummy! Congrats on your win! Made for Football Pool Game, Week 4.</t>
        </is>
      </c>
    </row>
    <row r="3117">
      <c r="A3117" s="7" t="n">
        <v>25566</v>
      </c>
      <c r="B3117" s="7" t="n">
        <v>964384</v>
      </c>
      <c r="C3117" s="7" t="n">
        <v>450571</v>
      </c>
      <c r="D3117" s="7" t="n">
        <v>143530</v>
      </c>
      <c r="E3117" s="8" t="n">
        <v>39322</v>
      </c>
      <c r="F3117" s="7" t="n">
        <v>5</v>
      </c>
      <c r="G3117" s="7" t="inlineStr">
        <is>
          <t>The coconut doesn't stick as well to the shrimp as some of the fried coconut shrimp that I've had in the past.  In those recipes the cocunut is usually incorporated in the batter so it gets fried right to the shrimp.  This still gets five stars from me because it was worth a little coconut falling off to know that I could eat a couple more shrimp without feeling guilty.  This recipe is deffinitly a little bit of a healthier alternative to fried coconut shrimp and we enjoyed it a lot.  I can't speak for the apricot sauce, I'm not a big fan of apricots so we just used sweet chili sauce for dipping.  Thanks for the recipe!</t>
        </is>
      </c>
    </row>
    <row r="3118">
      <c r="A3118" s="7" t="n">
        <v>31620</v>
      </c>
      <c r="B3118" s="7" t="n">
        <v>666515</v>
      </c>
      <c r="C3118" s="7" t="n">
        <v>280271</v>
      </c>
      <c r="D3118" s="7" t="n">
        <v>23240</v>
      </c>
      <c r="E3118" s="8" t="n">
        <v>42225</v>
      </c>
      <c r="F3118" s="7" t="n">
        <v>5</v>
      </c>
      <c r="G3118" s="7" t="inlineStr">
        <is>
          <t>Delicious...the steak was extra tender and full of flavor...very easy recipe...thanks for posting the recipe...</t>
        </is>
      </c>
    </row>
    <row r="3119">
      <c r="A3119" s="7" t="n">
        <v>87771</v>
      </c>
      <c r="B3119" s="7" t="n">
        <v>846985</v>
      </c>
      <c r="C3119" s="7" t="n">
        <v>124190</v>
      </c>
      <c r="D3119" s="7" t="n">
        <v>80617</v>
      </c>
      <c r="E3119" s="8" t="n">
        <v>38105</v>
      </c>
      <c r="F3119" s="7" t="n">
        <v>5</v>
      </c>
      <c r="G3119" s="7" t="inlineStr">
        <is>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is>
      </c>
    </row>
    <row r="3120">
      <c r="A3120" s="7" t="n">
        <v>61202</v>
      </c>
      <c r="B3120" s="7" t="n">
        <v>865542</v>
      </c>
      <c r="C3120" s="7" t="n">
        <v>382071</v>
      </c>
      <c r="D3120" s="7" t="n">
        <v>195881</v>
      </c>
      <c r="E3120" s="8" t="n">
        <v>39218</v>
      </c>
      <c r="F3120" s="7" t="n">
        <v>5</v>
      </c>
      <c r="G3120" s="7" t="inlineStr">
        <is>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is>
      </c>
    </row>
    <row r="3121">
      <c r="A3121" s="7" t="n">
        <v>81432</v>
      </c>
      <c r="B3121" s="7" t="n">
        <v>467033</v>
      </c>
      <c r="C3121" s="7" t="n">
        <v>194993</v>
      </c>
      <c r="D3121" s="7" t="n">
        <v>187639</v>
      </c>
      <c r="E3121" s="8" t="n">
        <v>39017</v>
      </c>
      <c r="F3121" s="7" t="n">
        <v>0</v>
      </c>
      <c r="G3121" s="7" t="inlineStr">
        <is>
          <t>Brinjals are eggplants, for those of us who need that information!</t>
        </is>
      </c>
    </row>
    <row r="3122">
      <c r="A3122" s="7" t="n">
        <v>12466</v>
      </c>
      <c r="B3122" s="7" t="n">
        <v>504588</v>
      </c>
      <c r="C3122" s="7" t="n">
        <v>1802962108</v>
      </c>
      <c r="D3122" s="7" t="n">
        <v>426076</v>
      </c>
      <c r="E3122" s="8" t="n">
        <v>41844</v>
      </c>
      <c r="F3122" s="7" t="n">
        <v>5</v>
      </c>
      <c r="G3122" s="7" t="inlineStr">
        <is>
          <t>Perfect dish if you don&amp;#039;t have too much time but still want enjoy a good meal! It really tastes great. I definetely recommend it.</t>
        </is>
      </c>
    </row>
    <row r="3123">
      <c r="A3123" s="7" t="n">
        <v>36710</v>
      </c>
      <c r="B3123" s="7" t="n">
        <v>10850</v>
      </c>
      <c r="C3123" s="7" t="n">
        <v>341474</v>
      </c>
      <c r="D3123" s="7" t="n">
        <v>18070</v>
      </c>
      <c r="E3123" s="8" t="n">
        <v>39832</v>
      </c>
      <c r="F3123" s="7" t="n">
        <v>5</v>
      </c>
      <c r="G3123" s="7" t="inlineStr">
        <is>
          <t>I have just started getting fresh organic produce delivered each week. The turnips I got had the greens attached. I had no idea how to prepare them, and I don't have any bacon or fat back. This recipe tasted delicious and was so easy to make. I'm going to use it for all my greens!</t>
        </is>
      </c>
    </row>
    <row r="3124">
      <c r="A3124" s="7" t="n">
        <v>57936</v>
      </c>
      <c r="B3124" s="7" t="n">
        <v>269911</v>
      </c>
      <c r="C3124" s="7" t="n">
        <v>240108</v>
      </c>
      <c r="D3124" s="7" t="n">
        <v>32880</v>
      </c>
      <c r="E3124" s="8" t="n">
        <v>38644</v>
      </c>
      <c r="F3124" s="7" t="n">
        <v>5</v>
      </c>
      <c r="G3124" s="7" t="inlineStr">
        <is>
          <t>Very good and very easy.  I substituted half the oil with 1/2 C. applesauce.  It has less fat, but all the moistness and flavor.  YUM!!</t>
        </is>
      </c>
    </row>
    <row r="3125">
      <c r="A3125" s="7" t="n">
        <v>57567</v>
      </c>
      <c r="B3125" s="7" t="n">
        <v>662669</v>
      </c>
      <c r="C3125" s="7" t="n">
        <v>683179</v>
      </c>
      <c r="D3125" s="7" t="n">
        <v>219724</v>
      </c>
      <c r="E3125" s="8" t="n">
        <v>39871</v>
      </c>
      <c r="F3125" s="7" t="n">
        <v>5</v>
      </c>
      <c r="G3125" s="7" t="inlineStr">
        <is>
          <t>Simple and delicious!</t>
        </is>
      </c>
    </row>
    <row r="3126">
      <c r="A3126" s="7" t="n">
        <v>110729</v>
      </c>
      <c r="B3126" s="7" t="n">
        <v>283639</v>
      </c>
      <c r="C3126" s="7" t="n">
        <v>1926233</v>
      </c>
      <c r="D3126" s="7" t="n">
        <v>81281</v>
      </c>
      <c r="E3126" s="8" t="n">
        <v>40700</v>
      </c>
      <c r="F3126" s="7" t="n">
        <v>5</v>
      </c>
      <c r="G3126" s="7" t="inlineStr">
        <is>
          <t>Just amazing!!  I made this recipe for Valentine's Day -- it was a hit!  Served it to my in-laws and they were very impressed!  We will try this sauce soon over baked chicken or fish.  Thank you for sharing this recipe with everyone to enjoy!!</t>
        </is>
      </c>
    </row>
    <row r="3127">
      <c r="A3127" s="7" t="n">
        <v>120352</v>
      </c>
      <c r="B3127" s="7" t="n">
        <v>618472</v>
      </c>
      <c r="C3127" s="7" t="n">
        <v>22973</v>
      </c>
      <c r="D3127" s="7" t="n">
        <v>75621</v>
      </c>
      <c r="E3127" s="8" t="n">
        <v>38162</v>
      </c>
      <c r="F3127" s="7" t="n">
        <v>4</v>
      </c>
      <c r="G3127" s="7" t="inlineStr">
        <is>
          <t>renug,This was a really good salad,I have never used asparagus in a salad before,it was quite diffeent,but very tasty.I made it just as the recipe called for,and wouldn\'t change a thing. Thanks,Darlene</t>
        </is>
      </c>
    </row>
    <row r="3128">
      <c r="A3128" s="7" t="n">
        <v>55035</v>
      </c>
      <c r="B3128" s="7" t="n">
        <v>507695</v>
      </c>
      <c r="C3128" s="7" t="n">
        <v>2001063614</v>
      </c>
      <c r="D3128" s="7" t="n">
        <v>267920</v>
      </c>
      <c r="E3128" s="8" t="n">
        <v>43072</v>
      </c>
      <c r="F3128" s="7" t="n">
        <v>5</v>
      </c>
      <c r="G3128" s="7" t="inlineStr">
        <is>
          <t>I made it for Thanksgiving, and I cannot wait for Christmas to make again. My family wants it tonight. DELICIOUS!!! I only tweaked a bit in using less brown sugar; also 6 - 8 hours was not necessary in my crockpot - on high it was perfect after 4 hours. Maybe cook times vary on crocks like ovens :)</t>
        </is>
      </c>
    </row>
    <row r="3129">
      <c r="A3129" s="7" t="n">
        <v>13556</v>
      </c>
      <c r="B3129" s="7" t="n">
        <v>956446</v>
      </c>
      <c r="C3129" s="7" t="n">
        <v>86512</v>
      </c>
      <c r="D3129" s="7" t="n">
        <v>162873</v>
      </c>
      <c r="E3129" s="8" t="n">
        <v>39540</v>
      </c>
      <c r="F3129" s="7" t="n">
        <v>5</v>
      </c>
      <c r="G3129" s="7" t="inlineStr">
        <is>
          <t>These were really good!! Just the right touch of thyme. I mixed everything together in the same pan I cooked the beans  in, which is easier on me. One less dish to wash!! :D: I will make these again~  Thanks for sharing your recipe Mama!!! Made for the March 2008 Bevy Tag game....Green Eggs and Ham.</t>
        </is>
      </c>
    </row>
    <row r="3130">
      <c r="A3130" s="7" t="n">
        <v>774</v>
      </c>
      <c r="B3130" s="7" t="n">
        <v>437927</v>
      </c>
      <c r="C3130" s="7" t="n">
        <v>844227</v>
      </c>
      <c r="D3130" s="7" t="n">
        <v>59023</v>
      </c>
      <c r="E3130" s="8" t="n">
        <v>40334</v>
      </c>
      <c r="F3130" s="7" t="n">
        <v>5</v>
      </c>
      <c r="G3130" s="7" t="inlineStr">
        <is>
          <t>This is a simple, delicious recipe - very light and flavorful.  I had fresh basil on hand which I substituted for the parsley.  This recipe is a new favorite in our home.</t>
        </is>
      </c>
    </row>
    <row r="3131">
      <c r="A3131" s="7" t="n">
        <v>39108</v>
      </c>
      <c r="B3131" s="7" t="n">
        <v>712816</v>
      </c>
      <c r="C3131" s="7" t="n">
        <v>486680</v>
      </c>
      <c r="D3131" s="7" t="n">
        <v>51209</v>
      </c>
      <c r="E3131" s="8" t="n">
        <v>39704</v>
      </c>
      <c r="F3131" s="7" t="n">
        <v>5</v>
      </c>
      <c r="G3131" s="7" t="inlineStr">
        <is>
          <t>This is fabulous!  It makes a lovely base for our homemade pizza!  The crust is lovely and tastes just like old style pizza hut pizza bases.  And in the bread maker it is SO easy!  It also tastes great the next day, not stale as some pizza bases can get!  Thank you for a great recipe!</t>
        </is>
      </c>
    </row>
    <row r="3132">
      <c r="A3132" s="7" t="n">
        <v>102579</v>
      </c>
      <c r="B3132" s="7" t="n">
        <v>275143</v>
      </c>
      <c r="C3132" s="7" t="n">
        <v>173838</v>
      </c>
      <c r="D3132" s="7" t="n">
        <v>107447</v>
      </c>
      <c r="E3132" s="8" t="n">
        <v>38356</v>
      </c>
      <c r="F3132" s="7" t="n">
        <v>5</v>
      </c>
      <c r="G3132" s="7" t="inlineStr">
        <is>
          <t>The best chicken pot pie I ever ate!  The directions are excellent and easy to follow.  I used frozen peas and dried herbs.  It is worth the effort to make--it makes a large portion and the chicken is so tender and the flavoring is perfect.  The crust is better than some pie crusts I've eaten!  Thank you, Roxygirl, for taking the time to share with us!</t>
        </is>
      </c>
    </row>
    <row r="3133">
      <c r="A3133" s="7" t="n">
        <v>87460</v>
      </c>
      <c r="B3133" s="7" t="n">
        <v>1045033</v>
      </c>
      <c r="C3133" s="7" t="n">
        <v>56463</v>
      </c>
      <c r="D3133" s="7" t="n">
        <v>241622</v>
      </c>
      <c r="E3133" s="8" t="n">
        <v>40560</v>
      </c>
      <c r="F3133" s="7" t="n">
        <v>5</v>
      </c>
      <c r="G3133" s="7" t="inlineStr">
        <is>
          <t>This is a WOW recipe! It can be fixed so many ways. True to the Zaar tradition I "messed with it" a little. I used Mirj's sun dried tomatoes instead of fresh, chopped the spinach in the food processor used homemade spinach and basil pesto and sliced some kalamata olives to mix in also. I made it in the morning and chilled it until supper time and served it with some french bread and fresh fruit - it was delicious! This is a "doer again" as my husband says. Thanks, Carole in Orlando</t>
        </is>
      </c>
    </row>
    <row r="3134">
      <c r="A3134" s="7" t="n">
        <v>32904</v>
      </c>
      <c r="B3134" s="7" t="n">
        <v>630600</v>
      </c>
      <c r="C3134" s="7" t="n">
        <v>424680</v>
      </c>
      <c r="D3134" s="7" t="n">
        <v>284605</v>
      </c>
      <c r="E3134" s="8" t="n">
        <v>39762</v>
      </c>
      <c r="F3134" s="7" t="n">
        <v>5</v>
      </c>
      <c r="G3134" s="7" t="inlineStr">
        <is>
          <t>Starting with cooked chicken on hand &amp; the rice already cooked, this recipe goes together quickly! I added a steamed pea-&amp;-corn combo for a great supper! [Tagged, made &amp; reviewed in Zaar Chef Alphabet Soup Game]</t>
        </is>
      </c>
    </row>
    <row r="3135">
      <c r="A3135" s="7" t="n">
        <v>110973</v>
      </c>
      <c r="B3135" s="7" t="n">
        <v>197065</v>
      </c>
      <c r="C3135" s="7" t="n">
        <v>179827</v>
      </c>
      <c r="D3135" s="7" t="n">
        <v>69947</v>
      </c>
      <c r="E3135" s="8" t="n">
        <v>39545</v>
      </c>
      <c r="F3135" s="7" t="n">
        <v>5</v>
      </c>
      <c r="G3135" s="7" t="inlineStr">
        <is>
          <t>This cake is addictive!  it has a wonderful flavor.  It was simple to put together, I followed the directions exactly.  The frosting is great on its own.  Thanks for sharing!</t>
        </is>
      </c>
    </row>
    <row r="3136">
      <c r="A3136" s="7" t="n">
        <v>51417</v>
      </c>
      <c r="B3136" s="7" t="n">
        <v>540824</v>
      </c>
      <c r="C3136" s="7" t="n">
        <v>207616</v>
      </c>
      <c r="D3136" s="7" t="n">
        <v>185025</v>
      </c>
      <c r="E3136" s="8" t="n">
        <v>39629</v>
      </c>
      <c r="F3136" s="7" t="n">
        <v>5</v>
      </c>
      <c r="G3136" s="7" t="inlineStr">
        <is>
          <t>Luscious! What else can I say. I'm sorry to say I did not have any chocolate syrup to garnish this with and was too tired to make my drink pretty and fancy with caramel rim (cooked a big dinner)  :{...But my friend and I thoroughly enjoyed this as an after dinner drink tonight! She asked for another as a matter of fact! Made while travelling through africa with the Babes on the ZWT4.</t>
        </is>
      </c>
    </row>
    <row r="3137">
      <c r="A3137" s="7" t="n">
        <v>254</v>
      </c>
      <c r="B3137" s="7" t="n">
        <v>1014705</v>
      </c>
      <c r="C3137" s="7" t="n">
        <v>95743</v>
      </c>
      <c r="D3137" s="7" t="n">
        <v>84045</v>
      </c>
      <c r="E3137" s="8" t="n">
        <v>38221</v>
      </c>
      <c r="F3137" s="7" t="n">
        <v>5</v>
      </c>
      <c r="G3137" s="7" t="inlineStr">
        <is>
          <t>Excellent green beans!  I especially enjoyed that they don't rely on some kind of fat/oil for flavor.  Great made with fresh beans.</t>
        </is>
      </c>
    </row>
    <row r="3138">
      <c r="A3138" s="7" t="n">
        <v>79128</v>
      </c>
      <c r="B3138" s="7" t="n">
        <v>168895</v>
      </c>
      <c r="C3138" s="7" t="n">
        <v>838515</v>
      </c>
      <c r="D3138" s="7" t="n">
        <v>101027</v>
      </c>
      <c r="E3138" s="8" t="n">
        <v>41282</v>
      </c>
      <c r="F3138" s="7" t="n">
        <v>5</v>
      </c>
      <c r="G3138" s="7" t="inlineStr">
        <is>
          <t>These are SOO good! Love them right out of the freezer!</t>
        </is>
      </c>
    </row>
    <row r="3139">
      <c r="A3139" s="7" t="n">
        <v>23611</v>
      </c>
      <c r="B3139" s="7" t="n">
        <v>784690</v>
      </c>
      <c r="C3139" s="7" t="n">
        <v>804550</v>
      </c>
      <c r="D3139" s="7" t="n">
        <v>370482</v>
      </c>
      <c r="E3139" s="8" t="n">
        <v>40014</v>
      </c>
      <c r="F3139" s="7" t="n">
        <v>5</v>
      </c>
      <c r="G3139" s="7" t="inlineStr">
        <is>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is>
      </c>
    </row>
    <row r="3140">
      <c r="A3140" s="7" t="n">
        <v>122541</v>
      </c>
      <c r="B3140" s="7" t="n">
        <v>505521</v>
      </c>
      <c r="C3140" s="7" t="n">
        <v>198081</v>
      </c>
      <c r="D3140" s="7" t="n">
        <v>19260</v>
      </c>
      <c r="E3140" s="8" t="n">
        <v>38413</v>
      </c>
      <c r="F3140" s="7" t="n">
        <v>5</v>
      </c>
      <c r="G3140" s="7" t="inlineStr">
        <is>
          <t>This is a fantastic recipe. I am a chef and I'm always on the lookout for good recipes. My eldest son who is 3 is allergic to eggs and most biscuits have eggs so this was fantastic and easy enough for him to help make.</t>
        </is>
      </c>
    </row>
    <row r="3141">
      <c r="A3141" s="7" t="n">
        <v>24340</v>
      </c>
      <c r="B3141" s="7" t="n">
        <v>80326</v>
      </c>
      <c r="C3141" s="7" t="n">
        <v>1147876</v>
      </c>
      <c r="D3141" s="7" t="n">
        <v>141421</v>
      </c>
      <c r="E3141" s="8" t="n">
        <v>41285</v>
      </c>
      <c r="F3141" s="7" t="n">
        <v>5</v>
      </c>
      <c r="G3141" s="7" t="inlineStr">
        <is>
          <t>Great recipe, Barb. Thanks for posting it.&lt;br/&gt;&lt;br/&gt;And thanks for the tip about letting the beans rest in the cooking water for an hour. Worked like a charm for me.&lt;br/&gt;&lt;br/&gt;One small modification I made: I pureed the soup after about 1 hr and 30 min, returned it to the stove top and added the chopped celery for a final 30 min cook. The soup turned out silky smooth, with a nice celery crunch when tasted.</t>
        </is>
      </c>
    </row>
    <row r="3142">
      <c r="A3142" s="7" t="n">
        <v>67682</v>
      </c>
      <c r="B3142" s="7" t="n">
        <v>127837</v>
      </c>
      <c r="C3142" s="7" t="n">
        <v>817360</v>
      </c>
      <c r="D3142" s="7" t="n">
        <v>93743</v>
      </c>
      <c r="E3142" s="8" t="n">
        <v>40217</v>
      </c>
      <c r="F3142" s="7" t="n">
        <v>5</v>
      </c>
      <c r="G3142" s="7" t="inlineStr">
        <is>
          <t>Delicious! Made a few changes- used thawed frozen strawberries, crushed in blender; and used strawberry gelatin because I couldn't find unflavored in our small town; And added about a cup of whipping cream! Turned out wonderfully creamy. Put inside a yellow cake. YUMMY!</t>
        </is>
      </c>
    </row>
    <row r="3143">
      <c r="A3143" s="7" t="n">
        <v>106114</v>
      </c>
      <c r="B3143" s="7" t="n">
        <v>728571</v>
      </c>
      <c r="C3143" s="7" t="n">
        <v>121684</v>
      </c>
      <c r="D3143" s="7" t="n">
        <v>115068</v>
      </c>
      <c r="E3143" s="8" t="n">
        <v>38674</v>
      </c>
      <c r="F3143" s="7" t="n">
        <v>5</v>
      </c>
      <c r="G3143" s="7" t="inlineStr">
        <is>
          <t>OK, I went a bit wild with the improvisation thing on this recipe but I'm giving it 5 stars for starting me off with a great idea.  I took a large sheet of silicone paper and laid it over a large sheet of foil.  In the centre, I added 8 fat spears of asparagus.  Then, over the asparagus, I arranged 25g sliced butter, 25g grated parmesan, the juice and finely grated rind of half a small lemon, a sprinkle of dried tarragon and freshly ground black pepper, 1 teaspoon minced garlic, 2 finely sliced green onions, and 8 cherry tomatoes, halved.  Then I drizzled 1/3 cup of thick cream over the top.  I wrapped the lot up in the silicone paper/foil package and placed it in the oven, preheated to 200C (fan forced) and cooked it for 20 minutes.  When it was cooked, I lifted off the asparagus spears with a pair of tongs onto two plates, arranged the tomatoes over the top and poured the liquid into a jug and then over the asparagus.  It made a delicious light supper for two and would be a wonderful entree.  Some time I'll try doing the same thing on the barbecue (grill).</t>
        </is>
      </c>
    </row>
    <row r="3144">
      <c r="A3144" s="7" t="n">
        <v>14973</v>
      </c>
      <c r="B3144" s="7" t="n">
        <v>261435</v>
      </c>
      <c r="C3144" s="7" t="n">
        <v>424680</v>
      </c>
      <c r="D3144" s="7" t="n">
        <v>339650</v>
      </c>
      <c r="E3144" s="8" t="n">
        <v>39918</v>
      </c>
      <c r="F3144" s="7" t="n">
        <v>5</v>
      </c>
      <c r="G3144" s="7" t="inlineStr">
        <is>
          <t>NOW HERE"S A GREAT TASTING CEREAL! As far as the grains are concerned, I followed the recipe exactly, having found amaranth grain in a natural health food store, &amp; I've been a big fan of steel cut oats for some time! We liked the chewiness of this cereal, &amp; with the inclusion of the apricots &amp; almonds (as well as a 1/3 of a cup of dried cranberries!), this made for a wonderfully satisfying breakfast! Thanks for sharing a great recipe! [Tagged, made &amp; reviewed for one of my adopted chefs in the Spring's Pick A Chef]</t>
        </is>
      </c>
    </row>
    <row r="3145">
      <c r="A3145" s="7" t="n">
        <v>123274</v>
      </c>
      <c r="B3145" s="7" t="n">
        <v>562982</v>
      </c>
      <c r="C3145" s="7" t="n">
        <v>422609</v>
      </c>
      <c r="D3145" s="7" t="n">
        <v>306133</v>
      </c>
      <c r="E3145" s="8" t="n">
        <v>39684</v>
      </c>
      <c r="F3145" s="7" t="n">
        <v>4</v>
      </c>
      <c r="G3145" s="7" t="inlineStr">
        <is>
          <t>My chops sat in the marinade for two days, and they were so delicious!  They were moist, tender, and flavorful.  I didn't have any mint, so that ingredient was left out, but the honey, lemon, and cayenne were just perfect.  I served these with white rice and veggies.</t>
        </is>
      </c>
    </row>
    <row r="3146">
      <c r="A3146" s="7" t="n">
        <v>34384</v>
      </c>
      <c r="B3146" s="7" t="n">
        <v>135849</v>
      </c>
      <c r="C3146" s="7" t="n">
        <v>349071</v>
      </c>
      <c r="D3146" s="7" t="n">
        <v>59895</v>
      </c>
      <c r="E3146" s="8" t="n">
        <v>39021</v>
      </c>
      <c r="F3146" s="7" t="n">
        <v>5</v>
      </c>
      <c r="G3146" s="7" t="inlineStr">
        <is>
          <t>Amazing brownies! I prefer brownies to have a moist, gooey texture rather than a 'cakey' one and these brownies fit the bill perfectly.</t>
        </is>
      </c>
    </row>
    <row r="3147">
      <c r="A3147" s="7" t="n">
        <v>21857</v>
      </c>
      <c r="B3147" s="7" t="n">
        <v>97736</v>
      </c>
      <c r="C3147" s="7" t="n">
        <v>514459</v>
      </c>
      <c r="D3147" s="7" t="n">
        <v>3065</v>
      </c>
      <c r="E3147" s="8" t="n">
        <v>39273</v>
      </c>
      <c r="F3147" s="7" t="n">
        <v>5</v>
      </c>
      <c r="G3147" s="7" t="inlineStr">
        <is>
          <t>The reason I rated this recipe five stars was because my wife wanted more and she has never liked fish before.    This was so easy to make.  Steamed veggies and rice made this dish outstanding!</t>
        </is>
      </c>
    </row>
    <row r="3148">
      <c r="A3148" s="7" t="n">
        <v>9580</v>
      </c>
      <c r="B3148" s="7" t="n">
        <v>158388</v>
      </c>
      <c r="C3148" s="7" t="n">
        <v>15820</v>
      </c>
      <c r="D3148" s="7" t="n">
        <v>8701</v>
      </c>
      <c r="E3148" s="8" t="n">
        <v>37448</v>
      </c>
      <c r="F3148" s="7" t="n">
        <v>5</v>
      </c>
      <c r="G3148" s="7" t="inlineStr">
        <is>
          <t>Absolutely delicious! Followed the recipe in it's entirety, except left out the white sugar. I made the sauce ahead of time, and let it sit and blend. The perfect combination of spices and sweet. Ended up cooking them for a couple hours since it looked like hubby was coming home late and already had them in the oven. Turned it down to 300, and they cooked for about two hours total! Fall off the meat tender! Please try this recipe! That is if you even get to my review with there being so many! Definitely making again! Thanks!</t>
        </is>
      </c>
    </row>
    <row r="3149">
      <c r="A3149" s="7" t="n">
        <v>84248</v>
      </c>
      <c r="B3149" s="7" t="n">
        <v>129406</v>
      </c>
      <c r="C3149" s="7" t="n">
        <v>55221</v>
      </c>
      <c r="D3149" s="7" t="n">
        <v>101117</v>
      </c>
      <c r="E3149" s="8" t="n">
        <v>40323</v>
      </c>
      <c r="F3149" s="7" t="n">
        <v>4</v>
      </c>
      <c r="G3149" s="7" t="inlineStr">
        <is>
          <t>A nice summer cocktail with a good mix of fruity flavors. Thanks!</t>
        </is>
      </c>
    </row>
    <row r="3150">
      <c r="A3150" s="7" t="n">
        <v>91271</v>
      </c>
      <c r="B3150" s="7" t="n">
        <v>122750</v>
      </c>
      <c r="C3150" s="7" t="n">
        <v>178427</v>
      </c>
      <c r="D3150" s="7" t="n">
        <v>475008</v>
      </c>
      <c r="E3150" s="8" t="n">
        <v>41064</v>
      </c>
      <c r="F3150" s="7" t="n">
        <v>5</v>
      </c>
      <c r="G3150" s="7" t="inlineStr">
        <is>
          <t>We loved this recipe. The gravy was great served over mashed potatoes. So easy to make and so delicious with so few ingredients. Definitely a keeper! Thanks for sharing. Made for My 3 Chefs 2012.</t>
        </is>
      </c>
    </row>
    <row r="3151">
      <c r="A3151" s="7" t="n">
        <v>16563</v>
      </c>
      <c r="B3151" s="7" t="n">
        <v>1008919</v>
      </c>
      <c r="C3151" s="7" t="n">
        <v>311203</v>
      </c>
      <c r="D3151" s="7" t="n">
        <v>147713</v>
      </c>
      <c r="E3151" s="8" t="n">
        <v>38980</v>
      </c>
      <c r="F3151" s="7" t="n">
        <v>4</v>
      </c>
      <c r="G3151" s="7" t="inlineStr">
        <is>
          <t>These were good, although as the others have said, the texture was different from what I expected. They were really moist and not very cakey, but had a good flavor.  I used vanilla yogurt because that was all I had.  I will try making these again with strawberry.</t>
        </is>
      </c>
    </row>
    <row r="3152">
      <c r="A3152" s="7" t="n">
        <v>118807</v>
      </c>
      <c r="B3152" s="7" t="n">
        <v>66366</v>
      </c>
      <c r="C3152" s="7" t="n">
        <v>1858056</v>
      </c>
      <c r="D3152" s="7" t="n">
        <v>79792</v>
      </c>
      <c r="E3152" s="8" t="n">
        <v>41804</v>
      </c>
      <c r="F3152" s="7" t="n">
        <v>5</v>
      </c>
      <c r="G3152" s="7" t="inlineStr">
        <is>
          <t>This has become our family favorite.  Everytime we have a special dinner this is what we make and we get lots of request for it.</t>
        </is>
      </c>
    </row>
    <row r="3153">
      <c r="A3153" s="7" t="n">
        <v>47999</v>
      </c>
      <c r="B3153" s="7" t="n">
        <v>1103487</v>
      </c>
      <c r="C3153" s="7" t="n">
        <v>428885</v>
      </c>
      <c r="D3153" s="7" t="n">
        <v>123630</v>
      </c>
      <c r="E3153" s="8" t="n">
        <v>40715</v>
      </c>
      <c r="F3153" s="7" t="n">
        <v>5</v>
      </c>
      <c r="G3153" s="7" t="inlineStr">
        <is>
          <t>Perfect recipe! This is so wonderful, I could easily eaten two, but held off. I made these gluten-free by using GF flour, and the lemon yogurt was GF as well. Lovely lemon tasting, and I dusted with some powder sugar for good luck! Thanks for posting! Made for ZWT7</t>
        </is>
      </c>
    </row>
    <row r="3154">
      <c r="A3154" s="7" t="n">
        <v>12439</v>
      </c>
      <c r="B3154" s="7" t="n">
        <v>441836</v>
      </c>
      <c r="C3154" s="7" t="n">
        <v>205772</v>
      </c>
      <c r="D3154" s="7" t="n">
        <v>66963</v>
      </c>
      <c r="E3154" s="8" t="n">
        <v>38587</v>
      </c>
      <c r="F3154" s="7" t="n">
        <v>5</v>
      </c>
      <c r="G3154" s="7" t="inlineStr">
        <is>
          <t xml:space="preserve">Great recipe, I used it in pumpkin muffins. However, when I go pumpkin picking this fall, I'll be sure to use it in  a pie and maybe some pancakes and pumpkin smoothies! I like the taste of cloves, so I added some, too. </t>
        </is>
      </c>
    </row>
    <row r="3155" ht="409.5" customHeight="1">
      <c r="A3155" s="7" t="n">
        <v>53107</v>
      </c>
      <c r="B3155" s="7" t="n">
        <v>1074311</v>
      </c>
      <c r="C3155" s="7" t="n">
        <v>369525</v>
      </c>
      <c r="D3155" s="7" t="n">
        <v>135350</v>
      </c>
      <c r="E3155" s="8" t="n">
        <v>39879</v>
      </c>
      <c r="F3155" s="7" t="n">
        <v>5</v>
      </c>
      <c r="G3155" s="9" t="inlineStr">
        <is>
          <t>Awesome! I have made our mac and cheese this way for years. The only changes I make are to add 1 teaspoon mustard powder, and I top it with crushed potato chips instead of breadcrumbs._x000D_
I love the idea of freezing it though, as it makes a bunch. Can't wait to try that tip._x000D_
THE best mac and cheese!</t>
        </is>
      </c>
    </row>
    <row r="3156">
      <c r="A3156" s="7" t="n">
        <v>8523</v>
      </c>
      <c r="B3156" s="7" t="n">
        <v>996497</v>
      </c>
      <c r="C3156" s="7" t="n">
        <v>588863</v>
      </c>
      <c r="D3156" s="7" t="n">
        <v>124372</v>
      </c>
      <c r="E3156" s="8" t="n">
        <v>39357</v>
      </c>
      <c r="F3156" s="7" t="n">
        <v>5</v>
      </c>
      <c r="G3156" s="7" t="inlineStr">
        <is>
          <t>My  great-grandmother and grandmother had this on their tables througout the summer. Of course, they made them to taste--no measuring. This is an old, old recipe that I have used for years.  Thanks for sharing it with others.</t>
        </is>
      </c>
    </row>
    <row r="3157">
      <c r="A3157" s="7" t="n">
        <v>15126</v>
      </c>
      <c r="B3157" s="7" t="n">
        <v>822518</v>
      </c>
      <c r="C3157" s="7" t="n">
        <v>415204</v>
      </c>
      <c r="D3157" s="7" t="n">
        <v>4724</v>
      </c>
      <c r="E3157" s="8" t="n">
        <v>39111</v>
      </c>
      <c r="F3157" s="7" t="n">
        <v>5</v>
      </c>
      <c r="G3157" s="7" t="inlineStr">
        <is>
          <t>Super corn recipe..everyone loved it..just made it the way it called for and it was perfect..Thanks</t>
        </is>
      </c>
    </row>
    <row r="3158">
      <c r="A3158" s="7" t="n">
        <v>496</v>
      </c>
      <c r="B3158" s="7" t="n">
        <v>394063</v>
      </c>
      <c r="C3158" s="7" t="n">
        <v>1005914</v>
      </c>
      <c r="D3158" s="7" t="n">
        <v>330477</v>
      </c>
      <c r="E3158" s="8" t="n">
        <v>39749</v>
      </c>
      <c r="F3158" s="7" t="n">
        <v>1</v>
      </c>
      <c r="G3158" s="7" t="inlineStr">
        <is>
          <t>Not enough flavor with few strands of saffron. I did not use chives but I still expected more flavor.</t>
        </is>
      </c>
    </row>
    <row r="3159" ht="409.5" customHeight="1">
      <c r="A3159" s="7" t="n">
        <v>86660</v>
      </c>
      <c r="B3159" s="7" t="n">
        <v>195793</v>
      </c>
      <c r="C3159" s="7" t="n">
        <v>350938</v>
      </c>
      <c r="D3159" s="7" t="n">
        <v>151019</v>
      </c>
      <c r="E3159" s="8" t="n">
        <v>40241</v>
      </c>
      <c r="F3159" s="7" t="n">
        <v>5</v>
      </c>
      <c r="G3159" s="9" t="inlineStr">
        <is>
          <t>I have been missing these sooooooooo much. My ex mother in-law used to make these all the time. After she became an EX mother in law, I didn't have the nerve to ask her for the recipe, lol._x000D_
These are dilicious. thanks for posting.</t>
        </is>
      </c>
    </row>
    <row r="3160">
      <c r="A3160" s="7" t="n">
        <v>41911</v>
      </c>
      <c r="B3160" s="7" t="n">
        <v>610770</v>
      </c>
      <c r="C3160" s="7" t="n">
        <v>178427</v>
      </c>
      <c r="D3160" s="7" t="n">
        <v>419820</v>
      </c>
      <c r="E3160" s="8" t="n">
        <v>40637</v>
      </c>
      <c r="F3160" s="7" t="n">
        <v>5</v>
      </c>
      <c r="G3160" s="7" t="inlineStr">
        <is>
          <t>Great muffins!!! I made this as directed but didn't have the orange zest. I used almond extract, melted butter, and walnuts. I really enjoyed the tartness of the cranberries. I made 16 muffins but next time will make only 12 larger ones. Thanks for sharing! Made for PAC 2011.</t>
        </is>
      </c>
    </row>
    <row r="3161">
      <c r="A3161" s="7" t="n">
        <v>109245</v>
      </c>
      <c r="B3161" s="7" t="n">
        <v>305583</v>
      </c>
      <c r="C3161" s="7" t="n">
        <v>69260</v>
      </c>
      <c r="D3161" s="7" t="n">
        <v>31062</v>
      </c>
      <c r="E3161" s="8" t="n">
        <v>37673</v>
      </c>
      <c r="F3161" s="7" t="n">
        <v>3</v>
      </c>
      <c r="G3161" s="7" t="inlineStr">
        <is>
          <t xml:space="preserve">I did not care for my rib roast done this way.  The meat was really salty.  It didn't ruin it, just way too salty for my taste.  Also, the roast looked beautiful, medium rare, but it was really dry.  I would not try this again. </t>
        </is>
      </c>
    </row>
    <row r="3162">
      <c r="A3162" s="7" t="n">
        <v>7696</v>
      </c>
      <c r="B3162" s="7" t="n">
        <v>493468</v>
      </c>
      <c r="C3162" s="7" t="n">
        <v>2367482</v>
      </c>
      <c r="D3162" s="7" t="n">
        <v>71373</v>
      </c>
      <c r="E3162" s="8" t="n">
        <v>41147</v>
      </c>
      <c r="F3162" s="7" t="n">
        <v>5</v>
      </c>
      <c r="G3162" s="7" t="inlineStr">
        <is>
          <t>Excellent bread everytime. I use the loaf for sandwich bread. I make it the evening before I need to use it. The next day I slice it and wrap it. Delicious.</t>
        </is>
      </c>
    </row>
    <row r="3163">
      <c r="A3163" s="7" t="n">
        <v>34595</v>
      </c>
      <c r="B3163" s="7" t="n">
        <v>696822</v>
      </c>
      <c r="C3163" s="7" t="n">
        <v>2148000</v>
      </c>
      <c r="D3163" s="7" t="n">
        <v>234120</v>
      </c>
      <c r="E3163" s="8" t="n">
        <v>41511</v>
      </c>
      <c r="F3163" s="7" t="n">
        <v>0</v>
      </c>
      <c r="G3163" s="7" t="inlineStr">
        <is>
          <t>Just made that using green and wax beans from garden, cooked.  Very tasty. Thanks!!</t>
        </is>
      </c>
    </row>
    <row r="3164">
      <c r="A3164" s="7" t="n">
        <v>76028</v>
      </c>
      <c r="B3164" s="7" t="n">
        <v>163726</v>
      </c>
      <c r="C3164" s="7" t="n">
        <v>181231</v>
      </c>
      <c r="D3164" s="7" t="n">
        <v>106891</v>
      </c>
      <c r="E3164" s="8" t="n">
        <v>38349</v>
      </c>
      <c r="F3164" s="7" t="n">
        <v>5</v>
      </c>
      <c r="G3164" s="7" t="inlineStr">
        <is>
          <t>This recipe sounds good and fun to make.Although I probably won't get to make this till next christmas,I wanted to thank you for posting the recipe.I know it will be fantastic!</t>
        </is>
      </c>
    </row>
    <row r="3165">
      <c r="A3165" s="7" t="n">
        <v>21488</v>
      </c>
      <c r="B3165" s="7" t="n">
        <v>405427</v>
      </c>
      <c r="C3165" s="7" t="n">
        <v>538190</v>
      </c>
      <c r="D3165" s="7" t="n">
        <v>110077</v>
      </c>
      <c r="E3165" s="8" t="n">
        <v>39561</v>
      </c>
      <c r="F3165" s="7" t="n">
        <v>2</v>
      </c>
      <c r="G3165" s="7" t="inlineStr">
        <is>
          <t>didn'treally turn out how i wanted..a little too thin</t>
        </is>
      </c>
    </row>
    <row r="3166">
      <c r="A3166" s="7" t="n">
        <v>9420</v>
      </c>
      <c r="B3166" s="7" t="n">
        <v>355250</v>
      </c>
      <c r="C3166" s="7" t="n">
        <v>440047</v>
      </c>
      <c r="D3166" s="7" t="n">
        <v>92096</v>
      </c>
      <c r="E3166" s="8" t="n">
        <v>39837</v>
      </c>
      <c r="F3166" s="7" t="n">
        <v>5</v>
      </c>
      <c r="G3166" s="7" t="inlineStr">
        <is>
          <t>So great!! It just gets better the longer you simmer it with some meatballs. thank you</t>
        </is>
      </c>
    </row>
    <row r="3167">
      <c r="A3167" s="7" t="n">
        <v>120692</v>
      </c>
      <c r="B3167" s="7" t="n">
        <v>838276</v>
      </c>
      <c r="C3167" s="7" t="n">
        <v>340576</v>
      </c>
      <c r="D3167" s="7" t="n">
        <v>126978</v>
      </c>
      <c r="E3167" s="8" t="n">
        <v>39059</v>
      </c>
      <c r="F3167" s="7" t="n">
        <v>5</v>
      </c>
      <c r="G3167" s="7" t="inlineStr">
        <is>
          <t>I made this into two meat loaves, since I was feeling a bit lazy. The flavor was fantastic, and it came out more moist than my former meatloaf recipe. My husband loved the twist on the gravy, too -- it has a nice bite to it! A definite keeper, Deb. Thanks!</t>
        </is>
      </c>
    </row>
    <row r="3168" ht="409.5" customHeight="1">
      <c r="A3168" s="7" t="n">
        <v>38407</v>
      </c>
      <c r="B3168" s="7" t="n">
        <v>766234</v>
      </c>
      <c r="C3168" s="7" t="n">
        <v>66321</v>
      </c>
      <c r="D3168" s="7" t="n">
        <v>32544</v>
      </c>
      <c r="E3168" s="8" t="n">
        <v>37677</v>
      </c>
      <c r="F3168" s="7" t="n">
        <v>5</v>
      </c>
      <c r="G3168" s="9" t="inlineStr">
        <is>
          <t>I make these on the stove top for my BF on his way to work--we use Canadian Bacon instead of regular bacon, and on some occasions, smoked ham if we have it on hand--quick, easy, and alot less fat and sodium that McDonald's!!_x000D_
Thanks for a great recipe!!!!_x000D_
TERESA</t>
        </is>
      </c>
    </row>
    <row r="3169">
      <c r="A3169" t="n">
        <v>111511</v>
      </c>
      <c r="B3169" t="n">
        <v>486480</v>
      </c>
      <c r="C3169" t="n">
        <v>578857</v>
      </c>
      <c r="D3169" t="n">
        <v>38155</v>
      </c>
      <c r="E3169" s="1" t="n">
        <v>39329</v>
      </c>
      <c r="F3169" t="n">
        <v>4</v>
      </c>
      <c r="G3169" t="inlineStr">
        <is>
          <t>This was Great! I had no vanilla yogurt, so I used blackberry instead. I put a bit too much milk in though.</t>
        </is>
      </c>
    </row>
    <row r="3170">
      <c r="A3170" s="7" t="n">
        <v>122769</v>
      </c>
      <c r="B3170" s="7" t="n">
        <v>325752</v>
      </c>
      <c r="C3170" s="7" t="n">
        <v>67103</v>
      </c>
      <c r="D3170" s="7" t="n">
        <v>170690</v>
      </c>
      <c r="E3170" s="8" t="n">
        <v>39226</v>
      </c>
      <c r="F3170" s="7" t="n">
        <v>5</v>
      </c>
      <c r="G3170" s="7" t="inlineStr">
        <is>
          <t>We thought this was between a 4 and a 5 star, so I will go with a 5.  It was too spicy for my kids.  I used 2 chipotle chiles in adobo and my husband and I liked it very much.  Next time, I will use just 1 of the chipotle chiles and hopefully my kids will enjoy it more.  The smokiness of the chiles along with the sweetness of the honey gave the chicken a wonderful depth of flavor.  Thanks, Rita!</t>
        </is>
      </c>
    </row>
    <row r="3171">
      <c r="A3171" s="7" t="n">
        <v>102085</v>
      </c>
      <c r="B3171" s="7" t="n">
        <v>211664</v>
      </c>
      <c r="C3171" s="7" t="n">
        <v>451422</v>
      </c>
      <c r="D3171" s="7" t="n">
        <v>35888</v>
      </c>
      <c r="E3171" s="8" t="n">
        <v>39129</v>
      </c>
      <c r="F3171" s="7" t="n">
        <v>4</v>
      </c>
      <c r="G3171" s="7" t="inlineStr">
        <is>
          <t>Felt like I was back in Kiev!</t>
        </is>
      </c>
    </row>
    <row r="3172">
      <c r="A3172" s="7" t="n">
        <v>82240</v>
      </c>
      <c r="B3172" s="7" t="n">
        <v>929954</v>
      </c>
      <c r="C3172" s="7" t="n">
        <v>398964</v>
      </c>
      <c r="D3172" s="7" t="n">
        <v>167888</v>
      </c>
      <c r="E3172" s="8" t="n">
        <v>39558</v>
      </c>
      <c r="F3172" s="7" t="n">
        <v>4</v>
      </c>
      <c r="G3172" s="7" t="inlineStr">
        <is>
          <t>Nice recipe.  I made about a half batch. in a 10 inch round pan.  I used skim milk instead of half and half and skipped the ground mustard as well but it still came out quite delicious.</t>
        </is>
      </c>
    </row>
    <row r="3173" ht="360" customHeight="1">
      <c r="A3173" s="7" t="n">
        <v>68434</v>
      </c>
      <c r="B3173" s="7" t="n">
        <v>348767</v>
      </c>
      <c r="C3173" s="7" t="n">
        <v>873933</v>
      </c>
      <c r="D3173" s="7" t="n">
        <v>50719</v>
      </c>
      <c r="E3173" s="8" t="n">
        <v>39625</v>
      </c>
      <c r="F3173" s="7" t="n">
        <v>4</v>
      </c>
      <c r="G3173" s="9" t="inlineStr">
        <is>
          <t>I used BIG fresh blueberries, should have cut down on the amount (2 cups?).  If you like a sweeter muffin, need to increase the sugar (maybe a little honey?)_x000D_
Overall, very good.</t>
        </is>
      </c>
    </row>
    <row r="3174">
      <c r="A3174" s="7" t="n">
        <v>6042</v>
      </c>
      <c r="B3174" s="7" t="n">
        <v>575667</v>
      </c>
      <c r="C3174" s="7" t="n">
        <v>28784</v>
      </c>
      <c r="D3174" s="7" t="n">
        <v>15242</v>
      </c>
      <c r="E3174" s="8" t="n">
        <v>37311</v>
      </c>
      <c r="F3174" s="7" t="n">
        <v>5</v>
      </c>
      <c r="G3174" s="7" t="inlineStr">
        <is>
          <t>Yumm!!!!  Better as a side dish, its too rich for dinner but is still awesome.</t>
        </is>
      </c>
    </row>
    <row r="3175">
      <c r="A3175" s="7" t="n">
        <v>80691</v>
      </c>
      <c r="B3175" s="7" t="n">
        <v>1126006</v>
      </c>
      <c r="C3175" s="7" t="n">
        <v>56003</v>
      </c>
      <c r="D3175" s="7" t="n">
        <v>32623</v>
      </c>
      <c r="E3175" s="8" t="n">
        <v>37839</v>
      </c>
      <c r="F3175" s="7" t="n">
        <v>5</v>
      </c>
      <c r="G3175" s="7" t="inlineStr">
        <is>
          <t>Very, very good different salad.  Couldn't find just white corn in my area, so substituted yellow &amp; white combo.  Turned out very good.  Also added more chilies because we realy like the taste of them.  Will make this again.</t>
        </is>
      </c>
    </row>
    <row r="3176">
      <c r="A3176" s="7" t="n">
        <v>46615</v>
      </c>
      <c r="B3176" s="7" t="n">
        <v>314214</v>
      </c>
      <c r="C3176" s="7" t="n">
        <v>844554</v>
      </c>
      <c r="D3176" s="7" t="n">
        <v>398031</v>
      </c>
      <c r="E3176" s="8" t="n">
        <v>40436</v>
      </c>
      <c r="F3176" s="7" t="n">
        <v>4</v>
      </c>
      <c r="G3176" s="7" t="inlineStr">
        <is>
          <t>I followed this recipe except I only used 1 squash and didn't have any mint leaves. Even though I cut the recipe in half, I think it still could have used less oil and the oregano was a tad bit overpowering. I'm glad to have another recipe for butternut squash to use. Made for Newest Zaar Tag Game 2010.</t>
        </is>
      </c>
    </row>
    <row r="3177">
      <c r="A3177" s="7" t="n">
        <v>2359</v>
      </c>
      <c r="B3177" s="7" t="n">
        <v>1026120</v>
      </c>
      <c r="C3177" s="7" t="n">
        <v>385165</v>
      </c>
      <c r="D3177" s="7" t="n">
        <v>146325</v>
      </c>
      <c r="E3177" s="8" t="n">
        <v>40348</v>
      </c>
      <c r="F3177" s="7" t="n">
        <v>5</v>
      </c>
      <c r="G3177" s="7" t="inlineStr">
        <is>
          <t>I usually only like to eat dark meat, and for some reason, when I picked this up a package of turkey cutlets at the supermarket, I didn't realize it was white meat. I've actually made this recipe a few times before, and it was only this time that I realized it's white meat! lol! I mean this recipe is just FABULOUS. It's so juicy and the spices are just heavenly. I ate half a leftover serving of this with a doctored-up cabbage in a skillet recipe, because I'm on a diet. The combination was utter heaven. My DH and I always fight over this, so it goes quickly. Thanks for an amazing recipe!!</t>
        </is>
      </c>
    </row>
    <row r="3178">
      <c r="A3178" s="7" t="n">
        <v>90191</v>
      </c>
      <c r="B3178" s="7" t="n">
        <v>710058</v>
      </c>
      <c r="C3178" s="7" t="n">
        <v>362919</v>
      </c>
      <c r="D3178" s="7" t="n">
        <v>39318</v>
      </c>
      <c r="E3178" s="8" t="n">
        <v>39910</v>
      </c>
      <c r="F3178" s="7" t="n">
        <v>5</v>
      </c>
      <c r="G3178" s="7" t="inlineStr">
        <is>
          <t>A guest complained of the smell cooking this caused, I agreed that it smelled just about the furthest thing from appetizing you can get lol. I also used less then half the molasses amount called for and it still smelled strongly of it. I dared not taste this on its own but used it instead to make recipe #305109, I've got the small amount I have left stored in the fridge still since it keeps for so long to use again.</t>
        </is>
      </c>
    </row>
    <row r="3179">
      <c r="A3179" t="n">
        <v>116347</v>
      </c>
      <c r="B3179" t="n">
        <v>1122943</v>
      </c>
      <c r="C3179" t="n">
        <v>353579</v>
      </c>
      <c r="D3179" t="n">
        <v>235909</v>
      </c>
      <c r="E3179" s="1" t="n">
        <v>39680</v>
      </c>
      <c r="F3179" t="n">
        <v>5</v>
      </c>
      <c r="G3179" t="inlineStr">
        <is>
          <t>This is a wonderful french bread! It's dense and flavorful and I love it and I will happily make it again.  I mixed it all up in my standing mixer.  Thanks for posting!</t>
        </is>
      </c>
    </row>
    <row r="3180">
      <c r="A3180" t="n">
        <v>74139</v>
      </c>
      <c r="B3180" t="n">
        <v>859655</v>
      </c>
      <c r="C3180" t="n">
        <v>1705779</v>
      </c>
      <c r="D3180" t="n">
        <v>422216</v>
      </c>
      <c r="E3180" s="1" t="n">
        <v>40466</v>
      </c>
      <c r="F3180" t="n">
        <v>4</v>
      </c>
      <c r="G3180" t="inlineStr">
        <is>
          <t>These are so close to red lobster's biscuits.  After we had them, my friend suggested adding some Parmesan to the the batter.  We tried it (we used about 1/4 cup) and it brings them even closer to perfection!</t>
        </is>
      </c>
    </row>
    <row r="3181">
      <c r="A3181" t="n">
        <v>29497</v>
      </c>
      <c r="B3181" t="n">
        <v>320764</v>
      </c>
      <c r="C3181" t="n">
        <v>383346</v>
      </c>
      <c r="D3181" t="n">
        <v>314335</v>
      </c>
      <c r="E3181" s="1" t="n">
        <v>39668</v>
      </c>
      <c r="F3181" t="n">
        <v>4</v>
      </c>
      <c r="G3181" t="inlineStr">
        <is>
          <t>This is a great cocktail.  But for us, we didn't feel the need to add angostura bitters.  And I didn't add nutmeg cause it's not something I like.  I added more pear juice.  I did it for 2 servings and used only 1 quantity for simple syrup (that was perfect).  But DH found it sweet.  Thanks Annacia.  Made for Beverage tag.</t>
        </is>
      </c>
    </row>
    <row r="3182">
      <c r="A3182" s="7" t="n">
        <v>61782</v>
      </c>
      <c r="B3182" s="7" t="n">
        <v>820799</v>
      </c>
      <c r="C3182" s="7" t="n">
        <v>286566</v>
      </c>
      <c r="D3182" s="7" t="n">
        <v>284507</v>
      </c>
      <c r="E3182" s="8" t="n">
        <v>41634</v>
      </c>
      <c r="F3182" s="7" t="n">
        <v>5</v>
      </c>
      <c r="G3182" s="7" t="inlineStr">
        <is>
          <t>I made this using 3oz of Udon noodles and the DM and DS thoroughly enjoyed gobbling up the lot, thank you WIU Cheesehead made for Name that Ingredient tag game.</t>
        </is>
      </c>
    </row>
    <row r="3183">
      <c r="A3183" s="7" t="n">
        <v>14511</v>
      </c>
      <c r="B3183" s="7" t="n">
        <v>166314</v>
      </c>
      <c r="C3183" s="7" t="n">
        <v>1802637967</v>
      </c>
      <c r="D3183" s="7" t="n">
        <v>68428</v>
      </c>
      <c r="E3183" s="8" t="n">
        <v>41777</v>
      </c>
      <c r="F3183" s="7" t="n">
        <v>5</v>
      </c>
      <c r="G3183" s="7" t="inlineStr">
        <is>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is>
      </c>
    </row>
    <row r="3184">
      <c r="A3184" s="7" t="n">
        <v>5823</v>
      </c>
      <c r="B3184" s="7" t="n">
        <v>378826</v>
      </c>
      <c r="C3184" s="7" t="n">
        <v>528197</v>
      </c>
      <c r="D3184" s="7" t="n">
        <v>225990</v>
      </c>
      <c r="E3184" s="8" t="n">
        <v>41049</v>
      </c>
      <c r="F3184" s="7" t="n">
        <v>4</v>
      </c>
      <c r="G3184" s="7" t="inlineStr">
        <is>
          <t>Very good starter recipe. We cooked these in a frier, using peanut oil, then covered the cooked wings in the glaze. I think next time I'll add more spice, but I will definitely make again.</t>
        </is>
      </c>
    </row>
    <row r="3185">
      <c r="A3185" s="7" t="n">
        <v>36855</v>
      </c>
      <c r="B3185" s="7" t="n">
        <v>475333</v>
      </c>
      <c r="C3185" s="7" t="n">
        <v>144140</v>
      </c>
      <c r="D3185" s="7" t="n">
        <v>89607</v>
      </c>
      <c r="E3185" s="8" t="n">
        <v>39841</v>
      </c>
      <c r="F3185" s="7" t="n">
        <v>5</v>
      </c>
      <c r="G3185" s="7" t="inlineStr">
        <is>
          <t>This recipe was wonderful!!! We both loved it!!! The picante sauce gave it just the right amount of "kick", but not overpowering!!! Will be making this again!! Thanks for posting!!</t>
        </is>
      </c>
    </row>
    <row r="3186">
      <c r="A3186" t="n">
        <v>40841</v>
      </c>
      <c r="B3186" t="n">
        <v>924000</v>
      </c>
      <c r="C3186" t="n">
        <v>242729</v>
      </c>
      <c r="D3186" t="n">
        <v>267105</v>
      </c>
      <c r="E3186" s="1" t="n">
        <v>39422</v>
      </c>
      <c r="F3186" t="n">
        <v>5</v>
      </c>
      <c r="G3186" t="inlineStr">
        <is>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is>
      </c>
    </row>
    <row r="3187" ht="409.5" customHeight="1">
      <c r="A3187" s="7" t="n">
        <v>96315</v>
      </c>
      <c r="B3187" s="7" t="n">
        <v>1039889</v>
      </c>
      <c r="C3187" s="7" t="n">
        <v>871333</v>
      </c>
      <c r="D3187" s="7" t="n">
        <v>59462</v>
      </c>
      <c r="E3187" s="8" t="n">
        <v>39623</v>
      </c>
      <c r="F3187" s="7" t="n">
        <v>5</v>
      </c>
      <c r="G3187" s="9" t="inlineStr">
        <is>
          <t>I love this recipe.  I did add a little butter into the batter._x000D_
_x000D_
To make them a little healthier, I used approx 1.5 cups of sifted wheat flour, and they came out great._x000D_
_x000D_
I also tried doubling the recipe.  I froze extras before the baking soda bath (parchment paper between the pretzels).  When I wanted them, I just did the baking soda bath and baked.  Not quite as good as fresh, but still really good.  Great for a kids snack.</t>
        </is>
      </c>
    </row>
    <row r="3188">
      <c r="A3188" t="n">
        <v>10398</v>
      </c>
      <c r="B3188" t="n">
        <v>107969</v>
      </c>
      <c r="C3188" t="n">
        <v>1271626</v>
      </c>
      <c r="D3188" t="n">
        <v>208857</v>
      </c>
      <c r="E3188" s="1" t="n">
        <v>39951</v>
      </c>
      <c r="F3188" t="n">
        <v>5</v>
      </c>
      <c r="G3188" t="inlineStr">
        <is>
          <t>Excellent!  I am trying to lose weight on Weight Watchers' "point" system and this is a wonderful "0 points" side dish.  Really hits the spot as a mashed potato substitute.</t>
        </is>
      </c>
    </row>
    <row r="3189">
      <c r="A3189" s="7" t="n">
        <v>72240</v>
      </c>
      <c r="B3189" s="7" t="n">
        <v>783756</v>
      </c>
      <c r="C3189" s="7" t="n">
        <v>1825437</v>
      </c>
      <c r="D3189" s="7" t="n">
        <v>391012</v>
      </c>
      <c r="E3189" s="8" t="n">
        <v>40782</v>
      </c>
      <c r="F3189" s="7" t="n">
        <v>4</v>
      </c>
      <c r="G3189" s="7" t="inlineStr">
        <is>
          <t>Love the UNO's version, but this was pretty gosh darn good! I agree with the other post there deff is something missing just can't put my finger on it, but was pretty on. Even so this was a nice dish. I did throw in some extra cheese in when making the sauce. Thank you twiggyann!</t>
        </is>
      </c>
    </row>
    <row r="3190">
      <c r="A3190" s="7" t="n">
        <v>7216</v>
      </c>
      <c r="B3190" s="7" t="n">
        <v>665737</v>
      </c>
      <c r="C3190" s="7" t="n">
        <v>706608</v>
      </c>
      <c r="D3190" s="7" t="n">
        <v>306170</v>
      </c>
      <c r="E3190" s="8" t="n">
        <v>39946</v>
      </c>
      <c r="F3190" s="7" t="n">
        <v>4</v>
      </c>
      <c r="G3190" s="7" t="inlineStr">
        <is>
          <t>This is different and I like it. It's somewhere between custard, cheese cake filling and tapioca pudding lol I halved the recipe last night and baked in a 8x8 square (have no ramekins) Took slightly longer to cook but it worked out. I'll most likely make this again as it made a tastey high protein breakfast! Next time however I'll top it with fruit or pie filling. Thanks for the recipe!</t>
        </is>
      </c>
    </row>
    <row r="3191">
      <c r="A3191" s="7" t="n">
        <v>73848</v>
      </c>
      <c r="B3191" s="7" t="n">
        <v>41230</v>
      </c>
      <c r="C3191" s="7" t="n">
        <v>383853</v>
      </c>
      <c r="D3191" s="7" t="n">
        <v>59043</v>
      </c>
      <c r="E3191" s="8" t="n">
        <v>39436</v>
      </c>
      <c r="F3191" s="7" t="n">
        <v>5</v>
      </c>
      <c r="G3191" s="7" t="inlineStr">
        <is>
          <t>My favorite drink! I usually order this when I go out.  Didn't know it had a name though!  I always just ask for captain and rootbeer!</t>
        </is>
      </c>
    </row>
    <row r="3192">
      <c r="A3192" s="7" t="n">
        <v>37012</v>
      </c>
      <c r="B3192" s="7" t="n">
        <v>158404</v>
      </c>
      <c r="C3192" s="7" t="n">
        <v>60260</v>
      </c>
      <c r="D3192" s="7" t="n">
        <v>8701</v>
      </c>
      <c r="E3192" s="8" t="n">
        <v>37640</v>
      </c>
      <c r="F3192" s="7" t="n">
        <v>5</v>
      </c>
      <c r="G3192" s="7" t="inlineStr">
        <is>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is>
      </c>
    </row>
    <row r="3193">
      <c r="A3193" s="7" t="n">
        <v>122397</v>
      </c>
      <c r="B3193" s="7" t="n">
        <v>563516</v>
      </c>
      <c r="C3193" s="7" t="n">
        <v>1477147</v>
      </c>
      <c r="D3193" s="7" t="n">
        <v>170031</v>
      </c>
      <c r="E3193" s="8" t="n">
        <v>40403</v>
      </c>
      <c r="F3193" s="7" t="n">
        <v>5</v>
      </c>
      <c r="G3193" s="7" t="inlineStr">
        <is>
          <t>This is a delicious recipe if you want a new veggie favorite! Instead of turmeric I did 1 teaspoon curry powder. My one year old daughter loved the new flavors as well!</t>
        </is>
      </c>
    </row>
    <row r="3194">
      <c r="A3194" s="7" t="n">
        <v>75407</v>
      </c>
      <c r="B3194" s="7" t="n">
        <v>298637</v>
      </c>
      <c r="C3194" s="7" t="n">
        <v>482376</v>
      </c>
      <c r="D3194" s="7" t="n">
        <v>426332</v>
      </c>
      <c r="E3194" s="8" t="n">
        <v>40589</v>
      </c>
      <c r="F3194" s="7" t="n">
        <v>5</v>
      </c>
      <c r="G3194" s="7" t="inlineStr">
        <is>
          <t>Outstanding recipe that will go directly into my best of 2011 file! Wow, this was amazingly good. I used 2 pans and did 1/2 the batch with chicken and the other half with tofu. Also, I couldn't find the chili peppers, so I subbed 2 t. sirracha sauce and 1 1/2 t. chili flakes. I chose to use rice sticks (like used in Pad Thai) instead of regular noodles. If you do that, you only need about 1/2 the amount of noodles. I also subbed one packet of Stevia for the sugar. Oh my goodness, this recipe got raves. I am so excited that I have leftovers so I can have this for my dinner tonight!!! Next time, I might simplify things and make it as one batch with chicken and I will just pick out the chicken (eating veg. these days). YUM!</t>
        </is>
      </c>
    </row>
    <row r="3195">
      <c r="A3195" s="7" t="n">
        <v>90089</v>
      </c>
      <c r="B3195" s="7" t="n">
        <v>405684</v>
      </c>
      <c r="C3195" s="7" t="n">
        <v>40584</v>
      </c>
      <c r="D3195" s="7" t="n">
        <v>27678</v>
      </c>
      <c r="E3195" s="8" t="n">
        <v>37389</v>
      </c>
      <c r="F3195" s="7" t="n">
        <v>4</v>
      </c>
      <c r="G3195" s="7" t="inlineStr">
        <is>
          <t>I'm going to have to try this out! It sounds very inviting. Personally, I'm a real fruit juice fanatic, and I'm always looking for something new and interesting but still reasonably healthy. Sometimes it's hard to find those sorts of things these days. This just really sounds like a refreshing summery fruit punch, I'll have to tell you what I think afterwards! Thank you for the recipe!</t>
        </is>
      </c>
    </row>
    <row r="3196">
      <c r="A3196" s="7" t="n">
        <v>72056</v>
      </c>
      <c r="B3196" s="7" t="n">
        <v>328799</v>
      </c>
      <c r="C3196" s="7" t="n">
        <v>574083</v>
      </c>
      <c r="D3196" s="7" t="n">
        <v>336351</v>
      </c>
      <c r="E3196" s="8" t="n">
        <v>41266</v>
      </c>
      <c r="F3196" s="7" t="n">
        <v>5</v>
      </c>
      <c r="G3196" s="7" t="inlineStr">
        <is>
          <t>You know, I love KittenCal's recipes, they are always good! But a lowfat KittenCal recipe?  hmmmm, well not sure I buy it, but I did try it and it is delicious.  Good job!  As always!</t>
        </is>
      </c>
    </row>
    <row r="3197">
      <c r="A3197" s="7" t="n">
        <v>18306</v>
      </c>
      <c r="B3197" s="7" t="n">
        <v>1049213</v>
      </c>
      <c r="C3197" s="7" t="n">
        <v>1603818</v>
      </c>
      <c r="D3197" s="7" t="n">
        <v>102274</v>
      </c>
      <c r="E3197" s="8" t="n">
        <v>40292</v>
      </c>
      <c r="F3197" s="7" t="n">
        <v>5</v>
      </c>
      <c r="G3197" s="7" t="inlineStr">
        <is>
          <t>This turned out great. I did things a little different then the recipe. I used 1lb of dry beans that I simmered for 2 hours then used just like canned beans. I also added 1 lb of cooked chicken breast. Very nice recipe!</t>
        </is>
      </c>
    </row>
    <row r="3198">
      <c r="A3198" s="7" t="n">
        <v>98333</v>
      </c>
      <c r="B3198" s="7" t="n">
        <v>925180</v>
      </c>
      <c r="C3198" s="7" t="n">
        <v>1033117</v>
      </c>
      <c r="D3198" s="7" t="n">
        <v>26339</v>
      </c>
      <c r="E3198" s="8" t="n">
        <v>39771</v>
      </c>
      <c r="F3198" s="7" t="n">
        <v>5</v>
      </c>
      <c r="G3198" s="7" t="inlineStr">
        <is>
          <t>Excellent! My girlfriend hates green onions, but she loved it on this recipe... they truly do give it a nice flavor.</t>
        </is>
      </c>
    </row>
    <row r="3199">
      <c r="A3199" s="7" t="n">
        <v>105179</v>
      </c>
      <c r="B3199" s="7" t="n">
        <v>484017</v>
      </c>
      <c r="C3199" s="7" t="n">
        <v>27443</v>
      </c>
      <c r="D3199" s="7" t="n">
        <v>229732</v>
      </c>
      <c r="E3199" s="8" t="n">
        <v>39379</v>
      </c>
      <c r="F3199" s="7" t="n">
        <v>5</v>
      </c>
      <c r="G3199" s="7" t="inlineStr">
        <is>
          <t>Very good. Don't know why it's called hummus salad, being whole chickpeas, then again I wouldn't have looked at the recipe. Thanks for sharing.</t>
        </is>
      </c>
    </row>
    <row r="3200">
      <c r="A3200" s="7" t="n">
        <v>65465</v>
      </c>
      <c r="B3200" s="7" t="n">
        <v>400049</v>
      </c>
      <c r="C3200" s="7" t="n">
        <v>564378</v>
      </c>
      <c r="D3200" s="7" t="n">
        <v>107760</v>
      </c>
      <c r="E3200" s="8" t="n">
        <v>39623</v>
      </c>
      <c r="F3200" s="7" t="n">
        <v>1</v>
      </c>
      <c r="G3200" s="7" t="inlineStr">
        <is>
          <t>I so wanted to like this Tish! I had to throw the whole lot out because it tasted horrible! I am sure it was something I did wrong though. Onions sometimes have a bit of an odd taste if I put them in the slow cooker uncooked so it might have been that. Sorry but it didn't work for me.</t>
        </is>
      </c>
    </row>
    <row r="3201">
      <c r="A3201" t="n">
        <v>1334</v>
      </c>
      <c r="B3201" t="n">
        <v>474536</v>
      </c>
      <c r="C3201" t="n">
        <v>146486</v>
      </c>
      <c r="D3201" t="n">
        <v>41897</v>
      </c>
      <c r="E3201" s="1" t="n">
        <v>38653</v>
      </c>
      <c r="F3201" t="n">
        <v>5</v>
      </c>
      <c r="G3201" t="inlineStr">
        <is>
          <t>Sooo cute and very tasty too!  We're going to visit the in-laws this weekend so I can't wait to share these special treats with them!  Thanks for a great Halloween recipe!</t>
        </is>
      </c>
    </row>
    <row r="3202" ht="409.5" customHeight="1">
      <c r="A3202" s="7" t="n">
        <v>113980</v>
      </c>
      <c r="B3202" s="7" t="n">
        <v>694656</v>
      </c>
      <c r="C3202" s="7" t="n">
        <v>55597</v>
      </c>
      <c r="D3202" s="7" t="n">
        <v>1725</v>
      </c>
      <c r="E3202" s="8" t="n">
        <v>37566</v>
      </c>
      <c r="F3202" s="7" t="n">
        <v>4</v>
      </c>
      <c r="G3202" s="9" t="inlineStr">
        <is>
          <t xml:space="preserve">A good candy recipe.  I used wax paper to roll out half the candy (into two logs for slicing) and the cookie dough scoop for the other half.  You could put some walnut halves or whole dates on top of each piece, or roll the balls in coconut.  This is tasty, but it doesn't taste like dates.  It taste more like brown sugar fudge (but it's easier to make)._x000D_
</t>
        </is>
      </c>
    </row>
    <row r="3203">
      <c r="A3203" s="7" t="n">
        <v>126286</v>
      </c>
      <c r="B3203" s="7" t="n">
        <v>468299</v>
      </c>
      <c r="C3203" s="7" t="n">
        <v>1142497</v>
      </c>
      <c r="D3203" s="7" t="n">
        <v>138173</v>
      </c>
      <c r="E3203" s="8" t="n">
        <v>39981</v>
      </c>
      <c r="F3203" s="7" t="n">
        <v>0</v>
      </c>
      <c r="G3203" s="7" t="inlineStr">
        <is>
          <t>Great recipe; I tried popping these in the oven as another reviewer had suggested (15 minutes on one side, then 10 minutes on the other).  To my dismay, the batter felt thin when I spooned them onto the cool, oiled baking sheet.  Upon turning them, I found that the oil hadn't been absorbed and rather clung onto the patties, which felt more like crepes with their thin edges.  Once the patties were done cooking, I popped them onto a hot skillet; that helped a bit with the texture.  As I would like to limit the calorie intake in my household, I think I'll try the baked version again but up the flour content and shorten the baking time and finish cooking on a skillet next time.  Also, I found the patties a tad sweet for my taste (I did not use sweet onions - not easy to find in my new home above the Arctic Circle) so I might lower the sugar by 1/2 a tablespoon next time.</t>
        </is>
      </c>
    </row>
    <row r="3204">
      <c r="A3204" s="7" t="n">
        <v>88728</v>
      </c>
      <c r="B3204" s="7" t="n">
        <v>417803</v>
      </c>
      <c r="C3204" s="7" t="n">
        <v>620763</v>
      </c>
      <c r="D3204" s="7" t="n">
        <v>325218</v>
      </c>
      <c r="E3204" s="8" t="n">
        <v>40348</v>
      </c>
      <c r="F3204" s="7" t="n">
        <v>3</v>
      </c>
      <c r="G3204" s="7" t="inlineStr">
        <is>
          <t>The sauce for the chicken was good, but I did not like the egg whites in the batter.</t>
        </is>
      </c>
    </row>
    <row r="3205">
      <c r="A3205" s="7" t="n">
        <v>111457</v>
      </c>
      <c r="B3205" s="7" t="n">
        <v>948688</v>
      </c>
      <c r="C3205" s="7" t="n">
        <v>38643</v>
      </c>
      <c r="D3205" s="7" t="n">
        <v>31656</v>
      </c>
      <c r="E3205" s="8" t="n">
        <v>38837</v>
      </c>
      <c r="F3205" s="7" t="n">
        <v>4</v>
      </c>
      <c r="G3205" s="7" t="inlineStr">
        <is>
          <t>What a good and easy meal. I made it as written but would definately add some garlic for more flavor next time.</t>
        </is>
      </c>
    </row>
    <row r="3206">
      <c r="A3206" s="7" t="n">
        <v>54518</v>
      </c>
      <c r="B3206" s="7" t="n">
        <v>741564</v>
      </c>
      <c r="C3206" s="7" t="n">
        <v>58210</v>
      </c>
      <c r="D3206" s="7" t="n">
        <v>132249</v>
      </c>
      <c r="E3206" s="8" t="n">
        <v>38588</v>
      </c>
      <c r="F3206" s="7" t="n">
        <v>4</v>
      </c>
      <c r="G3206" s="7" t="inlineStr">
        <is>
          <t xml:space="preserve"> The best corn out there is Olathe "Sweet, Sweet" corn grown in Olathe, CO and this is the perfect way to cook it if you are only needing to cook an ear or two.  With my family of 6,  this is way too time consuming.  Thanks Uncle Bill!  </t>
        </is>
      </c>
    </row>
    <row r="3207" ht="409.5" customHeight="1">
      <c r="A3207" s="7" t="n">
        <v>11797</v>
      </c>
      <c r="B3207" s="7" t="n">
        <v>247961</v>
      </c>
      <c r="C3207" s="7" t="n">
        <v>414988</v>
      </c>
      <c r="D3207" s="7" t="n">
        <v>215414</v>
      </c>
      <c r="E3207" s="8" t="n">
        <v>39987</v>
      </c>
      <c r="F3207" s="7" t="n">
        <v>5</v>
      </c>
      <c r="G3207" s="9" t="inlineStr">
        <is>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is>
      </c>
    </row>
    <row r="3208">
      <c r="A3208" s="7" t="n">
        <v>25293</v>
      </c>
      <c r="B3208" s="7" t="n">
        <v>288808</v>
      </c>
      <c r="C3208" s="7" t="n">
        <v>478451</v>
      </c>
      <c r="D3208" s="7" t="n">
        <v>184540</v>
      </c>
      <c r="E3208" s="8" t="n">
        <v>39796</v>
      </c>
      <c r="F3208" s="7" t="n">
        <v>5</v>
      </c>
      <c r="G3208" s="7" t="inlineStr">
        <is>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is>
      </c>
    </row>
    <row r="3209">
      <c r="A3209" s="7" t="n">
        <v>38336</v>
      </c>
      <c r="B3209" s="7" t="n">
        <v>869140</v>
      </c>
      <c r="C3209" s="7" t="n">
        <v>461724</v>
      </c>
      <c r="D3209" s="7" t="n">
        <v>168388</v>
      </c>
      <c r="E3209" s="8" t="n">
        <v>40140</v>
      </c>
      <c r="F3209" s="7" t="n">
        <v>4</v>
      </c>
      <c r="G3209" s="7" t="inlineStr">
        <is>
          <t>These were very good and a nice change from my usual recipe.  Thanks for posting!  Made for Aus/NZ Recipe Swap #34.</t>
        </is>
      </c>
    </row>
    <row r="3210">
      <c r="A3210" s="7" t="n">
        <v>44311</v>
      </c>
      <c r="B3210" s="7" t="n">
        <v>975024</v>
      </c>
      <c r="C3210" s="7" t="n">
        <v>573827</v>
      </c>
      <c r="D3210" s="7" t="n">
        <v>242871</v>
      </c>
      <c r="E3210" s="8" t="n">
        <v>39381</v>
      </c>
      <c r="F3210" s="7" t="n">
        <v>4</v>
      </c>
      <c r="G3210" s="7" t="inlineStr">
        <is>
          <t>I thought this was a quick and easy stoganoff. I have another one I like better, but this one is great when you don't have much time. I did add an extra can of cream of mushroom to make it more creamy, a sprinkling of salt and a little extra pepper &amp; paprika.</t>
        </is>
      </c>
    </row>
    <row r="3211">
      <c r="A3211" s="7" t="n">
        <v>33027</v>
      </c>
      <c r="B3211" s="7" t="n">
        <v>196446</v>
      </c>
      <c r="C3211" s="7" t="n">
        <v>58104</v>
      </c>
      <c r="D3211" s="7" t="n">
        <v>457196</v>
      </c>
      <c r="E3211" s="8" t="n">
        <v>40689</v>
      </c>
      <c r="F3211" s="7" t="n">
        <v>5</v>
      </c>
      <c r="G3211" s="7" t="inlineStr">
        <is>
          <t>Earthy goodness. I did use a wild rice mix. 1 1/2 cup wild rice mixture 5 ounces shiitake. I don`t think you need to add the eggs. It would have been just as yummy just adding the onions and mushrooms. My photos were a big blurry sorry. I do have leftovers so maybe if a retake they will be good. Made as part of my Menu #66257 for ZWT 2011. Thanks.</t>
        </is>
      </c>
    </row>
    <row r="3212">
      <c r="A3212" s="7" t="n">
        <v>41660</v>
      </c>
      <c r="B3212" s="7" t="n">
        <v>94705</v>
      </c>
      <c r="C3212" s="7" t="n">
        <v>1293774</v>
      </c>
      <c r="D3212" s="7" t="n">
        <v>361341</v>
      </c>
      <c r="E3212" s="8" t="n">
        <v>40646</v>
      </c>
      <c r="F3212" s="7" t="n">
        <v>5</v>
      </c>
      <c r="G3212" s="7" t="inlineStr">
        <is>
          <t>Delicious.  I made a little extra marinade, which I kept separate and reduced over a medium flame before spooning some over plated grilled salmon.  Excellent recipe.</t>
        </is>
      </c>
    </row>
    <row r="3213">
      <c r="A3213" t="n">
        <v>9896</v>
      </c>
      <c r="B3213" t="n">
        <v>168690</v>
      </c>
      <c r="C3213" t="n">
        <v>526026</v>
      </c>
      <c r="D3213" t="n">
        <v>150334</v>
      </c>
      <c r="E3213" s="1" t="n">
        <v>40014</v>
      </c>
      <c r="F3213" t="n">
        <v>5</v>
      </c>
      <c r="G3213" t="inlineStr">
        <is>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is>
      </c>
    </row>
    <row r="3214" ht="409.5" customHeight="1">
      <c r="A3214" s="7" t="n">
        <v>86643</v>
      </c>
      <c r="B3214" s="7" t="n">
        <v>395552</v>
      </c>
      <c r="C3214" s="7" t="n">
        <v>160974</v>
      </c>
      <c r="D3214" s="7" t="n">
        <v>111393</v>
      </c>
      <c r="E3214" s="8" t="n">
        <v>38425</v>
      </c>
      <c r="F3214" s="7" t="n">
        <v>5</v>
      </c>
      <c r="G3214" s="9" t="inlineStr">
        <is>
          <t>I scampered to find the ingredients to make this. I knew it would be good! I have made "spaghetti pies" before, but I saw a few things in the recipe that I thought would add to it. I liked the angel hair pasta for the base (I did not bake crust separately, since I wanted it a little softer). I liked the cream cheese layer. It really kept the pie from being dry (and liked the unique way of rolling the cheese in a circle). I had to use Monterey Jack cheese, since that was on hand. Great casserole! I look forward to trying more of your recipes._x000D_
Roxygirl in Colo.</t>
        </is>
      </c>
    </row>
    <row r="3215">
      <c r="A3215" s="7" t="n">
        <v>15393</v>
      </c>
      <c r="B3215" s="7" t="n">
        <v>333463</v>
      </c>
      <c r="C3215" s="7" t="n">
        <v>2959951</v>
      </c>
      <c r="D3215" s="7" t="n">
        <v>488561</v>
      </c>
      <c r="E3215" s="8" t="n">
        <v>41512</v>
      </c>
      <c r="F3215" s="7" t="n">
        <v>4</v>
      </c>
      <c r="G3215" s="7" t="inlineStr">
        <is>
          <t>This is a drink we took on as a favorite while in Salzburg this summer. It&amp;#039;s a wonderful refresher, and one of the most popular at all the sidewalk wine stops. You should try it on a warm summer evening, especially good for outside.</t>
        </is>
      </c>
    </row>
    <row r="3216">
      <c r="A3216" s="7" t="n">
        <v>123945</v>
      </c>
      <c r="B3216" s="7" t="n">
        <v>496626</v>
      </c>
      <c r="C3216" s="7" t="n">
        <v>857489</v>
      </c>
      <c r="D3216" s="7" t="n">
        <v>110199</v>
      </c>
      <c r="E3216" s="8" t="n">
        <v>40130</v>
      </c>
      <c r="F3216" s="7" t="n">
        <v>3</v>
      </c>
      <c r="G3216" s="7" t="inlineStr">
        <is>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is>
      </c>
    </row>
    <row r="3217">
      <c r="A3217" s="7" t="n">
        <v>42979</v>
      </c>
      <c r="B3217" s="7" t="n">
        <v>1018745</v>
      </c>
      <c r="C3217" s="7" t="n">
        <v>2434332</v>
      </c>
      <c r="D3217" s="7" t="n">
        <v>345614</v>
      </c>
      <c r="E3217" s="8" t="n">
        <v>41187</v>
      </c>
      <c r="F3217" s="7" t="n">
        <v>5</v>
      </c>
      <c r="G3217" s="7" t="inlineStr">
        <is>
          <t>Easy and YUMMY!!! Great for chilly nights.</t>
        </is>
      </c>
    </row>
    <row r="3218">
      <c r="A3218" s="7" t="n">
        <v>63602</v>
      </c>
      <c r="B3218" s="7" t="n">
        <v>467137</v>
      </c>
      <c r="C3218" s="7" t="n">
        <v>17803</v>
      </c>
      <c r="D3218" s="7" t="n">
        <v>42719</v>
      </c>
      <c r="E3218" s="8" t="n">
        <v>37571</v>
      </c>
      <c r="F3218" s="7" t="n">
        <v>5</v>
      </c>
      <c r="G3218" s="7" t="inlineStr">
        <is>
          <t>Just put it all in the crockpot and forget about it.  It just can't get any easier and it turns out wonderful!  I used a whole bag of hashbrowns (32 ounce size) which measured out to be 8 cups.</t>
        </is>
      </c>
    </row>
    <row r="3219">
      <c r="A3219" s="7" t="n">
        <v>110718</v>
      </c>
      <c r="B3219" s="7" t="n">
        <v>1092333</v>
      </c>
      <c r="C3219" s="7" t="n">
        <v>68960</v>
      </c>
      <c r="D3219" s="7" t="n">
        <v>187962</v>
      </c>
      <c r="E3219" s="8" t="n">
        <v>39238</v>
      </c>
      <c r="F3219" s="7" t="n">
        <v>4</v>
      </c>
      <c r="G3219" s="7" t="inlineStr">
        <is>
          <t>Yum, we loved this. I also doubled the sauce and added red pepper flakes as it wasn't quite spicy enough for us.  Also toasted some cashews to sprinkle over the top. I'm not keen on carrots so instead used an onion. Keeper for our family.</t>
        </is>
      </c>
    </row>
    <row r="3220">
      <c r="A3220" s="7" t="n">
        <v>124079</v>
      </c>
      <c r="B3220" s="7" t="n">
        <v>171309</v>
      </c>
      <c r="C3220" s="7" t="n">
        <v>97579</v>
      </c>
      <c r="D3220" s="7" t="n">
        <v>178352</v>
      </c>
      <c r="E3220" s="8" t="n">
        <v>38926</v>
      </c>
      <c r="F3220" s="7" t="n">
        <v>5</v>
      </c>
      <c r="G3220" s="7" t="inlineStr">
        <is>
          <t>I made this for lunch for some girlfriends and it was a hit!  Excellent flavor, loved the dill in it.</t>
        </is>
      </c>
    </row>
    <row r="3221">
      <c r="A3221" s="7" t="n">
        <v>115352</v>
      </c>
      <c r="B3221" s="7" t="n">
        <v>41352</v>
      </c>
      <c r="C3221" s="7" t="n">
        <v>335284</v>
      </c>
      <c r="D3221" s="7" t="n">
        <v>19823</v>
      </c>
      <c r="E3221" s="8" t="n">
        <v>39421</v>
      </c>
      <c r="F3221" s="7" t="n">
        <v>5</v>
      </c>
      <c r="G3221" s="7" t="inlineStr">
        <is>
          <t>Who would believe that something so simple could taste so good!  This is my new favorite way to prepare pork chops!</t>
        </is>
      </c>
    </row>
    <row r="3222">
      <c r="A3222" s="7" t="n">
        <v>13261</v>
      </c>
      <c r="B3222" s="7" t="n">
        <v>462372</v>
      </c>
      <c r="C3222" s="7" t="n">
        <v>314825</v>
      </c>
      <c r="D3222" s="7" t="n">
        <v>99395</v>
      </c>
      <c r="E3222" s="8" t="n">
        <v>40803</v>
      </c>
      <c r="F3222" s="7" t="n">
        <v>4</v>
      </c>
      <c r="G3222" s="7" t="inlineStr">
        <is>
          <t>Mmmm,delicious. I doubled the garlic though. We had it on the piece of grilled sourdough bread. Next time I will try to add some sauteed  onions and reduce the amount of vinegar or lemon juice( it was a bit too acidic).</t>
        </is>
      </c>
    </row>
    <row r="3223">
      <c r="A3223" s="7" t="n">
        <v>10170</v>
      </c>
      <c r="B3223" s="7" t="n">
        <v>348719</v>
      </c>
      <c r="C3223" s="7" t="n">
        <v>341170</v>
      </c>
      <c r="D3223" s="7" t="n">
        <v>50719</v>
      </c>
      <c r="E3223" s="8" t="n">
        <v>39281</v>
      </c>
      <c r="F3223" s="7" t="n">
        <v>4</v>
      </c>
      <c r="G3223" s="7" t="inlineStr">
        <is>
          <t>These were great! I made full sized and mini-muffins. They are a touch sweet so I'm gonna try with only 3/4 cup of sugar next round</t>
        </is>
      </c>
    </row>
    <row r="3224">
      <c r="A3224" s="7" t="n">
        <v>113380</v>
      </c>
      <c r="B3224" s="7" t="n">
        <v>978412</v>
      </c>
      <c r="C3224" s="7" t="n">
        <v>280166</v>
      </c>
      <c r="D3224" s="7" t="n">
        <v>104975</v>
      </c>
      <c r="E3224" s="8" t="n">
        <v>38904</v>
      </c>
      <c r="F3224" s="7" t="n">
        <v>5</v>
      </c>
      <c r="G3224" s="7" t="inlineStr">
        <is>
          <t>I've been making these every Christmas for about 5 years--we call them "Tiddly-winks" at our house.  Will def try the caramel and pecan version soon!</t>
        </is>
      </c>
    </row>
    <row r="3225">
      <c r="A3225" s="7" t="n">
        <v>2369</v>
      </c>
      <c r="B3225" s="7" t="n">
        <v>1054214</v>
      </c>
      <c r="C3225" s="7" t="n">
        <v>284180</v>
      </c>
      <c r="D3225" s="7" t="n">
        <v>114356</v>
      </c>
      <c r="E3225" s="8" t="n">
        <v>39747</v>
      </c>
      <c r="F3225" s="7" t="n">
        <v>5</v>
      </c>
      <c r="G3225" s="7" t="inlineStr">
        <is>
          <t>Delicious!  Mine didn't turn out very pretty because the cranberry sauce I used (organic) wasn't as thick as other types, so some liquid ran over the cream cheese. But the taste was great.  Added to my Book #93618 public cookbook!</t>
        </is>
      </c>
    </row>
    <row r="3226">
      <c r="A3226" s="7" t="n">
        <v>125251</v>
      </c>
      <c r="B3226" s="7" t="n">
        <v>686157</v>
      </c>
      <c r="C3226" s="7" t="n">
        <v>220403</v>
      </c>
      <c r="D3226" s="7" t="n">
        <v>139021</v>
      </c>
      <c r="E3226" s="8" t="n">
        <v>39127</v>
      </c>
      <c r="F3226" s="7" t="n">
        <v>5</v>
      </c>
      <c r="G3226" s="7" t="inlineStr">
        <is>
          <t>Beautiful!!  Wonderful flavor and so easy!!  Thank you!!</t>
        </is>
      </c>
    </row>
    <row r="3227">
      <c r="A3227" s="7" t="n">
        <v>8259</v>
      </c>
      <c r="B3227" s="7" t="n">
        <v>336300</v>
      </c>
      <c r="C3227" s="7" t="n">
        <v>781652</v>
      </c>
      <c r="D3227" s="7" t="n">
        <v>143616</v>
      </c>
      <c r="E3227" s="8" t="n">
        <v>39512</v>
      </c>
      <c r="F3227" s="7" t="n">
        <v>4</v>
      </c>
      <c r="G3227" s="7" t="inlineStr">
        <is>
          <t>Okay so instead of mushroom soup I added broccoli cheddar, just because I hate mushrooms. The author didn't inclue a temperature for cooking, but I cooked it at 450 for about 25 minutes. It came out browned on the top slightly and it is amazing. It was something my family and I really enjoyed.</t>
        </is>
      </c>
    </row>
    <row r="3228">
      <c r="A3228" s="7" t="n">
        <v>5166</v>
      </c>
      <c r="B3228" s="7" t="n">
        <v>1106703</v>
      </c>
      <c r="C3228" s="7" t="n">
        <v>169430</v>
      </c>
      <c r="D3228" s="7" t="n">
        <v>272293</v>
      </c>
      <c r="E3228" s="8" t="n">
        <v>40093</v>
      </c>
      <c r="F3228" s="7" t="n">
        <v>5</v>
      </c>
      <c r="G3228" s="7" t="inlineStr">
        <is>
          <t>What a delicious and comforting drink for Autumn and Winter. I made a small trial amount as a test run for the coming holidays and as soon as I finish this review I'm going to make the full amount of butter mix to keep in the freezer to use as wanted. This is mellow and beautifully spiced and would be wonderful to have hot and ready for arriving guests coming in from the outdoor chill.</t>
        </is>
      </c>
    </row>
    <row r="3229">
      <c r="A3229" s="7" t="n">
        <v>99888</v>
      </c>
      <c r="B3229" s="7" t="n">
        <v>110099</v>
      </c>
      <c r="C3229" s="7" t="n">
        <v>1563874</v>
      </c>
      <c r="D3229" s="7" t="n">
        <v>181596</v>
      </c>
      <c r="E3229" s="8" t="n">
        <v>40329</v>
      </c>
      <c r="F3229" s="7" t="n">
        <v>5</v>
      </c>
      <c r="G3229" s="7" t="inlineStr">
        <is>
          <t>This was a great dish! I used heart healthy bisquick instead of refridgerated biscuits, and I used NSA cheery pie filling to make it lighter. Awesome and very creative!!</t>
        </is>
      </c>
    </row>
    <row r="3230">
      <c r="A3230" s="7" t="n">
        <v>30101</v>
      </c>
      <c r="B3230" s="7" t="n">
        <v>53196</v>
      </c>
      <c r="C3230" s="7" t="n">
        <v>115048</v>
      </c>
      <c r="D3230" s="7" t="n">
        <v>78055</v>
      </c>
      <c r="E3230" s="8" t="n">
        <v>38010</v>
      </c>
      <c r="F3230" s="7" t="n">
        <v>5</v>
      </c>
      <c r="G3230" s="7" t="inlineStr">
        <is>
          <t>loved them! so easy to make. i would recommend spraying the muffin tin with pam i had a little trouble getting them out. they were a big hit! i will definitely make again. thank you  peggy</t>
        </is>
      </c>
    </row>
    <row r="3231">
      <c r="A3231" s="7" t="n">
        <v>34777</v>
      </c>
      <c r="B3231" s="7" t="n">
        <v>486998</v>
      </c>
      <c r="C3231" s="7" t="n">
        <v>516405</v>
      </c>
      <c r="D3231" s="7" t="n">
        <v>312375</v>
      </c>
      <c r="E3231" s="8" t="n">
        <v>39796</v>
      </c>
      <c r="F3231" s="7" t="n">
        <v>3</v>
      </c>
      <c r="G3231" s="7" t="inlineStr">
        <is>
          <t>Splenda brown sugar blend is partly brown sugar, so this recipe title is a little misleading. They look like they would taste good, but unfortunately, I wouldn't be able to try them. :-(</t>
        </is>
      </c>
    </row>
    <row r="3232">
      <c r="A3232" s="7" t="n">
        <v>117573</v>
      </c>
      <c r="B3232" s="7" t="n">
        <v>788463</v>
      </c>
      <c r="C3232" s="7" t="n">
        <v>184312</v>
      </c>
      <c r="D3232" s="7" t="n">
        <v>125487</v>
      </c>
      <c r="E3232" s="8" t="n">
        <v>38877</v>
      </c>
      <c r="F3232" s="7" t="n">
        <v>5</v>
      </c>
      <c r="G3232" s="7" t="inlineStr">
        <is>
          <t>This was very good and really tasted like italian sausage! We warmed it the second night and ate again. Thanks so much for a really good recipe.</t>
        </is>
      </c>
    </row>
    <row r="3233">
      <c r="A3233" s="7" t="n">
        <v>44613</v>
      </c>
      <c r="B3233" s="7" t="n">
        <v>281765</v>
      </c>
      <c r="C3233" s="7" t="n">
        <v>346387</v>
      </c>
      <c r="D3233" s="7" t="n">
        <v>67679</v>
      </c>
      <c r="E3233" s="8" t="n">
        <v>38956</v>
      </c>
      <c r="F3233" s="7" t="n">
        <v>5</v>
      </c>
      <c r="G3233" s="7" t="inlineStr">
        <is>
          <t>Great recipe!!  Who ever thought of putting corn on the cob in the OVEN!  LOVE IT!!!</t>
        </is>
      </c>
    </row>
    <row r="3234">
      <c r="A3234" s="7" t="n">
        <v>9842</v>
      </c>
      <c r="B3234" s="7" t="n">
        <v>574370</v>
      </c>
      <c r="C3234" s="7" t="n">
        <v>192581</v>
      </c>
      <c r="D3234" s="7" t="n">
        <v>13320</v>
      </c>
      <c r="E3234" s="8" t="n">
        <v>39776</v>
      </c>
      <c r="F3234" s="7" t="n">
        <v>5</v>
      </c>
      <c r="G3234" s="7" t="inlineStr">
        <is>
          <t>These pot stickers tasted great!  However, to make them vegetarian I omitted the shrimp and pork, used vegetable stock and added more cabbage, along with some carrots.  I took them to work for our Thanksgiving feast and they were immensely popular, despite being terribly misshapen.  I cannot emphasize how much these should NOT be frozen, or perhaps frozen separated and then left separate!  I froze them separate on a cookie sheet, put in a bag and the next day defrosted in the refrigerator.  The wonton wrappers stuck together, and no matter how carefully I tried to remove them I couldn't get them to stay whole.  Fortunately nobody cared what they looked like, but if you want them to look presentable I don't recommend freezing them at all.  Otherwise, thanks, my coworkers want me to make these again next year:D  Maybe next year I'll try freezing them after they are already cooked.  I think that will work out better.</t>
        </is>
      </c>
    </row>
    <row r="3235">
      <c r="A3235" s="7" t="n">
        <v>190</v>
      </c>
      <c r="B3235" s="7" t="n">
        <v>922031</v>
      </c>
      <c r="C3235" s="7" t="n">
        <v>491095</v>
      </c>
      <c r="D3235" s="7" t="n">
        <v>18583</v>
      </c>
      <c r="E3235" s="8" t="n">
        <v>39477</v>
      </c>
      <c r="F3235" s="7" t="n">
        <v>4</v>
      </c>
      <c r="G3235" s="7" t="inlineStr">
        <is>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is>
      </c>
    </row>
    <row r="3236">
      <c r="A3236" s="7" t="n">
        <v>24818</v>
      </c>
      <c r="B3236" s="7" t="n">
        <v>1004669</v>
      </c>
      <c r="C3236" s="7" t="n">
        <v>2701622</v>
      </c>
      <c r="D3236" s="7" t="n">
        <v>495181</v>
      </c>
      <c r="E3236" s="8" t="n">
        <v>41324</v>
      </c>
      <c r="F3236" s="7" t="n">
        <v>5</v>
      </c>
      <c r="G3236" s="7" t="inlineStr">
        <is>
          <t>Sounds amazing! Yummmm.</t>
        </is>
      </c>
    </row>
    <row r="3237">
      <c r="A3237" s="7" t="n">
        <v>63319</v>
      </c>
      <c r="B3237" s="7" t="n">
        <v>747026</v>
      </c>
      <c r="C3237" s="7" t="n">
        <v>128473</v>
      </c>
      <c r="D3237" s="7" t="n">
        <v>176150</v>
      </c>
      <c r="E3237" s="8" t="n">
        <v>41148</v>
      </c>
      <c r="F3237" s="7" t="n">
        <v>5</v>
      </c>
      <c r="G3237" s="7" t="inlineStr">
        <is>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is>
      </c>
    </row>
    <row r="3238">
      <c r="A3238" s="7" t="n">
        <v>9154</v>
      </c>
      <c r="B3238" s="7" t="n">
        <v>70621</v>
      </c>
      <c r="C3238" s="7" t="n">
        <v>1072669</v>
      </c>
      <c r="D3238" s="7" t="n">
        <v>17566</v>
      </c>
      <c r="E3238" s="8" t="n">
        <v>39818</v>
      </c>
      <c r="F3238" s="7" t="n">
        <v>4</v>
      </c>
      <c r="G3238" s="7" t="inlineStr">
        <is>
          <t>Really good flavor, but needed more pepper.</t>
        </is>
      </c>
    </row>
    <row r="3239">
      <c r="A3239" s="7" t="n">
        <v>52082</v>
      </c>
      <c r="B3239" s="7" t="n">
        <v>473455</v>
      </c>
      <c r="C3239" s="7" t="n">
        <v>208252</v>
      </c>
      <c r="D3239" s="7" t="n">
        <v>130008</v>
      </c>
      <c r="E3239" s="8" t="n">
        <v>38549</v>
      </c>
      <c r="F3239" s="7" t="n">
        <v>0</v>
      </c>
      <c r="G3239" s="7" t="inlineStr">
        <is>
          <t>I haven't mad this yet but it looks good.  I wanted to suggest that the seasoning packs from the noodles can be saved and used for other dishes like eggs, browned hamburger and the like.</t>
        </is>
      </c>
    </row>
    <row r="3240">
      <c r="A3240" s="7" t="n">
        <v>124270</v>
      </c>
      <c r="B3240" s="7" t="n">
        <v>816195</v>
      </c>
      <c r="C3240" s="7" t="n">
        <v>203467</v>
      </c>
      <c r="D3240" s="7" t="n">
        <v>94580</v>
      </c>
      <c r="E3240" s="8" t="n">
        <v>38738</v>
      </c>
      <c r="F3240" s="7" t="n">
        <v>5</v>
      </c>
      <c r="G3240" s="7" t="inlineStr">
        <is>
          <t>Excellent! I love the flavor combination and it looks so pretty.</t>
        </is>
      </c>
    </row>
    <row r="3241">
      <c r="A3241" s="7" t="n">
        <v>17680</v>
      </c>
      <c r="B3241" s="7" t="n">
        <v>26992</v>
      </c>
      <c r="C3241" s="7" t="n">
        <v>206101</v>
      </c>
      <c r="D3241" s="7" t="n">
        <v>29439</v>
      </c>
      <c r="E3241" s="8" t="n">
        <v>38940</v>
      </c>
      <c r="F3241" s="7" t="n">
        <v>5</v>
      </c>
      <c r="G3241" s="7" t="inlineStr">
        <is>
          <t xml:space="preserve">I can pop these like candy. They're awesome! </t>
        </is>
      </c>
    </row>
    <row r="3242">
      <c r="A3242" s="7" t="n">
        <v>59924</v>
      </c>
      <c r="B3242" s="7" t="n">
        <v>657052</v>
      </c>
      <c r="C3242" s="7" t="n">
        <v>981797</v>
      </c>
      <c r="D3242" s="7" t="n">
        <v>27208</v>
      </c>
      <c r="E3242" s="8" t="n">
        <v>40226</v>
      </c>
      <c r="F3242" s="7" t="n">
        <v>4</v>
      </c>
      <c r="G3242" s="7" t="inlineStr">
        <is>
          <t>Pretty good roast, however was extremely salty for my taste. Next time will play around with the amount of each mix.</t>
        </is>
      </c>
    </row>
    <row r="3243">
      <c r="A3243" s="7" t="n">
        <v>64298</v>
      </c>
      <c r="B3243" s="7" t="n">
        <v>643377</v>
      </c>
      <c r="C3243" s="7" t="n">
        <v>692696</v>
      </c>
      <c r="D3243" s="7" t="n">
        <v>197734</v>
      </c>
      <c r="E3243" s="8" t="n">
        <v>39973</v>
      </c>
      <c r="F3243" s="7" t="n">
        <v>4</v>
      </c>
      <c r="G3243" s="7" t="inlineStr">
        <is>
          <t>These were a little "herby" for my family, but they were still really good.  I'm giving it a four based on my family, not based on how well it came out.  As far as that is concerned, they came out looking just like the picture!  Thank you!!  I</t>
        </is>
      </c>
    </row>
    <row r="3244">
      <c r="A3244" s="7" t="n">
        <v>113960</v>
      </c>
      <c r="B3244" s="7" t="n">
        <v>21163</v>
      </c>
      <c r="C3244" s="7" t="n">
        <v>1052873</v>
      </c>
      <c r="D3244" s="7" t="n">
        <v>433417</v>
      </c>
      <c r="E3244" s="8" t="n">
        <v>41356</v>
      </c>
      <c r="F3244" s="7" t="n">
        <v>5</v>
      </c>
      <c r="G3244" s="7" t="inlineStr">
        <is>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is>
      </c>
    </row>
    <row r="3245">
      <c r="A3245" s="7" t="n">
        <v>74895</v>
      </c>
      <c r="B3245" s="7" t="n">
        <v>1022334</v>
      </c>
      <c r="C3245" s="7" t="n">
        <v>68960</v>
      </c>
      <c r="D3245" s="7" t="n">
        <v>202181</v>
      </c>
      <c r="E3245" s="8" t="n">
        <v>39264</v>
      </c>
      <c r="F3245" s="7" t="n">
        <v>4</v>
      </c>
      <c r="G3245" s="7" t="inlineStr">
        <is>
          <t>Loved this simple recipe that went so well with our lamb rack tonight.  I also used dried dill, real garlic, butter and white wine. Fabulous, thank you.</t>
        </is>
      </c>
    </row>
    <row r="3246">
      <c r="A3246" s="7" t="n">
        <v>12324</v>
      </c>
      <c r="B3246" s="7" t="n">
        <v>997166</v>
      </c>
      <c r="C3246" s="7" t="n">
        <v>351811</v>
      </c>
      <c r="D3246" s="7" t="n">
        <v>215620</v>
      </c>
      <c r="E3246" s="8" t="n">
        <v>39195</v>
      </c>
      <c r="F3246" s="7" t="n">
        <v>5</v>
      </c>
      <c r="G3246" s="7" t="inlineStr">
        <is>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is>
      </c>
    </row>
    <row r="3247">
      <c r="A3247" t="n">
        <v>37840</v>
      </c>
      <c r="B3247" t="n">
        <v>938027</v>
      </c>
      <c r="C3247" t="n">
        <v>457690</v>
      </c>
      <c r="D3247" t="n">
        <v>82102</v>
      </c>
      <c r="E3247" s="1" t="n">
        <v>39426</v>
      </c>
      <c r="F3247" t="n">
        <v>5</v>
      </c>
      <c r="G3247" t="inlineStr">
        <is>
          <t>Out of the oven, these were excellent. My little sister said they were "really, really good." By the time I had to get them to my boyfriend's house, they were cold and not as good reheated in a pan... but those first ones out of the oven were amazing and juicy and YUM!</t>
        </is>
      </c>
    </row>
    <row r="3248">
      <c r="A3248" s="7" t="n">
        <v>97399</v>
      </c>
      <c r="B3248" s="7" t="n">
        <v>99187</v>
      </c>
      <c r="C3248" s="7" t="n">
        <v>402559</v>
      </c>
      <c r="D3248" s="7" t="n">
        <v>47054</v>
      </c>
      <c r="E3248" s="8" t="n">
        <v>39143</v>
      </c>
      <c r="F3248" s="7" t="n">
        <v>4</v>
      </c>
      <c r="G3248" s="7" t="inlineStr">
        <is>
          <t>This was kind of bland to us as is so I went back and added some parmesan cheese and little bit of milk to thin out the sauce. I also used a 1 pound bag of sweet frozen corn and didn't drain it before adding everything else. Thanks for sharing!</t>
        </is>
      </c>
    </row>
    <row r="3249">
      <c r="A3249" s="7" t="n">
        <v>63623</v>
      </c>
      <c r="B3249" s="7" t="n">
        <v>1052544</v>
      </c>
      <c r="C3249" s="7" t="n">
        <v>116518</v>
      </c>
      <c r="D3249" s="7" t="n">
        <v>208451</v>
      </c>
      <c r="E3249" s="8" t="n">
        <v>39449</v>
      </c>
      <c r="F3249" s="7" t="n">
        <v>4</v>
      </c>
      <c r="G3249" s="7" t="inlineStr">
        <is>
          <t>I don't like tomatoes, so I made this to bring to a New Year's party.  They were a big hit!  Thanks for the great recipe.  I had a problem finding black food coloring so we made them without the "spots" and they still looked as cute as can be.</t>
        </is>
      </c>
    </row>
    <row r="3250">
      <c r="A3250" s="7" t="n">
        <v>12394</v>
      </c>
      <c r="B3250" s="7" t="n">
        <v>459328</v>
      </c>
      <c r="C3250" s="7" t="n">
        <v>1565836</v>
      </c>
      <c r="D3250" s="7" t="n">
        <v>102524</v>
      </c>
      <c r="E3250" s="8" t="n">
        <v>40237</v>
      </c>
      <c r="F3250" s="7" t="n">
        <v>5</v>
      </c>
      <c r="G3250" s="7" t="inlineStr">
        <is>
          <t>Yummy!! First time through it came out perfect. Did add a splash of balsamic vinegar. Thanks for posting this.</t>
        </is>
      </c>
    </row>
    <row r="3251">
      <c r="A3251" s="7" t="n">
        <v>65570</v>
      </c>
      <c r="B3251" s="7" t="n">
        <v>343778</v>
      </c>
      <c r="C3251" s="7" t="n">
        <v>252603</v>
      </c>
      <c r="D3251" s="7" t="n">
        <v>46181</v>
      </c>
      <c r="E3251" s="8" t="n">
        <v>38641</v>
      </c>
      <c r="F3251" s="7" t="n">
        <v>4</v>
      </c>
      <c r="G3251" s="7" t="inlineStr">
        <is>
          <t>this was very tasty.....made very good sauce,,,we served it with rice, but noodles would be very good too...I doubled recipe and it was great</t>
        </is>
      </c>
    </row>
    <row r="3252">
      <c r="A3252" s="7" t="n">
        <v>94443</v>
      </c>
      <c r="B3252" s="7" t="n">
        <v>991629</v>
      </c>
      <c r="C3252" s="7" t="n">
        <v>735514</v>
      </c>
      <c r="D3252" s="7" t="n">
        <v>175817</v>
      </c>
      <c r="E3252" s="8" t="n">
        <v>39468</v>
      </c>
      <c r="F3252" s="7" t="n">
        <v>5</v>
      </c>
      <c r="G3252" s="7" t="inlineStr">
        <is>
          <t>Great friendly site. I love the feature that you can edit any typos. Great recipe, simple and authentic. Let's keep up the good work.</t>
        </is>
      </c>
    </row>
    <row r="3253">
      <c r="A3253" s="7" t="n">
        <v>47628</v>
      </c>
      <c r="B3253" s="7" t="n">
        <v>656939</v>
      </c>
      <c r="C3253" s="7" t="n">
        <v>1122988</v>
      </c>
      <c r="D3253" s="7" t="n">
        <v>27208</v>
      </c>
      <c r="E3253" s="8" t="n">
        <v>39974</v>
      </c>
      <c r="F3253" s="7" t="n">
        <v>4</v>
      </c>
      <c r="G3253" s="7" t="inlineStr">
        <is>
          <t>I also cut back on the spice packets in fear that it would be too salty.  I used about 1/2 the amount of each and got great flavor.  I added carrots and potatoes for the last few hours. It made for a delicious gravy.</t>
        </is>
      </c>
    </row>
    <row r="3254">
      <c r="A3254" s="7" t="n">
        <v>110001</v>
      </c>
      <c r="B3254" s="7" t="n">
        <v>495275</v>
      </c>
      <c r="C3254" s="7" t="n">
        <v>2907281</v>
      </c>
      <c r="D3254" s="7" t="n">
        <v>230880</v>
      </c>
      <c r="E3254" s="8" t="n">
        <v>43241</v>
      </c>
      <c r="F3254" s="7" t="n">
        <v>5</v>
      </c>
      <c r="G3254" s="7" t="inlineStr">
        <is>
          <t>I was so pleased to see all the favorable reviews. This was actually my recipe that was featured in Bon Appetit when I was the pastry chef at Jamie’s French Restaurant in Pensacola, FL (which sadly doesn’t exist anymore). This is still my most requested dessert recipe and I have made different versions. I actually make it using 2 layers each of ice cream and lemon curd. It makes a nicer presentation. These days I don’t put meringue on top since it freezes better without it. I orinally made this recipe for my husband who was allergic to wheat. I’m sure there are many versions of this recipe out there. It’s a great combination of tastes and textures.</t>
        </is>
      </c>
    </row>
    <row r="3255">
      <c r="A3255" s="7" t="n">
        <v>87742</v>
      </c>
      <c r="B3255" s="7" t="n">
        <v>333016</v>
      </c>
      <c r="C3255" s="7" t="n">
        <v>209983</v>
      </c>
      <c r="D3255" s="7" t="n">
        <v>135210</v>
      </c>
      <c r="E3255" s="8" t="n">
        <v>38879</v>
      </c>
      <c r="F3255" s="7" t="n">
        <v>5</v>
      </c>
      <c r="G3255" s="7" t="inlineStr">
        <is>
          <t>Color me in heaven these are fabulous!!!  My daughter and I sat and enjoyed these for lunch today thanks for posting!!!</t>
        </is>
      </c>
    </row>
    <row r="3256">
      <c r="A3256" s="7" t="n">
        <v>10416</v>
      </c>
      <c r="B3256" s="7" t="n">
        <v>228973</v>
      </c>
      <c r="C3256" s="7" t="n">
        <v>704950</v>
      </c>
      <c r="D3256" s="7" t="n">
        <v>43762</v>
      </c>
      <c r="E3256" s="8" t="n">
        <v>39568</v>
      </c>
      <c r="F3256" s="7" t="n">
        <v>4</v>
      </c>
      <c r="G3256" s="7" t="inlineStr">
        <is>
          <t>This sauce for the brussels sprouts has a sweet edge which I've never tasted with brussels sprouts before.  It is creamy, tasty and I like how pretty it looks too.  I used fresh brussels sprouts so I roasted them at 425 degrees F for 20 minutes with a little salt and olive oil while I made the sauce.  I used a couple of green onions since it only called for a TBSP and I used whole wheat flour so it was nice and thick.  Thanks for a different twist on brussels sprouts!</t>
        </is>
      </c>
    </row>
    <row r="3257">
      <c r="A3257" s="7" t="n">
        <v>57696</v>
      </c>
      <c r="B3257" s="7" t="n">
        <v>483180</v>
      </c>
      <c r="C3257" s="7" t="n">
        <v>228458</v>
      </c>
      <c r="D3257" s="7" t="n">
        <v>97070</v>
      </c>
      <c r="E3257" s="8" t="n">
        <v>39155</v>
      </c>
      <c r="F3257" s="7" t="n">
        <v>4</v>
      </c>
      <c r="G3257" s="7" t="inlineStr">
        <is>
          <t>This has been a favorite for us for a while now; who knew replacing those awful salty box mixes would be so easy? I highly recommend doubling the recipe if you are serving your family; my DH and I alone can go through the amount this recipe makes. Also, I typically add a little bit of cumin, garlic powder, and chili powder to add a tiny bit more kick.</t>
        </is>
      </c>
    </row>
    <row r="3258">
      <c r="A3258" s="7" t="n">
        <v>64963</v>
      </c>
      <c r="B3258" s="7" t="n">
        <v>782049</v>
      </c>
      <c r="C3258" s="7" t="n">
        <v>80353</v>
      </c>
      <c r="D3258" s="7" t="n">
        <v>49394</v>
      </c>
      <c r="E3258" s="8" t="n">
        <v>37899</v>
      </c>
      <c r="F3258" s="7" t="n">
        <v>5</v>
      </c>
      <c r="G3258" s="7" t="inlineStr">
        <is>
          <t>WOW!  Dimitri (the kid who won't eat 'green'), gobbled up TWO potatoes.  These were rich and cheesy and simply divine.  Next time, I'm going to take Theresa's suggestion and make them with broccoli.</t>
        </is>
      </c>
    </row>
    <row r="3259">
      <c r="A3259" s="7" t="n">
        <v>78153</v>
      </c>
      <c r="B3259" s="7" t="n">
        <v>1051931</v>
      </c>
      <c r="C3259" s="7" t="n">
        <v>2008910</v>
      </c>
      <c r="D3259" s="7" t="n">
        <v>247150</v>
      </c>
      <c r="E3259" s="8" t="n">
        <v>41212</v>
      </c>
      <c r="F3259" s="7" t="n">
        <v>5</v>
      </c>
      <c r="G3259" s="7" t="inlineStr">
        <is>
          <t>This was absolutly delicious. I flash froze mine. Then heated them up about 2 days later for a weekday meal. The ingredients only cost about $4.00 and great to keep in the freezer. My husband and I are going to add refried beans and make burritos with this recipe as well.</t>
        </is>
      </c>
    </row>
    <row r="3260">
      <c r="A3260" s="7" t="n">
        <v>74925</v>
      </c>
      <c r="B3260" s="7" t="n">
        <v>456709</v>
      </c>
      <c r="C3260" s="7" t="n">
        <v>68460</v>
      </c>
      <c r="D3260" s="7" t="n">
        <v>88025</v>
      </c>
      <c r="E3260" s="8" t="n">
        <v>38098</v>
      </c>
      <c r="F3260" s="7" t="n">
        <v>5</v>
      </c>
      <c r="G3260" s="7" t="inlineStr">
        <is>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is>
      </c>
    </row>
    <row r="3261">
      <c r="A3261" s="7" t="n">
        <v>46985</v>
      </c>
      <c r="B3261" s="7" t="n">
        <v>805304</v>
      </c>
      <c r="C3261" s="7" t="n">
        <v>53586</v>
      </c>
      <c r="D3261" s="7" t="n">
        <v>7665</v>
      </c>
      <c r="E3261" s="8" t="n">
        <v>37889</v>
      </c>
      <c r="F3261" s="7" t="n">
        <v>4</v>
      </c>
      <c r="G3261" s="7" t="inlineStr">
        <is>
          <t>A nice, easy way to prepare carrots.  Especially if you're in a pinch and need a quick side dish.</t>
        </is>
      </c>
    </row>
    <row r="3262">
      <c r="A3262" s="7" t="n">
        <v>97599</v>
      </c>
      <c r="B3262" s="7" t="n">
        <v>946975</v>
      </c>
      <c r="C3262" s="7" t="n">
        <v>1378968</v>
      </c>
      <c r="D3262" s="7" t="n">
        <v>304165</v>
      </c>
      <c r="E3262" s="8" t="n">
        <v>40288</v>
      </c>
      <c r="F3262" s="7" t="n">
        <v>0</v>
      </c>
      <c r="G3262" s="7" t="inlineStr">
        <is>
          <t>There's quite a bit of info available on the internet about the possible dangers of this cooking method since plastic leaches chemicals at high heat levels, and these bags were not made for boiling. Even the manufacturer cautions against it. Just do a google search for "bag omelet leach." I am no expert myself, but I hope the readers will do a little research and make an informed decision for themselves.</t>
        </is>
      </c>
    </row>
    <row r="3263">
      <c r="A3263" s="7" t="n">
        <v>82188</v>
      </c>
      <c r="B3263" s="7" t="n">
        <v>519698</v>
      </c>
      <c r="C3263" s="7" t="n">
        <v>2000236750</v>
      </c>
      <c r="D3263" s="7" t="n">
        <v>411129</v>
      </c>
      <c r="E3263" s="8" t="n">
        <v>42206</v>
      </c>
      <c r="F3263" s="7" t="n">
        <v>5</v>
      </c>
      <c r="G3263" s="7" t="inlineStr">
        <is>
          <t>I was a little skeptical because there were only 2 reviews and I live by reviews. lol But I tried the recipe as stated. My family loved this! I will definitely make these again and increase the amounts for leftovers! =) Thanks for sharing!</t>
        </is>
      </c>
    </row>
    <row r="3264">
      <c r="A3264" s="7" t="n">
        <v>4021</v>
      </c>
      <c r="B3264" s="7" t="n">
        <v>956475</v>
      </c>
      <c r="C3264" s="7" t="n">
        <v>1365959</v>
      </c>
      <c r="D3264" s="7" t="n">
        <v>162873</v>
      </c>
      <c r="E3264" s="8" t="n">
        <v>40190</v>
      </c>
      <c r="F3264" s="7" t="n">
        <v>5</v>
      </c>
      <c r="G3264" s="7" t="inlineStr">
        <is>
          <t>Loved this recipe! So quick and easy! I ate the entire can!!</t>
        </is>
      </c>
    </row>
    <row r="3265">
      <c r="A3265" s="7" t="n">
        <v>60335</v>
      </c>
      <c r="B3265" s="7" t="n">
        <v>175615</v>
      </c>
      <c r="C3265" s="7" t="n">
        <v>297076</v>
      </c>
      <c r="D3265" s="7" t="n">
        <v>85719</v>
      </c>
      <c r="E3265" s="8" t="n">
        <v>38885</v>
      </c>
      <c r="F3265" s="7" t="n">
        <v>5</v>
      </c>
      <c r="G3265" s="7" t="inlineStr">
        <is>
          <t>I cannot believe I'm the first person to post a review of these. These were INCREDIBLE. They were a bit of work, but our guests just raved over them. Thank you for sharing this yummy recipe!</t>
        </is>
      </c>
    </row>
    <row r="3266">
      <c r="A3266" s="7" t="n">
        <v>86749</v>
      </c>
      <c r="B3266" s="7" t="n">
        <v>674279</v>
      </c>
      <c r="C3266" s="7" t="n">
        <v>67656</v>
      </c>
      <c r="D3266" s="7" t="n">
        <v>129588</v>
      </c>
      <c r="E3266" s="8" t="n">
        <v>38802</v>
      </c>
      <c r="F3266" s="7" t="n">
        <v>5</v>
      </c>
      <c r="G3266" s="7" t="inlineStr">
        <is>
          <t xml:space="preserve">As promised, this was really easy and really good. I'm sometimes shy of recipes that prominently use honey in savory dishes given the strong sweetness it offers. But in this one it was well balanced off by the tartness of the lime and the savory herbs. My chicken marinated overnight which I think help keep it tender and moist through the grilling. Just wonderful. Thank Kitz. </t>
        </is>
      </c>
    </row>
    <row r="3267">
      <c r="A3267" s="7" t="n">
        <v>27680</v>
      </c>
      <c r="B3267" s="7" t="n">
        <v>671656</v>
      </c>
      <c r="C3267" s="7" t="n">
        <v>172500</v>
      </c>
      <c r="D3267" s="7" t="n">
        <v>101750</v>
      </c>
      <c r="E3267" s="8" t="n">
        <v>38302</v>
      </c>
      <c r="F3267" s="7" t="n">
        <v>4</v>
      </c>
      <c r="G3267" s="7" t="inlineStr">
        <is>
          <t>Great Flavor!</t>
        </is>
      </c>
    </row>
    <row r="3268">
      <c r="A3268" s="7" t="n">
        <v>51148</v>
      </c>
      <c r="B3268" s="7" t="n">
        <v>1051496</v>
      </c>
      <c r="C3268" s="7" t="n">
        <v>1056692</v>
      </c>
      <c r="D3268" s="7" t="n">
        <v>227182</v>
      </c>
      <c r="E3268" s="8" t="n">
        <v>41707</v>
      </c>
      <c r="F3268" s="7" t="n">
        <v>4</v>
      </c>
      <c r="G3268" s="7" t="inlineStr">
        <is>
          <t>Yum! I didn&amp;#039;t have shallot, so I used fine diced onion and garlic. I did use snap peas instead of snow peas. This was done to my tastes at 10 minutes. Wonderful served with stuffed peppers. Thanks for sharing.</t>
        </is>
      </c>
    </row>
    <row r="3269">
      <c r="A3269" s="7" t="n">
        <v>36859</v>
      </c>
      <c r="B3269" s="7" t="n">
        <v>255462</v>
      </c>
      <c r="C3269" s="7" t="n">
        <v>186855</v>
      </c>
      <c r="D3269" s="7" t="n">
        <v>463773</v>
      </c>
      <c r="E3269" s="8" t="n">
        <v>40822</v>
      </c>
      <c r="F3269" s="7" t="n">
        <v>5</v>
      </c>
      <c r="G3269" s="7" t="inlineStr">
        <is>
          <t>So good, and so easy.  Loved the flavour with the onions and shallots.  Will try this using chicken broth next time for a different take.  Thanks Nancy for a delicious side dish.  Made for Fall PAC 2011.</t>
        </is>
      </c>
    </row>
    <row r="3270">
      <c r="A3270" s="7" t="n">
        <v>107877</v>
      </c>
      <c r="B3270" s="7" t="n">
        <v>473315</v>
      </c>
      <c r="C3270" s="7" t="n">
        <v>2575764</v>
      </c>
      <c r="D3270" s="7" t="n">
        <v>223576</v>
      </c>
      <c r="E3270" s="8" t="n">
        <v>41263</v>
      </c>
      <c r="F3270" s="7" t="n">
        <v>5</v>
      </c>
      <c r="G3270" s="7" t="inlineStr">
        <is>
          <t>This was a SUPER recipe!!!  Great for quick gift giving.  I followed added 1/2 tsp of vanilla and used plain old fashioned kernel popcorn, but popped in microwave.  So, there was no salt or butter or other additives in it.  I did add some salt to the popcorn once I dropped it in the grocery sized brown bag.  I sampled some myself (couldn't give it as a gift if I wasn't sure it was good, LOL!).  I hope my mail carrier and trash &amp; recycle guys like it!!! Kids are begging me to make some more.  I absolutely will, it is soooo easy to do and takes really no time at all.  Thanks for the great recipe!</t>
        </is>
      </c>
    </row>
    <row r="3271" ht="409.5" customHeight="1">
      <c r="A3271" s="7" t="n">
        <v>8606</v>
      </c>
      <c r="B3271" s="7" t="n">
        <v>677817</v>
      </c>
      <c r="C3271" s="7" t="n">
        <v>21487</v>
      </c>
      <c r="D3271" s="7" t="n">
        <v>16879</v>
      </c>
      <c r="E3271" s="8" t="n">
        <v>37895</v>
      </c>
      <c r="F3271" s="7" t="n">
        <v>5</v>
      </c>
      <c r="G3271" s="9" t="inlineStr">
        <is>
          <t>I had a ton of brocolli left over from a get together and so this fit the bill in using some of it up. _x000D_
I did omit the puree` step as well as the wine (I was out) and I minced the onions versus chopping...makes it sound like I changed a lot but I didn't. This was so simple and you are right...very tasty. Thanks!</t>
        </is>
      </c>
    </row>
    <row r="3272">
      <c r="A3272" s="7" t="n">
        <v>112580</v>
      </c>
      <c r="B3272" s="7" t="n">
        <v>721931</v>
      </c>
      <c r="C3272" s="7" t="n">
        <v>546010</v>
      </c>
      <c r="D3272" s="7" t="n">
        <v>94532</v>
      </c>
      <c r="E3272" s="8" t="n">
        <v>41280</v>
      </c>
      <c r="F3272" s="7" t="n">
        <v>4</v>
      </c>
      <c r="G3272" s="7" t="inlineStr">
        <is>
          <t>I make blueberry muffins all the time for my kids. I decided to treat them again this morning. I cannot wait for them to wake up already! :D I successfully halved the recipe and got 8 regular size muffins, baked for 17 minutes. I warmed the milk and butter in the microwave for 30 seconds , long enough to let the butter soften (not boil). I used lemon zest and canned blueberries that I had on hand. I sprinkled Sugar in the Raw on top the muffins before baking but it sunk into the batter while baking. I wish they would have browned up more on the tops, though.  The flavor is perfect and found them to be perfectly sweet, just right. I think anyone who disliked these or found the texture off, IMO  it was "pilot error".  You cannot add extra ingredients (bananas, etc) and expect an ideal end result.</t>
        </is>
      </c>
    </row>
    <row r="3273">
      <c r="A3273" s="7" t="n">
        <v>100191</v>
      </c>
      <c r="B3273" s="7" t="n">
        <v>678256</v>
      </c>
      <c r="C3273" s="7" t="n">
        <v>286566</v>
      </c>
      <c r="D3273" s="7" t="n">
        <v>513448</v>
      </c>
      <c r="E3273" s="8" t="n">
        <v>41700</v>
      </c>
      <c r="F3273" s="7" t="n">
        <v>5</v>
      </c>
      <c r="G3273" s="7" t="inlineStr">
        <is>
          <t>I made these for the DM as a birthday treat dessert.  I only ended up making 9 as that was as many as I could fit on my tray and I was running short of time.  The only change I made which takes away the skinny girl aspect was to use melted butter (brushing it on) instead of spray oil as my oil was not spraying as a fine mist but in clumps otherwise made as per recipe and they were beautifully crisp and oh so good, thank you ForeverMama, made for Photo Tag tag game.</t>
        </is>
      </c>
    </row>
    <row r="3274">
      <c r="A3274" s="7" t="n">
        <v>51977</v>
      </c>
      <c r="B3274" s="7" t="n">
        <v>587756</v>
      </c>
      <c r="C3274" s="7" t="n">
        <v>345142</v>
      </c>
      <c r="D3274" s="7" t="n">
        <v>73062</v>
      </c>
      <c r="E3274" s="8" t="n">
        <v>39171</v>
      </c>
      <c r="F3274" s="7" t="n">
        <v>5</v>
      </c>
      <c r="G3274" s="7" t="inlineStr">
        <is>
          <t>Loved it!! So easy to make and the result is just fabulous. Thanks for posting.</t>
        </is>
      </c>
    </row>
    <row r="3275">
      <c r="A3275" s="7" t="n">
        <v>115046</v>
      </c>
      <c r="B3275" s="7" t="n">
        <v>952501</v>
      </c>
      <c r="C3275" s="7" t="n">
        <v>779699</v>
      </c>
      <c r="D3275" s="7" t="n">
        <v>151928</v>
      </c>
      <c r="E3275" s="8" t="n">
        <v>40309</v>
      </c>
      <c r="F3275" s="7" t="n">
        <v>5</v>
      </c>
      <c r="G3275" s="7" t="inlineStr">
        <is>
          <t>Oh my goodness! This is AMAZING!!! Quite a treat! I only made half the recipe and I wish I had made more (and it was just for me!!!) I used light mayo, fresh torn basil and added a bit of rosemary and more basil on top! Thanks for this great sandwich that I will eat again and again! Thanks for posting! [Made for the LIVESTRONG Cook-a-thon for Pets'R'Us!!!]</t>
        </is>
      </c>
    </row>
    <row r="3276">
      <c r="A3276" t="n">
        <v>17352</v>
      </c>
      <c r="B3276" t="n">
        <v>26668</v>
      </c>
      <c r="C3276" t="n">
        <v>92913</v>
      </c>
      <c r="D3276" t="n">
        <v>86868</v>
      </c>
      <c r="E3276" s="1" t="n">
        <v>38428</v>
      </c>
      <c r="F3276" t="n">
        <v>5</v>
      </c>
      <c r="G3276" t="inlineStr">
        <is>
          <t>Made this for my meat eating family for St. Patrick's Day. They loved it. The meat turned out very tender! Thanks for the recipe!</t>
        </is>
      </c>
    </row>
    <row r="3277">
      <c r="A3277" s="7" t="n">
        <v>114468</v>
      </c>
      <c r="B3277" s="7" t="n">
        <v>946972</v>
      </c>
      <c r="C3277" s="7" t="n">
        <v>844554</v>
      </c>
      <c r="D3277" s="7" t="n">
        <v>304165</v>
      </c>
      <c r="E3277" s="8" t="n">
        <v>40153</v>
      </c>
      <c r="F3277" s="7" t="n">
        <v>5</v>
      </c>
      <c r="G3277" s="7" t="inlineStr">
        <is>
          <t>I loved this one!!!! So easy and no clean-up. I used turkey bacon and added some diced red pepper. I cooked mine 15-20 minutes. I wanted to make sure it was done and it was. Am making this again and again and again!!</t>
        </is>
      </c>
    </row>
    <row r="3278">
      <c r="A3278" s="7" t="n">
        <v>61243</v>
      </c>
      <c r="B3278" s="7" t="n">
        <v>649434</v>
      </c>
      <c r="C3278" s="7" t="n">
        <v>1031288</v>
      </c>
      <c r="D3278" s="7" t="n">
        <v>240359</v>
      </c>
      <c r="E3278" s="8" t="n">
        <v>40171</v>
      </c>
      <c r="F3278" s="7" t="n">
        <v>5</v>
      </c>
      <c r="G3278" s="7" t="inlineStr">
        <is>
          <t>I prepared this a while back and it was so good that I'm serving it again this year for Christmas Eve. I found some frozen crab claws at the market recently so I'm going to add them this time. Thank you!</t>
        </is>
      </c>
    </row>
    <row r="3279">
      <c r="A3279" s="7" t="n">
        <v>83264</v>
      </c>
      <c r="B3279" s="7" t="n">
        <v>187043</v>
      </c>
      <c r="C3279" s="7" t="n">
        <v>118268</v>
      </c>
      <c r="D3279" s="7" t="n">
        <v>89705</v>
      </c>
      <c r="E3279" s="8" t="n">
        <v>39729</v>
      </c>
      <c r="F3279" s="7" t="n">
        <v>5</v>
      </c>
      <c r="G3279" s="7" t="inlineStr">
        <is>
          <t>I am not a huge meatloaf fan, but I really loved this one.  I forget to put some of the sauce in the filling and it still turned out great.  I can see this being very versatile!  Thanks for sharing!</t>
        </is>
      </c>
    </row>
    <row r="3280" ht="409.5" customHeight="1">
      <c r="A3280" s="7" t="n">
        <v>64296</v>
      </c>
      <c r="B3280" s="7" t="n">
        <v>266173</v>
      </c>
      <c r="C3280" s="7" t="n">
        <v>2000168650</v>
      </c>
      <c r="D3280" s="7" t="n">
        <v>107786</v>
      </c>
      <c r="E3280" s="8" t="n">
        <v>42120</v>
      </c>
      <c r="F3280" s="7" t="n">
        <v>0</v>
      </c>
      <c r="G3280" s="9" t="inlineStr">
        <is>
          <t>My wife picked up a package of St Louis.  Last night searched for a new BQQ recipe.  I have tried many and I got to tell you.  These were by far the easiest and if these were not the best I&amp;#039;ve ever cooked, they are a close 2nd.  The ease of this is so simple.  I&amp;#039;ve spent 5-6 hours cooking at low temps on a gas grill and although with some success and many passing.  I will always use this from now on.  Thank you for sharing!!
Jim</t>
        </is>
      </c>
    </row>
    <row r="3281">
      <c r="A3281" s="7" t="n">
        <v>54259</v>
      </c>
      <c r="B3281" s="7" t="n">
        <v>821263</v>
      </c>
      <c r="C3281" s="7" t="n">
        <v>369715</v>
      </c>
      <c r="D3281" s="7" t="n">
        <v>460690</v>
      </c>
      <c r="E3281" s="8" t="n">
        <v>41462</v>
      </c>
      <c r="F3281" s="7" t="n">
        <v>4</v>
      </c>
      <c r="G3281" s="7" t="inlineStr">
        <is>
          <t>I used two pounds of meat and 2 teaspoons of Worcestershire sauce and all of the seasoning mix. Everyone liked these but my hubby. He thought it had too much seasoning but I thought that was what made them good. I got 8 burgers out of 2 pounds of meat. I cooked them on the grill.</t>
        </is>
      </c>
    </row>
    <row r="3282">
      <c r="A3282" s="7" t="n">
        <v>45090</v>
      </c>
      <c r="B3282" s="7" t="n">
        <v>95259</v>
      </c>
      <c r="C3282" s="7" t="n">
        <v>12882</v>
      </c>
      <c r="D3282" s="7" t="n">
        <v>17751</v>
      </c>
      <c r="E3282" s="8" t="n">
        <v>37577</v>
      </c>
      <c r="F3282" s="7" t="n">
        <v>2</v>
      </c>
      <c r="G3282" s="7" t="inlineStr">
        <is>
          <t>I hate writing bad reviews, but this recipe was a disaster.  I followed it to a "T" and the dough came out way too sticky.  I tried to roll the dough into ropes, but it was impossible and adding more flour just made it tough.  I admire those of you who made this recipe successfully -- I don't know what your secret is.  I am going to the store for a box of Super Pretzels now.  Sorry, Manda :(.  I wish I could give this recipe a better review but I have to be fair.</t>
        </is>
      </c>
    </row>
    <row r="3283">
      <c r="A3283" s="7" t="n">
        <v>2366</v>
      </c>
      <c r="B3283" s="7" t="n">
        <v>818703</v>
      </c>
      <c r="C3283" s="7" t="n">
        <v>13593</v>
      </c>
      <c r="D3283" s="7" t="n">
        <v>57009</v>
      </c>
      <c r="E3283" s="8" t="n">
        <v>38664</v>
      </c>
      <c r="F3283" s="7" t="n">
        <v>5</v>
      </c>
      <c r="G3283" s="7" t="inlineStr">
        <is>
          <t xml:space="preserve">I made this quite a while ago.  I forgot to review the recipe.  Very delicous.  I used mild salsa verde for the "jar" ingredient.  Very delicious soup.  Thanks for sharing </t>
        </is>
      </c>
    </row>
    <row r="3284">
      <c r="A3284" s="7" t="n">
        <v>61268</v>
      </c>
      <c r="B3284" s="7" t="n">
        <v>604821</v>
      </c>
      <c r="C3284" s="7" t="n">
        <v>67728</v>
      </c>
      <c r="D3284" s="7" t="n">
        <v>12207</v>
      </c>
      <c r="E3284" s="8" t="n">
        <v>39294</v>
      </c>
      <c r="F3284" s="7" t="n">
        <v>5</v>
      </c>
      <c r="G3284" s="7" t="inlineStr">
        <is>
          <t>I simmered these for way longer than the recipe called for (I was trying to thicken the sauce a bit more), so they fell apart, but I think that was a good thing! I tend to steer clear of rib recipes, but this one piqued my interest, and I'm glad I finally got around to making them. They made the house smell divine while they were cooking! Even though they weren't cohesive enough to serve as ribs after I simmered them to death, I removed the bones and remaining fat chunks and shredded the meat in the sauce. Dad made some "pulled pork" sandwiches with it, and I used it as burrito filling, too. Great recipe, thanks for posting!</t>
        </is>
      </c>
    </row>
    <row r="3285">
      <c r="A3285" s="7" t="n">
        <v>22577</v>
      </c>
      <c r="B3285" s="7" t="n">
        <v>472678</v>
      </c>
      <c r="C3285" s="7" t="n">
        <v>1071507</v>
      </c>
      <c r="D3285" s="7" t="n">
        <v>108364</v>
      </c>
      <c r="E3285" s="8" t="n">
        <v>40100</v>
      </c>
      <c r="F3285" s="7" t="n">
        <v>5</v>
      </c>
      <c r="G3285" s="7" t="inlineStr">
        <is>
          <t>I have tried so many recipes to make the best fried chicken, well I have found it with this one.!  My husband came back and told me not to toss this in the wastebasket as he has told me so many times before!! Easy and just perfect!!  Was bit skeptical with the hot sauce but it was yummy so pretty too!!  Would not change anything in the recipe except to make sure I have more chicken to cook up the next time.</t>
        </is>
      </c>
    </row>
    <row r="3286">
      <c r="A3286" s="7" t="n">
        <v>64278</v>
      </c>
      <c r="B3286" s="7" t="n">
        <v>1094975</v>
      </c>
      <c r="C3286" s="7" t="n">
        <v>442490</v>
      </c>
      <c r="D3286" s="7" t="n">
        <v>53404</v>
      </c>
      <c r="E3286" s="8" t="n">
        <v>40100</v>
      </c>
      <c r="F3286" s="7" t="n">
        <v>5</v>
      </c>
      <c r="G3286" s="7" t="inlineStr">
        <is>
          <t>Absolutely DELICIOUS! 5 stars is not enough. On these blustery days in Western Washington this really hits the spot. I made this for my family because I wasn't going to be home to fix dinner and when left to his own devices DH would be feeding the children canned olives. When I got home that evening my husband and even my kids raved about it. What a wonderful, healthy and simple recipe. I am making it again tonight. Thank Nat for such a kick a$$ recipe.</t>
        </is>
      </c>
    </row>
    <row r="3287">
      <c r="A3287" t="n">
        <v>14133</v>
      </c>
      <c r="B3287" t="n">
        <v>51149</v>
      </c>
      <c r="C3287" t="n">
        <v>1185154</v>
      </c>
      <c r="D3287" t="n">
        <v>383797</v>
      </c>
      <c r="E3287" s="1" t="n">
        <v>40655</v>
      </c>
      <c r="F3287" t="n">
        <v>5</v>
      </c>
      <c r="G3287" t="inlineStr">
        <is>
          <t>We really enjoy this dish! It's so delicious and healthy too. I just sit over the pot and inhale the aroma as it cooks because it smells so very good.</t>
        </is>
      </c>
    </row>
    <row r="3288">
      <c r="A3288" s="7" t="n">
        <v>8514</v>
      </c>
      <c r="B3288" s="7" t="n">
        <v>1046720</v>
      </c>
      <c r="C3288" s="7" t="n">
        <v>1803050757</v>
      </c>
      <c r="D3288" s="7" t="n">
        <v>152237</v>
      </c>
      <c r="E3288" s="8" t="n">
        <v>41871</v>
      </c>
      <c r="F3288" s="7" t="n">
        <v>5</v>
      </c>
      <c r="G3288" s="7" t="inlineStr">
        <is>
          <t>My family loved this recipe! I will let the rolls become light brown, because the first batch was medium and a little too hard. I also used a breadbasket, but next time once my dough forms, I will section off the dough in half so it will alieve the pressure off of my machine. Will definitely make again; especially for the holidays!</t>
        </is>
      </c>
    </row>
    <row r="3289">
      <c r="A3289" s="7" t="n">
        <v>62163</v>
      </c>
      <c r="B3289" s="7" t="n">
        <v>270503</v>
      </c>
      <c r="C3289" s="7" t="n">
        <v>2179185</v>
      </c>
      <c r="D3289" s="7" t="n">
        <v>367019</v>
      </c>
      <c r="E3289" s="8" t="n">
        <v>40949</v>
      </c>
      <c r="F3289" s="7" t="n">
        <v>4</v>
      </c>
      <c r="G3289" s="7" t="inlineStr">
        <is>
          <t>I added 2tsp of baking powder and these were delicious. Even made them with gluten free flour and added a cup of frozen blackberries</t>
        </is>
      </c>
    </row>
    <row r="3290">
      <c r="A3290" s="7" t="n">
        <v>79737</v>
      </c>
      <c r="B3290" s="7" t="n">
        <v>493341</v>
      </c>
      <c r="C3290" s="7" t="n">
        <v>166103</v>
      </c>
      <c r="D3290" s="7" t="n">
        <v>71373</v>
      </c>
      <c r="E3290" s="8" t="n">
        <v>38353</v>
      </c>
      <c r="F3290" s="7" t="n">
        <v>5</v>
      </c>
      <c r="G3290" s="7" t="inlineStr">
        <is>
          <t>Very good rolls!  Hubby gives 5 stars.  Some rolls just have to be reheated to enjoy them.  Not these!  I really like that they still taste good without warming them up again.  I will use this recipe again and again!</t>
        </is>
      </c>
    </row>
    <row r="3291">
      <c r="A3291" s="7" t="n">
        <v>94332</v>
      </c>
      <c r="B3291" s="7" t="n">
        <v>547257</v>
      </c>
      <c r="C3291" s="7" t="n">
        <v>2001080546</v>
      </c>
      <c r="D3291" s="7" t="n">
        <v>37639</v>
      </c>
      <c r="E3291" s="8" t="n">
        <v>42753</v>
      </c>
      <c r="F3291" s="7" t="n">
        <v>0</v>
      </c>
      <c r="G3291" s="7" t="inlineStr">
        <is>
          <t>My oven didn't go to 3500&amp;deg;f.</t>
        </is>
      </c>
    </row>
    <row r="3292">
      <c r="A3292" s="7" t="n">
        <v>10214</v>
      </c>
      <c r="B3292" s="7" t="n">
        <v>978454</v>
      </c>
      <c r="C3292" s="7" t="n">
        <v>483753</v>
      </c>
      <c r="D3292" s="7" t="n">
        <v>104975</v>
      </c>
      <c r="E3292" s="8" t="n">
        <v>39436</v>
      </c>
      <c r="F3292" s="7" t="n">
        <v>5</v>
      </c>
      <c r="G3292" s="7" t="inlineStr">
        <is>
          <t>This was super easy &amp; made great gifts because the choc hardens back up to create pieces of chocolate candy. It looks very festive &amp; impressive presented in a cello bag or glass jar with ribbon. Combinations are endless with dark, milk &amp; white kisses, but avoid kisses with creme or nuts inside. I topped various batches with either candy-coated-mini-kisses, almonds, macadamia nuts, pistachio nuts, and dark/white choc chips. This one is a go-to gift recipe!</t>
        </is>
      </c>
    </row>
    <row r="3293">
      <c r="A3293" t="n">
        <v>66021</v>
      </c>
      <c r="B3293" t="n">
        <v>771083</v>
      </c>
      <c r="C3293" t="n">
        <v>853603</v>
      </c>
      <c r="D3293" t="n">
        <v>222914</v>
      </c>
      <c r="E3293" s="1" t="n">
        <v>39970</v>
      </c>
      <c r="F3293" t="n">
        <v>5</v>
      </c>
      <c r="G3293" t="inlineStr">
        <is>
          <t>I have made this many times now and I love it!  I usually double or even triple the recipe - although I have always found 1 cup of sugar sufficient.  I often use frozen fruit, and if I find myself low on plain flour, I use self-raising and omit the baking powder - it always turns out great.  I love how quick it is to make - when unexpected guests arrive it's easy to whip up!  Thanks for sharing :)</t>
        </is>
      </c>
    </row>
    <row r="3294">
      <c r="A3294" s="7" t="n">
        <v>101442</v>
      </c>
      <c r="B3294" s="7" t="n">
        <v>1001269</v>
      </c>
      <c r="C3294" s="7" t="n">
        <v>222037</v>
      </c>
      <c r="D3294" s="7" t="n">
        <v>19410</v>
      </c>
      <c r="E3294" s="8" t="n">
        <v>38655</v>
      </c>
      <c r="F3294" s="7" t="n">
        <v>1</v>
      </c>
      <c r="G3294" s="7" t="inlineStr">
        <is>
          <t xml:space="preserve">Wow I don't know what I did wrong. The mango turned out mushy and tasteless. It was just bland; the chicken (I used thighs) didn't absorb any of the flavor. </t>
        </is>
      </c>
    </row>
    <row r="3295">
      <c r="A3295" s="7" t="n">
        <v>20979</v>
      </c>
      <c r="B3295" s="7" t="n">
        <v>451924</v>
      </c>
      <c r="C3295" s="7" t="n">
        <v>360437</v>
      </c>
      <c r="D3295" s="7" t="n">
        <v>243370</v>
      </c>
      <c r="E3295" s="8" t="n">
        <v>39318</v>
      </c>
      <c r="F3295" s="7" t="n">
        <v>4</v>
      </c>
      <c r="G3295" s="7" t="inlineStr">
        <is>
          <t>I liked this a lot! Nice savory and spicy flavor. I used green olives and would recommend them (if you like them of course). I used light mayo and sour cream, and they worked quite well. Quick and easy too. I served it on whole wheat bread. I would recommend chilling it for at least an hour to blend the flavors. Thanks!</t>
        </is>
      </c>
    </row>
    <row r="3296">
      <c r="A3296" s="7" t="n">
        <v>125516</v>
      </c>
      <c r="B3296" s="7" t="n">
        <v>253322</v>
      </c>
      <c r="C3296" s="7" t="n">
        <v>877338</v>
      </c>
      <c r="D3296" s="7" t="n">
        <v>102617</v>
      </c>
      <c r="E3296" s="8" t="n">
        <v>39952</v>
      </c>
      <c r="F3296" s="7" t="n">
        <v>0</v>
      </c>
      <c r="G3296" s="7" t="inlineStr">
        <is>
          <t>I don't always have fresh buttermilk on hand, so I keep a can of buttermilk powdered mix in my pantry.  Works great!</t>
        </is>
      </c>
    </row>
    <row r="3297">
      <c r="A3297" s="7" t="n">
        <v>4186</v>
      </c>
      <c r="B3297" s="7" t="n">
        <v>554720</v>
      </c>
      <c r="C3297" s="7" t="n">
        <v>225096</v>
      </c>
      <c r="D3297" s="7" t="n">
        <v>48907</v>
      </c>
      <c r="E3297" s="8" t="n">
        <v>38704</v>
      </c>
      <c r="F3297" s="7" t="n">
        <v>5</v>
      </c>
      <c r="G3297" s="7" t="inlineStr">
        <is>
          <t>I had never had Brie before and this sounded really good. I had never used puff pastry before either and this was SOOOO easy.  I used seedless raspberry preserves and walnuts and couldn't believe how elegant it turned out.  I brushed it with a mixture of 1 egg yolk and 3 T heavy cream whisked together and it got a glossy golden crust.  Fast easy and impressive.  Thank you!</t>
        </is>
      </c>
    </row>
    <row r="3298">
      <c r="A3298" s="7" t="n">
        <v>88286</v>
      </c>
      <c r="B3298" s="7" t="n">
        <v>204924</v>
      </c>
      <c r="C3298" s="7" t="n">
        <v>57162</v>
      </c>
      <c r="D3298" s="7" t="n">
        <v>78938</v>
      </c>
      <c r="E3298" s="8" t="n">
        <v>38992</v>
      </c>
      <c r="F3298" s="7" t="n">
        <v>5</v>
      </c>
      <c r="G3298" s="7" t="inlineStr">
        <is>
          <t>So simple and so good.  My kids will eat green beans now!!</t>
        </is>
      </c>
    </row>
    <row r="3299">
      <c r="A3299" s="7" t="n">
        <v>50886</v>
      </c>
      <c r="B3299" s="7" t="n">
        <v>70585</v>
      </c>
      <c r="C3299" s="7" t="n">
        <v>328235</v>
      </c>
      <c r="D3299" s="7" t="n">
        <v>17566</v>
      </c>
      <c r="E3299" s="8" t="n">
        <v>39124</v>
      </c>
      <c r="F3299" s="7" t="n">
        <v>5</v>
      </c>
      <c r="G3299" s="7" t="inlineStr">
        <is>
          <t>Would give this 10 stars if I could. Excellent and the leftovers were even better. I used Hot and Spicy V8 and used 24 oz instead of what the recipe asked for. I also added crushed red pepper because we like the kick. Thank you for the great recipe, I definately will be making it again and again!!!!</t>
        </is>
      </c>
    </row>
    <row r="3300">
      <c r="A3300" s="7" t="n">
        <v>96590</v>
      </c>
      <c r="B3300" s="7" t="n">
        <v>916339</v>
      </c>
      <c r="C3300" s="7" t="n">
        <v>2000246241</v>
      </c>
      <c r="D3300" s="7" t="n">
        <v>88489</v>
      </c>
      <c r="E3300" s="8" t="n">
        <v>42249</v>
      </c>
      <c r="F3300" s="7" t="n">
        <v>4</v>
      </c>
      <c r="G3300" s="7" t="inlineStr">
        <is>
          <t>I&amp;#039;ve been on a meringue cookie kick for a couple of weeks now. The first reviewer on the page I agree with, the acid should be added before the sugar. I however, didn&amp;#039;t use Vinegar. I used 1/8th of a teaspoon of Cream of Tartar (recommended for two egg whites). I also put the &amp;quot;Castor&amp;quot; (extra fine) sugar in the oven to warm up, that also makes the meringue rise taller. As the first reviewer said, use a pastry bag, absolutely! Dropping teaspoons is fine but if you want a gooey chewy crisp cookie use a bag. I made them at the temperature recommended but won&amp;#039;t do that next time. The meringue stood up to the warm melted chocolate. Next time I will set the oven at 180 and let them get crisp and the center will be more chocolate gooey. I understand this recipe was just adapted from another book, but it&amp;#039;s good but one recommendation try not to write instructions as you would for children. Those of us who bake often like to get to the point. We also can&amp;#039;t say relatively low in fat when the amount of fat in nuts varies. I omitted the nuts.</t>
        </is>
      </c>
    </row>
    <row r="3301">
      <c r="A3301" s="7" t="n">
        <v>82276</v>
      </c>
      <c r="B3301" s="7" t="n">
        <v>181878</v>
      </c>
      <c r="C3301" s="7" t="n">
        <v>428060</v>
      </c>
      <c r="D3301" s="7" t="n">
        <v>299007</v>
      </c>
      <c r="E3301" s="8" t="n">
        <v>40796</v>
      </c>
      <c r="F3301" s="7" t="n">
        <v>4</v>
      </c>
      <c r="G3301" s="7" t="inlineStr">
        <is>
          <t>Very good. I halved the recipe again, ie 9 cups water. I only used 3 TBL miso paste, and 1 scallion (mine were big). I added a torn up sheet of nori and a tiny bit of grated carrot.</t>
        </is>
      </c>
    </row>
    <row r="3302" ht="409.5" customHeight="1">
      <c r="A3302" s="7" t="n">
        <v>16951</v>
      </c>
      <c r="B3302" s="7" t="n">
        <v>778456</v>
      </c>
      <c r="C3302" s="7" t="n">
        <v>446608</v>
      </c>
      <c r="D3302" s="7" t="n">
        <v>108524</v>
      </c>
      <c r="E3302" s="8" t="n">
        <v>40197</v>
      </c>
      <c r="F3302" s="7" t="n">
        <v>5</v>
      </c>
      <c r="G3302" s="9" t="inlineStr">
        <is>
          <t>Thank you for this recipe.  I, too, have fallen in love with the Tortuga Rum Cakes ever since a relative of mine brought back some from her trip to the Cayman Islands.
This recipe is spot on.  I didn't change a thing.  Except that I was lucky enough to locate some REAL Tortuga Banana Rum at Bevmo so I made a Tortuga Banana Rum Cake.
It was delicious.  Everyone said it tasted like the real thing.
Thank you thank you for this wonderful recipe.
God bless:-)</t>
        </is>
      </c>
    </row>
    <row r="3303">
      <c r="A3303" s="7" t="n">
        <v>27372</v>
      </c>
      <c r="B3303" s="7" t="n">
        <v>594369</v>
      </c>
      <c r="C3303" s="7" t="n">
        <v>258115</v>
      </c>
      <c r="D3303" s="7" t="n">
        <v>154673</v>
      </c>
      <c r="E3303" s="8" t="n">
        <v>39593</v>
      </c>
      <c r="F3303" s="7" t="n">
        <v>5</v>
      </c>
      <c r="G3303" s="7" t="inlineStr">
        <is>
          <t>We loved this! My DH said it reminded him of the spices they used to season meat in Nigeria. I will be trying it on chicken and seafood next. I will be making a big batch of this now and storing it in an empty spice jar. Thank you so much for the recipe!</t>
        </is>
      </c>
    </row>
    <row r="3304">
      <c r="A3304" s="7" t="n">
        <v>18487</v>
      </c>
      <c r="B3304" s="7" t="n">
        <v>475760</v>
      </c>
      <c r="C3304" s="7" t="n">
        <v>431813</v>
      </c>
      <c r="D3304" s="7" t="n">
        <v>230500</v>
      </c>
      <c r="E3304" s="8" t="n">
        <v>39536</v>
      </c>
      <c r="F3304" s="7" t="n">
        <v>5</v>
      </c>
      <c r="G3304" s="7" t="inlineStr">
        <is>
          <t>The breadcrumbs give this tart quite a different texture than the usual cream cheese tart.  The elderflower flavour is also quite subtle.  I think next time I'd probably double the amount of cordial I used.  Overall a nice change of pace for dessert.  Thanks French Tart!</t>
        </is>
      </c>
    </row>
    <row r="3305">
      <c r="A3305" s="7" t="n">
        <v>66048</v>
      </c>
      <c r="B3305" s="7" t="n">
        <v>802402</v>
      </c>
      <c r="C3305" s="7" t="n">
        <v>98851</v>
      </c>
      <c r="D3305" s="7" t="n">
        <v>26984</v>
      </c>
      <c r="E3305" s="8" t="n">
        <v>38777</v>
      </c>
      <c r="F3305" s="7" t="n">
        <v>5</v>
      </c>
      <c r="G3305" s="7" t="inlineStr">
        <is>
          <t>This was great! I must admit though, that I didn't use the chicken livers.</t>
        </is>
      </c>
    </row>
    <row r="3306">
      <c r="A3306" s="7" t="n">
        <v>28755</v>
      </c>
      <c r="B3306" s="7" t="n">
        <v>751003</v>
      </c>
      <c r="C3306" s="7" t="n">
        <v>274866</v>
      </c>
      <c r="D3306" s="7" t="n">
        <v>154514</v>
      </c>
      <c r="E3306" s="8" t="n">
        <v>39068</v>
      </c>
      <c r="F3306" s="7" t="n">
        <v>4</v>
      </c>
      <c r="G3306" s="7" t="inlineStr">
        <is>
          <t>Tasty way to use up mashed taters. Added shredded cheddar, as other reviewers suggested. Make sure your heat is high enough before you start frying, I had problems keeping mine together when I flipped them. Thanks for the recipe!</t>
        </is>
      </c>
    </row>
    <row r="3307">
      <c r="A3307" s="7" t="n">
        <v>3816</v>
      </c>
      <c r="B3307" s="7" t="n">
        <v>883306</v>
      </c>
      <c r="C3307" s="7" t="n">
        <v>626496</v>
      </c>
      <c r="D3307" s="7" t="n">
        <v>98330</v>
      </c>
      <c r="E3307" s="8" t="n">
        <v>39380</v>
      </c>
      <c r="F3307" s="7" t="n">
        <v>5</v>
      </c>
      <c r="G3307" s="7" t="inlineStr">
        <is>
          <t>Super easy and super delicious!    I recently made my 3rd batch using this recipe- they were the best yet.  I left them in accidentally longer because I didn't hear the timer go off (so probably over 30 min).  It made me realize the previous ones had been seriously underdone (still good though).  This time I used only 2/3 cup sugar (I felt 3/4 was too much) and it tasted just fine.  Wonderful.  Best brownie yet.</t>
        </is>
      </c>
    </row>
    <row r="3308">
      <c r="A3308" s="7" t="n">
        <v>52632</v>
      </c>
      <c r="B3308" s="7" t="n">
        <v>703214</v>
      </c>
      <c r="C3308" s="7" t="n">
        <v>6357</v>
      </c>
      <c r="D3308" s="7" t="n">
        <v>115057</v>
      </c>
      <c r="E3308" s="8" t="n">
        <v>38444</v>
      </c>
      <c r="F3308" s="7" t="n">
        <v>5</v>
      </c>
      <c r="G3308" s="7" t="inlineStr">
        <is>
          <t>This is one of our favourite recipes for desserts. My family and friends love this to bits and pieces :)</t>
        </is>
      </c>
    </row>
    <row r="3309">
      <c r="A3309" s="7" t="n">
        <v>29712</v>
      </c>
      <c r="B3309" s="7" t="n">
        <v>733925</v>
      </c>
      <c r="C3309" s="7" t="n">
        <v>1411207</v>
      </c>
      <c r="D3309" s="7" t="n">
        <v>256489</v>
      </c>
      <c r="E3309" s="8" t="n">
        <v>40414</v>
      </c>
      <c r="F3309" s="7" t="n">
        <v>5</v>
      </c>
      <c r="G3309" s="7" t="inlineStr">
        <is>
          <t>Very yummy! Nice &amp; creamy! Thanks!</t>
        </is>
      </c>
    </row>
    <row r="3310">
      <c r="A3310" s="7" t="n">
        <v>68410</v>
      </c>
      <c r="B3310" s="7" t="n">
        <v>641451</v>
      </c>
      <c r="C3310" s="7" t="n">
        <v>286566</v>
      </c>
      <c r="D3310" s="7" t="n">
        <v>44124</v>
      </c>
      <c r="E3310" s="8" t="n">
        <v>41268</v>
      </c>
      <c r="F3310" s="7" t="n">
        <v>5</v>
      </c>
      <c r="G3310" s="7" t="inlineStr">
        <is>
          <t>I have no idea what Catalina dressing is supposed to taste like as we cannot buy it here in Perth Australia so I made as 1 cup and got just over 1 cup (used 1/8 cup in recipe #433189 433189) and enjoyed the taste that I had of the dressing and look forward to using it in other recipes and on salad leaves, thank you Miss Annie.</t>
        </is>
      </c>
    </row>
    <row r="3311">
      <c r="A3311" s="7" t="n">
        <v>116353</v>
      </c>
      <c r="B3311" s="7" t="n">
        <v>595916</v>
      </c>
      <c r="C3311" s="7" t="n">
        <v>432357</v>
      </c>
      <c r="D3311" s="7" t="n">
        <v>122218</v>
      </c>
      <c r="E3311" s="8" t="n">
        <v>40789</v>
      </c>
      <c r="F3311" s="7" t="n">
        <v>5</v>
      </c>
      <c r="G3311" s="7" t="inlineStr">
        <is>
          <t>Great stuff! Easy to make. I substituted half &amp; half for the evaporated milk, and it still worked!</t>
        </is>
      </c>
    </row>
    <row r="3312">
      <c r="A3312" s="7" t="n">
        <v>11637</v>
      </c>
      <c r="B3312" s="7" t="n">
        <v>492861</v>
      </c>
      <c r="C3312" s="7" t="n">
        <v>204705</v>
      </c>
      <c r="D3312" s="7" t="n">
        <v>256739</v>
      </c>
      <c r="E3312" s="8" t="n">
        <v>40274</v>
      </c>
      <c r="F3312" s="7" t="n">
        <v>4</v>
      </c>
      <c r="G3312" s="7" t="inlineStr">
        <is>
          <t>These were pretty good. I used the cilantro and the cream cheese was a nice change from the cheddar or monterey jack I usually use in quesadillas. We couldn't taste the spices quite as much as I expected, but we really enjoyed them. Thanks for posting! *Made for PAC Spring 2010*</t>
        </is>
      </c>
    </row>
    <row r="3313">
      <c r="A3313" s="7" t="n">
        <v>22585</v>
      </c>
      <c r="B3313" s="7" t="n">
        <v>1075729</v>
      </c>
      <c r="C3313" s="7" t="n">
        <v>2002129295</v>
      </c>
      <c r="D3313" s="7" t="n">
        <v>62130</v>
      </c>
      <c r="E3313" s="8" t="n">
        <v>43253</v>
      </c>
      <c r="F3313" s="7" t="n">
        <v>0</v>
      </c>
      <c r="G3313" s="7" t="inlineStr">
        <is>
          <t>It was so delicious, though it was a little sweet for my taste, so next time I would add 1 3/4 cups of sugar instead of 2 entire cups.</t>
        </is>
      </c>
    </row>
    <row r="3314">
      <c r="A3314" s="7" t="n">
        <v>69788</v>
      </c>
      <c r="B3314" s="7" t="n">
        <v>581397</v>
      </c>
      <c r="C3314" s="7" t="n">
        <v>502509</v>
      </c>
      <c r="D3314" s="7" t="n">
        <v>109883</v>
      </c>
      <c r="E3314" s="8" t="n">
        <v>39480</v>
      </c>
      <c r="F3314" s="7" t="n">
        <v>5</v>
      </c>
      <c r="G3314" s="7" t="inlineStr">
        <is>
          <t>Simple, easy, very tasty and 3 ingredients.  What more could you ask for!</t>
        </is>
      </c>
    </row>
    <row r="3315">
      <c r="A3315" s="7" t="n">
        <v>108936</v>
      </c>
      <c r="B3315" s="7" t="n">
        <v>316537</v>
      </c>
      <c r="C3315" s="7" t="n">
        <v>142878</v>
      </c>
      <c r="D3315" s="7" t="n">
        <v>189013</v>
      </c>
      <c r="E3315" s="8" t="n">
        <v>39009</v>
      </c>
      <c r="F3315" s="7" t="n">
        <v>5</v>
      </c>
      <c r="G3315" s="7" t="inlineStr">
        <is>
          <t>This made a great meal, with my dry potato curry and jasmine rice on the side.  We loved it and it will defintely be made again.</t>
        </is>
      </c>
    </row>
    <row r="3316">
      <c r="A3316" s="7" t="n">
        <v>77373</v>
      </c>
      <c r="B3316" s="7" t="n">
        <v>767918</v>
      </c>
      <c r="C3316" s="7" t="n">
        <v>383346</v>
      </c>
      <c r="D3316" s="7" t="n">
        <v>61962</v>
      </c>
      <c r="E3316" s="8" t="n">
        <v>40693</v>
      </c>
      <c r="F3316" s="7" t="n">
        <v>4</v>
      </c>
      <c r="G3316" s="7" t="inlineStr">
        <is>
          <t>This is a great recipe.  I didn't have problem with the liquid.  But we found that it needed more cheese flavor.  So next time I'll add more parmesan.  Thanks Muffin goddess :)  Made for Count Dracula and His Hot Bites for ZWT7</t>
        </is>
      </c>
    </row>
    <row r="3317">
      <c r="A3317" s="7" t="n">
        <v>59063</v>
      </c>
      <c r="B3317" s="7" t="n">
        <v>520674</v>
      </c>
      <c r="C3317" s="7" t="n">
        <v>2001322346</v>
      </c>
      <c r="D3317" s="7" t="n">
        <v>409151</v>
      </c>
      <c r="E3317" s="8" t="n">
        <v>42730</v>
      </c>
      <c r="F3317" s="7" t="n">
        <v>5</v>
      </c>
      <c r="G3317" s="7" t="inlineStr">
        <is>
          <t>I made this for Christmas. It was delicious. I used kosher salt. The end pieces were a bit too salty, but I had a smaller roast than the recipe called for. I also mixed the dry seasonings with a little olive oil to get it to stick to the roast.</t>
        </is>
      </c>
    </row>
    <row r="3318">
      <c r="A3318" s="7" t="n">
        <v>1439</v>
      </c>
      <c r="B3318" s="7" t="n">
        <v>603829</v>
      </c>
      <c r="C3318" s="7" t="n">
        <v>2777796</v>
      </c>
      <c r="D3318" s="7" t="n">
        <v>184682</v>
      </c>
      <c r="E3318" s="8" t="n">
        <v>41373</v>
      </c>
      <c r="F3318" s="7" t="n">
        <v>4</v>
      </c>
      <c r="G3318" s="7" t="inlineStr">
        <is>
          <t>These were a hit with my husband&amp;#039;s co-workers!  I used fresh apples since the person who contributed the recipe said she had used them.  I also added a pinch of a few more spices - ginger, cloves, and nutmeg.  I always do this with recipes that are heavy on cinnamon because I don&amp;#039;t care for cinnamon just by itself.  They turned out well with a small pinch of cloves and a moderate pinch of nutmeg and ginger.  The problem I encountered was that the cookies were really crumbly - I could hardly get them off the pan and now they crumble when you try to hold them to eat them.  When I make them again, I think I&amp;#039;m going to add a bit more flour and bit less oats to try to counteract the crumbly nature of these cookies.  I think the oats and the butter just don&amp;#039;t bond that well to form a solid cookie - there needs to be more flour to bind with the butter to form a solid cookie.  As others have mentioned, you should definitely use parchment paper or a silpat with these because they&amp;#039;re quite sticky.  Also, the directions say to squash them down because they don&amp;#039;t spread, and that definitely wasn&amp;#039;t my experience.  Mine spread out a LOT so that they were very thin.  I hope adding more flour will help with this, but on this batch, I just started making my dough balls very small and not squashing them down, which helped a bit.  So I&amp;#039;d say they&amp;#039;re five stars for flavor and three stars for presentation.</t>
        </is>
      </c>
    </row>
    <row r="3319">
      <c r="A3319" s="7" t="n">
        <v>122027</v>
      </c>
      <c r="B3319" s="7" t="n">
        <v>672061</v>
      </c>
      <c r="C3319" s="7" t="n">
        <v>35174</v>
      </c>
      <c r="D3319" s="7" t="n">
        <v>19380</v>
      </c>
      <c r="E3319" s="8" t="n">
        <v>37341</v>
      </c>
      <c r="F3319" s="7" t="n">
        <v>4</v>
      </c>
      <c r="G3319" s="7" t="inlineStr">
        <is>
          <t>Made a loaf yesterday, its an easy recipe, I substituted 2 eggs for some of the water and got a nice high loaf</t>
        </is>
      </c>
    </row>
    <row r="3320">
      <c r="A3320" s="7" t="n">
        <v>55370</v>
      </c>
      <c r="B3320" s="7" t="n">
        <v>667562</v>
      </c>
      <c r="C3320" s="7" t="n">
        <v>664225</v>
      </c>
      <c r="D3320" s="7" t="n">
        <v>314</v>
      </c>
      <c r="E3320" s="8" t="n">
        <v>40370</v>
      </c>
      <c r="F3320" s="7" t="n">
        <v>5</v>
      </c>
      <c r="G3320" s="7" t="inlineStr">
        <is>
          <t>I used the dressing to pour in my cabbage and carrot salad.  It was delicious!</t>
        </is>
      </c>
    </row>
    <row r="3321">
      <c r="A3321" s="7" t="n">
        <v>67809</v>
      </c>
      <c r="B3321" s="7" t="n">
        <v>225465</v>
      </c>
      <c r="C3321" s="7" t="n">
        <v>84160</v>
      </c>
      <c r="D3321" s="7" t="n">
        <v>33131</v>
      </c>
      <c r="E3321" s="8" t="n">
        <v>38384</v>
      </c>
      <c r="F3321" s="7" t="n">
        <v>3</v>
      </c>
      <c r="G3321" s="7" t="inlineStr">
        <is>
          <t>I made this using olive oil since that's all I had. It really affected the taste for the worse. Be SURE to use VEG OIL AS DIRECTED. Also, this recipe tastes a little vinegar-y to me. It was not clear from the instructions what to do in step 3. It says to cook the "flour, sugar, water, and vinegar..." WATER?? The water was used in step 1. What I did was add everything together after the blending in step 1, and cook it all together until it got stiff. It seems to have worked out ok that way. I am going to try this recipe again using VEG oil and see if I like it any better. At any rate, it sure beats the price of paying for salad dressing at the supermarket! Thanks for the submission, Mary!</t>
        </is>
      </c>
    </row>
    <row r="3322">
      <c r="A3322" s="7" t="n">
        <v>35827</v>
      </c>
      <c r="B3322" s="7" t="n">
        <v>1014492</v>
      </c>
      <c r="C3322" s="7" t="n">
        <v>16140</v>
      </c>
      <c r="D3322" s="7" t="n">
        <v>13117</v>
      </c>
      <c r="E3322" s="8" t="n">
        <v>37189</v>
      </c>
      <c r="F3322" s="7" t="n">
        <v>5</v>
      </c>
      <c r="G3322" s="7" t="inlineStr">
        <is>
          <t>This was lovely ,real comfort food!I used italian seasoned tinned tomatoes and  black pepper flavoured feta cheese.</t>
        </is>
      </c>
    </row>
    <row r="3323">
      <c r="A3323" s="7" t="n">
        <v>46734</v>
      </c>
      <c r="B3323" s="7" t="n">
        <v>1059963</v>
      </c>
      <c r="C3323" s="7" t="n">
        <v>498271</v>
      </c>
      <c r="D3323" s="7" t="n">
        <v>288704</v>
      </c>
      <c r="E3323" s="8" t="n">
        <v>39569</v>
      </c>
      <c r="F3323" s="7" t="n">
        <v>4</v>
      </c>
      <c r="G3323" s="7" t="inlineStr">
        <is>
          <t>This was a very nice vegetable casserole!  The squash, spinach and tomatoes was a great combination.  I used ricotta cheese (instead of cottage cheese) and added some basil on top of the tomatoes.  I served this as a side but it could be a meal on it's own - thanks for sharing this recipe!</t>
        </is>
      </c>
    </row>
    <row r="3324">
      <c r="A3324" s="7" t="n">
        <v>35863</v>
      </c>
      <c r="B3324" s="7" t="n">
        <v>908617</v>
      </c>
      <c r="C3324" s="7" t="n">
        <v>56383</v>
      </c>
      <c r="D3324" s="7" t="n">
        <v>29864</v>
      </c>
      <c r="E3324" s="8" t="n">
        <v>37539</v>
      </c>
      <c r="F3324" s="7" t="n">
        <v>4</v>
      </c>
      <c r="G3324" s="7" t="inlineStr">
        <is>
          <t xml:space="preserve">This is a delicious and simple recipe that I found easy to "play around" with! I used scallions rather than regular onions,and added broccoli florets and sesame seeds to the mix- </t>
        </is>
      </c>
    </row>
    <row r="3325">
      <c r="A3325" s="7" t="n">
        <v>10391</v>
      </c>
      <c r="B3325" s="7" t="n">
        <v>716953</v>
      </c>
      <c r="C3325" s="7" t="n">
        <v>130819</v>
      </c>
      <c r="D3325" s="7" t="n">
        <v>325495</v>
      </c>
      <c r="E3325" s="8" t="n">
        <v>39724</v>
      </c>
      <c r="F3325" s="7" t="n">
        <v>5</v>
      </c>
      <c r="G3325" s="7" t="inlineStr">
        <is>
          <t>Soup lovers here declared it a winner - for me it was a meal in itself!  Other then having to go with less basil (added parsley to make up the half cup) made as posted with wonderful results.The baby spinach added to the soup making for eye appeal as well. Already added to my Soup Cookbook and know it will see to repeats at our house. Thank you for sharing.</t>
        </is>
      </c>
    </row>
    <row r="3326" ht="409.5" customHeight="1">
      <c r="A3326" s="7" t="n">
        <v>86183</v>
      </c>
      <c r="B3326" s="7" t="n">
        <v>70590</v>
      </c>
      <c r="C3326" s="7" t="n">
        <v>455539</v>
      </c>
      <c r="D3326" s="7" t="n">
        <v>17566</v>
      </c>
      <c r="E3326" s="8" t="n">
        <v>39239</v>
      </c>
      <c r="F3326" s="7" t="n">
        <v>5</v>
      </c>
      <c r="G3326" s="9" t="inlineStr">
        <is>
          <t>Okay...I've never eaten at an Olive Garden.  (I know, I know.) So, I can't compare.  But I DO count calories and fat grams like a freak and I shaved this down to 340 cal and only 3.5g fat per svg by using Honeysuckle turkey breakfast sausage in place of gr beef. Also, I only had a tiny little 5.5 oz can of spicy V-8 so I used that plus I substituted another can of regular tomato sauce and added 4 oz of water to make up more of the liquid amount.  I gotta tell you, I will make this again and again!  We had reduced fat cresent rolls with our pasta and it really hit the spot!  _x000D_
Thank you for such a yummy recipe that can be "made over" and still taste HEARTY!</t>
        </is>
      </c>
    </row>
    <row r="3327">
      <c r="A3327" s="7" t="n">
        <v>30112</v>
      </c>
      <c r="B3327" s="7" t="n">
        <v>398467</v>
      </c>
      <c r="C3327" s="7" t="n">
        <v>1581225</v>
      </c>
      <c r="D3327" s="7" t="n">
        <v>184466</v>
      </c>
      <c r="E3327" s="8" t="n">
        <v>42682</v>
      </c>
      <c r="F3327" s="7" t="n">
        <v>5</v>
      </c>
      <c r="G3327" s="7" t="inlineStr">
        <is>
          <t>Cute, festive, tasty, quick and easy! What more could you ask for in A Christmas treat?</t>
        </is>
      </c>
    </row>
    <row r="3328" ht="409.5" customHeight="1">
      <c r="A3328" s="7" t="n">
        <v>53345</v>
      </c>
      <c r="B3328" s="7" t="n">
        <v>773136</v>
      </c>
      <c r="C3328" s="7" t="n">
        <v>156691</v>
      </c>
      <c r="D3328" s="7" t="n">
        <v>47106</v>
      </c>
      <c r="E3328" s="8" t="n">
        <v>38642</v>
      </c>
      <c r="F3328" s="7" t="n">
        <v>4</v>
      </c>
      <c r="G3328" s="9" t="inlineStr">
        <is>
          <t xml:space="preserve">Easy moist chicken recipe ..perfectly cooked.  I think there's an error in the recipe though.  I think 1 - 1 1/2 pkgs of Ritz Crackers would have sufficed.  I had 6 bone-in chicken breasts, and I had to throw away a tremendous amount of cracker crumbs.  My advice is grind us less and see what you need._x000D_
</t>
        </is>
      </c>
    </row>
    <row r="3329" ht="409.5" customHeight="1">
      <c r="A3329" s="7" t="n">
        <v>85241</v>
      </c>
      <c r="B3329" s="7" t="n">
        <v>518949</v>
      </c>
      <c r="C3329" s="7" t="n">
        <v>28557</v>
      </c>
      <c r="D3329" s="7" t="n">
        <v>57620</v>
      </c>
      <c r="E3329" s="8" t="n">
        <v>38877</v>
      </c>
      <c r="F3329" s="7" t="n">
        <v>5</v>
      </c>
      <c r="G3329" s="9" t="inlineStr">
        <is>
          <t>My husband would give these more than 5 stars, he loves these tasty potato pancakes. After assembling the potato mixture, I spooned it into those metal cooking rings that you can buy, to give the pancakes a beautiful even round shape, before baking. (Taking the rings off when turning the potatoes over.) I made them for a main meal, so I only got about 8 pancakes out of the mixture.
Thanks for posting this recipe!</t>
        </is>
      </c>
    </row>
    <row r="3330">
      <c r="A3330" s="7" t="n">
        <v>116523</v>
      </c>
      <c r="B3330" s="7" t="n">
        <v>560183</v>
      </c>
      <c r="C3330" s="7" t="n">
        <v>98394</v>
      </c>
      <c r="D3330" s="7" t="n">
        <v>64631</v>
      </c>
      <c r="E3330" s="8" t="n">
        <v>37855</v>
      </c>
      <c r="F3330" s="7" t="n">
        <v>5</v>
      </c>
      <c r="G3330" s="7" t="inlineStr">
        <is>
          <t>Too delicious!! The icing was just enough to cover the cake and was the perfect consistency.  It is so rich that I will have to cut it in very small pieces... and then eat two.</t>
        </is>
      </c>
    </row>
    <row r="3331">
      <c r="A3331" s="7" t="n">
        <v>98343</v>
      </c>
      <c r="B3331" s="7" t="n">
        <v>1005485</v>
      </c>
      <c r="C3331" s="7" t="n">
        <v>27783</v>
      </c>
      <c r="D3331" s="7" t="n">
        <v>168785</v>
      </c>
      <c r="E3331" s="8" t="n">
        <v>39881</v>
      </c>
      <c r="F3331" s="7" t="n">
        <v>0</v>
      </c>
      <c r="G3331" s="7" t="inlineStr">
        <is>
          <t>A very easy to prepare dish using ingredients I happened to have in my kitchen already.  I questioned the large amount of butter and ranch dressing, so I started with only about 2 Tbsp butter (rather than 1/2 cup) and only 1/2 cup of the ranch dressing.  I was satisfied with the results using these reduced amounts, and it made the dish overall a bit healthier. (Due to the large changes I made, I didn't think it fari to leave any stars, so this is just a comment.)</t>
        </is>
      </c>
    </row>
    <row r="3332">
      <c r="A3332" s="7" t="n">
        <v>11677</v>
      </c>
      <c r="B3332" s="7" t="n">
        <v>657463</v>
      </c>
      <c r="C3332" s="7" t="n">
        <v>347314</v>
      </c>
      <c r="D3332" s="7" t="n">
        <v>27208</v>
      </c>
      <c r="E3332" s="8" t="n">
        <v>41664</v>
      </c>
      <c r="F3332" s="7" t="n">
        <v>5</v>
      </c>
      <c r="G3332" s="7" t="inlineStr">
        <is>
          <t>This was a delicious roast!  It always seems to be &amp;#039;hit or miss&amp;#039; for me with the moistness of meat cooked in the crockpot.  This one hands down is my favorite and oh! so delicious.  I made a few changes:  I spread about a tablespoon of minced garlic over the roast and THEN sprinkled the combined packets on the roast.  Then, in Paula Deen style, I placed a whole stick of butter on top of the roast. I poured 1 cup of water around the roast, put the lid on and let it cook for at least 8 hours.  Delicious!  No Leftovers!!  Next time I will do 1/2 cup of water and 1/2 cup of red wine to give it some added flavor. This recipe is a keeper for sure!</t>
        </is>
      </c>
    </row>
    <row r="3333">
      <c r="A3333" s="7" t="n">
        <v>123345</v>
      </c>
      <c r="B3333" s="7" t="n">
        <v>835714</v>
      </c>
      <c r="C3333" s="7" t="n">
        <v>40644868</v>
      </c>
      <c r="D3333" s="7" t="n">
        <v>476676</v>
      </c>
      <c r="E3333" s="8" t="n">
        <v>43054</v>
      </c>
      <c r="F3333" s="7" t="n">
        <v>5</v>
      </c>
      <c r="G3333" s="7" t="inlineStr">
        <is>
          <t>I made these for a baby shower and they turned out great! Wonderful vanilla flavor and the best part was that I didn't need to refrigerate them before baking! Very flavorful, kids and adults liked them. I used a 1.5 TBSP cookie scoop and got about 24 cookies out of the recipe. Will definitely make them again.</t>
        </is>
      </c>
    </row>
    <row r="3334">
      <c r="A3334" s="7" t="n">
        <v>114542</v>
      </c>
      <c r="B3334" s="7" t="n">
        <v>16182</v>
      </c>
      <c r="C3334" s="7" t="n">
        <v>907242</v>
      </c>
      <c r="D3334" s="7" t="n">
        <v>468146</v>
      </c>
      <c r="E3334" s="8" t="n">
        <v>41026</v>
      </c>
      <c r="F3334" s="7" t="n">
        <v>5</v>
      </c>
      <c r="G3334" s="7" t="inlineStr">
        <is>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is>
      </c>
    </row>
    <row r="3335" ht="285" customHeight="1">
      <c r="A3335" s="7" t="n">
        <v>84898</v>
      </c>
      <c r="B3335" s="7" t="n">
        <v>634965</v>
      </c>
      <c r="C3335" s="7" t="n">
        <v>155912</v>
      </c>
      <c r="D3335" s="7" t="n">
        <v>55134</v>
      </c>
      <c r="E3335" s="8" t="n">
        <v>38495</v>
      </c>
      <c r="F3335" s="7" t="n">
        <v>5</v>
      </c>
      <c r="G3335" s="9" t="inlineStr">
        <is>
          <t>Dark brown, soft, easy and delicious!!! This one is a keeper. Thanks for a great recipe. _x000D_
I baked in 2 square pans and baked it 55 minutes.</t>
        </is>
      </c>
    </row>
    <row r="3336">
      <c r="A3336" s="7" t="n">
        <v>60411</v>
      </c>
      <c r="B3336" s="7" t="n">
        <v>894001</v>
      </c>
      <c r="C3336" s="7" t="n">
        <v>57256</v>
      </c>
      <c r="D3336" s="7" t="n">
        <v>223517</v>
      </c>
      <c r="E3336" s="8" t="n">
        <v>39516</v>
      </c>
      <c r="F3336" s="7" t="n">
        <v>5</v>
      </c>
      <c r="G3336" s="7" t="inlineStr">
        <is>
          <t>What a fantasticaly easy and delicious soup !! Thank you for sharing this recipe. I loved it !!! I did add a little sugar to cut the acid from my tomatos, other than that, it was a perfect soup for a cool day !</t>
        </is>
      </c>
    </row>
    <row r="3337">
      <c r="A3337" s="7" t="n">
        <v>83970</v>
      </c>
      <c r="B3337" s="7" t="n">
        <v>580234</v>
      </c>
      <c r="C3337" s="7" t="n">
        <v>486648</v>
      </c>
      <c r="D3337" s="7" t="n">
        <v>45069</v>
      </c>
      <c r="E3337" s="8" t="n">
        <v>41302</v>
      </c>
      <c r="F3337" s="7" t="n">
        <v>5</v>
      </c>
      <c r="G3337" s="7" t="inlineStr">
        <is>
          <t>This was a great and tasty chili. I like to try different chilis and I loved that this one was supposed to be made in the crock pot. I cooked it on low for about 12 hours (that's how long I ended up being out of the house) and the meat was tender and the flavor was fantastic. I used a little extra of the spice mix (yay for not reading the recipe very well) and I used Penzy's ground chipotle pepper instead of chili powder and it was quite spicy, but not TOO hot--and quite smoky, too. I threw in some red bell peppers I had on hand as well as most of a large onion (instead of the tablespoon) and I only had 1 lb of ground beef. Obviously this recipe is made to tinker with! Thanks once again, I had it for lunch a day or two later and it only got better with time!</t>
        </is>
      </c>
    </row>
    <row r="3338">
      <c r="A3338" s="7" t="n">
        <v>1243</v>
      </c>
      <c r="B3338" s="7" t="n">
        <v>734490</v>
      </c>
      <c r="C3338" s="7" t="n">
        <v>371785</v>
      </c>
      <c r="D3338" s="7" t="n">
        <v>140552</v>
      </c>
      <c r="E3338" s="8" t="n">
        <v>40084</v>
      </c>
      <c r="F3338" s="7" t="n">
        <v>4</v>
      </c>
      <c r="G3338" s="7" t="inlineStr">
        <is>
          <t>I thought this was really good and similar to what I had growing up.  I assumed you left out the butter so I added some with the flour.  Served on homemade biscuits.</t>
        </is>
      </c>
    </row>
    <row r="3339">
      <c r="A3339" s="7" t="n">
        <v>18069</v>
      </c>
      <c r="B3339" s="7" t="n">
        <v>412561</v>
      </c>
      <c r="C3339" s="7" t="n">
        <v>2206337</v>
      </c>
      <c r="D3339" s="7" t="n">
        <v>495275</v>
      </c>
      <c r="E3339" s="8" t="n">
        <v>41323</v>
      </c>
      <c r="F3339" s="7" t="n">
        <v>5</v>
      </c>
      <c r="G3339" s="7" t="inlineStr">
        <is>
          <t>This sounds so good!  Innovative and easy...the best of both worlds!</t>
        </is>
      </c>
    </row>
    <row r="3340">
      <c r="A3340" t="n">
        <v>110112</v>
      </c>
      <c r="B3340" t="n">
        <v>434708</v>
      </c>
      <c r="C3340" t="n">
        <v>28442</v>
      </c>
      <c r="D3340" t="n">
        <v>34335</v>
      </c>
      <c r="E3340" s="1" t="n">
        <v>37660</v>
      </c>
      <c r="F3340" t="n">
        <v>5</v>
      </c>
      <c r="G3340" t="inlineStr">
        <is>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is>
      </c>
    </row>
    <row r="3341">
      <c r="A3341" s="7" t="n">
        <v>38400</v>
      </c>
      <c r="B3341" s="7" t="n">
        <v>1119331</v>
      </c>
      <c r="C3341" s="7" t="n">
        <v>336058</v>
      </c>
      <c r="D3341" s="7" t="n">
        <v>147008</v>
      </c>
      <c r="E3341" s="8" t="n">
        <v>39613</v>
      </c>
      <c r="F3341" s="7" t="n">
        <v>3</v>
      </c>
      <c r="G3341" s="7" t="inlineStr">
        <is>
          <t>I thought this would be an easy way to try this for the first time.  The flavor is good, it just turns out too runny.  I think it would have been the right consistency without adding the 4th cup of milk.  I did get a lot of really brown stuff in the seams of my crockpot, which I didn't scrape up as much.  My crockpot tends to run hot, so that may have been a challenge.  I used to dip apples.</t>
        </is>
      </c>
    </row>
    <row r="3342">
      <c r="A3342" s="7" t="n">
        <v>13299</v>
      </c>
      <c r="B3342" s="7" t="n">
        <v>984458</v>
      </c>
      <c r="C3342" s="7" t="n">
        <v>1382345</v>
      </c>
      <c r="D3342" s="7" t="n">
        <v>9272</v>
      </c>
      <c r="E3342" s="8" t="n">
        <v>40069</v>
      </c>
      <c r="F3342" s="7" t="n">
        <v>5</v>
      </c>
      <c r="G3342" s="7" t="inlineStr">
        <is>
          <t>This is awesome salsa!  I actually left out the hot peppers completely after finding the original recipe way too hot for us.   The exact recipe minus the peppers is really good.  Still lots of flavor.  We don't eat a lot of spicy food and are not used to too much spice.  Getting ready to make this years' salsa now!</t>
        </is>
      </c>
    </row>
    <row r="3343">
      <c r="A3343" s="7" t="n">
        <v>106561</v>
      </c>
      <c r="B3343" s="7" t="n">
        <v>195090</v>
      </c>
      <c r="C3343" s="7" t="n">
        <v>140132</v>
      </c>
      <c r="D3343" s="7" t="n">
        <v>8432</v>
      </c>
      <c r="E3343" s="8" t="n">
        <v>40560</v>
      </c>
      <c r="F3343" s="7" t="n">
        <v>5</v>
      </c>
      <c r="G3343" s="7" t="inlineStr">
        <is>
          <t>These are so good.  I love the ease of preparing and DS and I couldn't get enough of the gravy.  The chops are tender and cooked perfectly, without drying out.  I did cook them for about 25 minutes after adding the liquid.  I too thought of using stock instead of water but am glad I didn't.  Thank you so much for sharing this comfort food staple.</t>
        </is>
      </c>
    </row>
    <row r="3344">
      <c r="A3344" s="7" t="n">
        <v>90408</v>
      </c>
      <c r="B3344" s="7" t="n">
        <v>93504</v>
      </c>
      <c r="C3344" s="7" t="n">
        <v>45944420</v>
      </c>
      <c r="D3344" s="7" t="n">
        <v>515539</v>
      </c>
      <c r="E3344" s="8" t="n">
        <v>41752</v>
      </c>
      <c r="F3344" s="7" t="n">
        <v>5</v>
      </c>
      <c r="G3344" s="7" t="inlineStr">
        <is>
          <t>I just made a batch of these biscuits and they are great! Used fresh mint, parsley, and Mexican tarragon from our garden but had to use a freeze-dried dill weed (Liteman&amp;#039;s). Try &amp;#039;em, you&amp;#039;ll like the recipe.</t>
        </is>
      </c>
    </row>
    <row r="3345" ht="409.5" customHeight="1">
      <c r="A3345" s="7" t="n">
        <v>111430</v>
      </c>
      <c r="B3345" s="7" t="n">
        <v>401000</v>
      </c>
      <c r="C3345" s="7" t="n">
        <v>483454</v>
      </c>
      <c r="D3345" s="7" t="n">
        <v>216644</v>
      </c>
      <c r="E3345" s="8" t="n">
        <v>39659</v>
      </c>
      <c r="F3345" s="7" t="n">
        <v>5</v>
      </c>
      <c r="G3345" s="9" t="inlineStr">
        <is>
          <t>This was unbelieveable!  We're both expats and served this recipe to prove that British food didn't deserve the reputation that it's got.  One taste of this and our guests had changed their opinion!
I doubled the recipe for 4 people and this was such an easy recipe to prepare, and a great way to jazz up steak and chips.  
That butter was just out of this world.  I had to substitute a local blue for Stilton, since Stilton is very expensive here, but apart from that I made no changes.
FT, thank you for helping me to prove that British food is among the best in the world - and for proving that most of the time the simplest ingredients make the best food!</t>
        </is>
      </c>
    </row>
    <row r="3346">
      <c r="A3346" s="7" t="n">
        <v>84285</v>
      </c>
      <c r="B3346" s="7" t="n">
        <v>126761</v>
      </c>
      <c r="C3346" s="7" t="n">
        <v>2177028</v>
      </c>
      <c r="D3346" s="7" t="n">
        <v>285449</v>
      </c>
      <c r="E3346" s="8" t="n">
        <v>40947</v>
      </c>
      <c r="F3346" s="7" t="n">
        <v>0</v>
      </c>
      <c r="G3346" s="7" t="inlineStr">
        <is>
          <t>What a wonderful and easy recipe! These are awesome! Went well with our cheesesteaks! :))</t>
        </is>
      </c>
    </row>
    <row r="3347">
      <c r="A3347" s="7" t="n">
        <v>95355</v>
      </c>
      <c r="B3347" s="7" t="n">
        <v>1050112</v>
      </c>
      <c r="C3347" s="7" t="n">
        <v>521611</v>
      </c>
      <c r="D3347" s="7" t="n">
        <v>53878</v>
      </c>
      <c r="E3347" s="8" t="n">
        <v>39308</v>
      </c>
      <c r="F3347" s="7" t="n">
        <v>5</v>
      </c>
      <c r="G3347" s="7" t="inlineStr">
        <is>
          <t>A simple and delicious recipe.  I'll probably make them bigger next time.  If you leave them covered they will get soft/soggy.</t>
        </is>
      </c>
    </row>
    <row r="3348">
      <c r="A3348" s="7" t="n">
        <v>35131</v>
      </c>
      <c r="B3348" s="7" t="n">
        <v>243090</v>
      </c>
      <c r="C3348" s="7" t="n">
        <v>247940</v>
      </c>
      <c r="D3348" s="7" t="n">
        <v>70204</v>
      </c>
      <c r="E3348" s="8" t="n">
        <v>38852</v>
      </c>
      <c r="F3348" s="7" t="n">
        <v>5</v>
      </c>
      <c r="G3348" s="7" t="inlineStr">
        <is>
          <t>Awesome chicken recipe! I made this exactly as the recipe states and I got the most tender, juicy and flavorful chicken breasts I've ever made. I'll be making this again without a doubt. Thanks!</t>
        </is>
      </c>
    </row>
    <row r="3349">
      <c r="A3349" s="7" t="n">
        <v>13645</v>
      </c>
      <c r="B3349" s="7" t="n">
        <v>1119321</v>
      </c>
      <c r="C3349" s="7" t="n">
        <v>422893</v>
      </c>
      <c r="D3349" s="7" t="n">
        <v>255425</v>
      </c>
      <c r="E3349" s="8" t="n">
        <v>39972</v>
      </c>
      <c r="F3349" s="7" t="n">
        <v>4</v>
      </c>
      <c r="G3349" s="7" t="inlineStr">
        <is>
          <t>This is great for when you want to put together dinner quickly, thanks for posting!</t>
        </is>
      </c>
    </row>
    <row r="3350">
      <c r="A3350" s="7" t="n">
        <v>100444</v>
      </c>
      <c r="B3350" s="7" t="n">
        <v>506607</v>
      </c>
      <c r="C3350" s="7" t="n">
        <v>37449</v>
      </c>
      <c r="D3350" s="7" t="n">
        <v>264043</v>
      </c>
      <c r="E3350" s="8" t="n">
        <v>39673</v>
      </c>
      <c r="F3350" s="7" t="n">
        <v>5</v>
      </c>
      <c r="G3350" s="7" t="inlineStr">
        <is>
          <t>Yum!  I used almond milk and brown sugar. I also used old fashioned oats. I really enjoyed this for breakfast. Thanks Pat!</t>
        </is>
      </c>
    </row>
    <row r="3351">
      <c r="A3351" s="7" t="n">
        <v>36432</v>
      </c>
      <c r="B3351" s="7" t="n">
        <v>355334</v>
      </c>
      <c r="C3351" s="7" t="n">
        <v>2002114476</v>
      </c>
      <c r="D3351" s="7" t="n">
        <v>92096</v>
      </c>
      <c r="E3351" s="8" t="n">
        <v>43205</v>
      </c>
      <c r="F3351" s="7" t="n">
        <v>5</v>
      </c>
      <c r="G3351" s="7" t="inlineStr">
        <is>
          <t>Amazing sauce! Thanks for posting!</t>
        </is>
      </c>
    </row>
    <row r="3352">
      <c r="A3352" s="7" t="n">
        <v>34209</v>
      </c>
      <c r="B3352" s="7" t="n">
        <v>520426</v>
      </c>
      <c r="C3352" s="7" t="n">
        <v>2710145</v>
      </c>
      <c r="D3352" s="7" t="n">
        <v>495291</v>
      </c>
      <c r="E3352" s="8" t="n">
        <v>41330</v>
      </c>
      <c r="F3352" s="7" t="n">
        <v>5</v>
      </c>
      <c r="G3352" s="7" t="inlineStr">
        <is>
          <t>This is so delicious! My whole family loved it!</t>
        </is>
      </c>
    </row>
    <row r="3353">
      <c r="A3353" s="7" t="n">
        <v>101058</v>
      </c>
      <c r="B3353" s="7" t="n">
        <v>961975</v>
      </c>
      <c r="C3353" s="7" t="n">
        <v>510729</v>
      </c>
      <c r="D3353" s="7" t="n">
        <v>49337</v>
      </c>
      <c r="E3353" s="8" t="n">
        <v>39465</v>
      </c>
      <c r="F3353" s="7" t="n">
        <v>5</v>
      </c>
      <c r="G3353" s="7" t="inlineStr">
        <is>
          <t>Wow this tasted amazing! I used 3 overripe bananas (2 medium and 1 large) and could not stop licking the batter =). I used a 10" springform pan but after the first cut realized that it needed to cook for about another 10-15 minutes. Other than that my dad and rest of the family loved it (my dad's favorite cheesecake at the Cheesecake Factory is this one so I made it for his birthday)! Thanks for such a great recipe.</t>
        </is>
      </c>
    </row>
    <row r="3354">
      <c r="A3354" s="7" t="n">
        <v>19408</v>
      </c>
      <c r="B3354" s="7" t="n">
        <v>493539</v>
      </c>
      <c r="C3354" s="7" t="n">
        <v>1137740</v>
      </c>
      <c r="D3354" s="7" t="n">
        <v>71373</v>
      </c>
      <c r="E3354" s="8" t="n">
        <v>39833</v>
      </c>
      <c r="F3354" s="7" t="n">
        <v>5</v>
      </c>
      <c r="G3354" s="7" t="inlineStr">
        <is>
          <t>Love this recipe made it as bread or rolls and even great for making pepperoni rolls my whole family can't get enough we make a batch of rolls every week and sometimes even more they are the best soft and fluffy right out of the oven couldn't ask for a better recipe totally awesome..</t>
        </is>
      </c>
    </row>
    <row r="3355">
      <c r="A3355" s="7" t="n">
        <v>95029</v>
      </c>
      <c r="B3355" s="7" t="n">
        <v>1037180</v>
      </c>
      <c r="C3355" s="7" t="n">
        <v>229800</v>
      </c>
      <c r="D3355" s="7" t="n">
        <v>133105</v>
      </c>
      <c r="E3355" s="8" t="n">
        <v>39046</v>
      </c>
      <c r="F3355" s="7" t="n">
        <v>5</v>
      </c>
      <c r="G3355" s="7" t="inlineStr">
        <is>
          <t>This is the only way I have eaten cauliflower and like it. I would eat this again.</t>
        </is>
      </c>
    </row>
    <row r="3356">
      <c r="A3356" s="7" t="n">
        <v>81402</v>
      </c>
      <c r="B3356" s="7" t="n">
        <v>1888</v>
      </c>
      <c r="C3356" s="7" t="n">
        <v>63128</v>
      </c>
      <c r="D3356" s="7" t="n">
        <v>53272</v>
      </c>
      <c r="E3356" s="8" t="n">
        <v>37863</v>
      </c>
      <c r="F3356" s="7" t="n">
        <v>0</v>
      </c>
      <c r="G3356" s="7" t="inlineStr">
        <is>
          <t xml:space="preserve">I HIGHLY recommend using diced potatoes instead of pasta because I have never tried it with pasta (I had altered it for a contest, naively assuming it would work).  </t>
        </is>
      </c>
    </row>
    <row r="3357">
      <c r="A3357" s="7" t="n">
        <v>44531</v>
      </c>
      <c r="B3357" s="7" t="n">
        <v>982682</v>
      </c>
      <c r="C3357" s="7" t="n">
        <v>142335</v>
      </c>
      <c r="D3357" s="7" t="n">
        <v>221429</v>
      </c>
      <c r="E3357" s="8" t="n">
        <v>39861</v>
      </c>
      <c r="F3357" s="7" t="n">
        <v>5</v>
      </c>
      <c r="G3357" s="7" t="inlineStr">
        <is>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is>
      </c>
    </row>
    <row r="3358" ht="285" customHeight="1">
      <c r="A3358" s="7" t="n">
        <v>60250</v>
      </c>
      <c r="B3358" s="7" t="n">
        <v>692558</v>
      </c>
      <c r="C3358" s="7" t="n">
        <v>220907</v>
      </c>
      <c r="D3358" s="7" t="n">
        <v>356997</v>
      </c>
      <c r="E3358" s="8" t="n">
        <v>40025</v>
      </c>
      <c r="F3358" s="7" t="n">
        <v>5</v>
      </c>
      <c r="G3358" s="9" t="inlineStr">
        <is>
          <t>From one Kiwi to another, aren't they so simple and yet so wonderful. Thanks for putting the recipe on this site._x000D_
Mecnic</t>
        </is>
      </c>
    </row>
    <row r="3359">
      <c r="A3359" s="7" t="n">
        <v>91414</v>
      </c>
      <c r="B3359" s="7" t="n">
        <v>348748</v>
      </c>
      <c r="C3359" s="7" t="n">
        <v>600761</v>
      </c>
      <c r="D3359" s="7" t="n">
        <v>50719</v>
      </c>
      <c r="E3359" s="8" t="n">
        <v>39480</v>
      </c>
      <c r="F3359" s="7" t="n">
        <v>4</v>
      </c>
      <c r="G3359" s="7" t="inlineStr">
        <is>
          <t>Terrific!  I made with 100% whole wheat PASTRY flour and I forgot to include the topping, but they were still delicious.  Having made with the wheat flour,I'll probably stick with that as they were that tasty.  I used a mixture of wild blueberries and regular blueberries and followed the tip to coat them in cornstarch to prevent the bleeding.  Would definitely recommend!</t>
        </is>
      </c>
    </row>
    <row r="3360">
      <c r="A3360" s="7" t="n">
        <v>82975</v>
      </c>
      <c r="B3360" s="7" t="n">
        <v>1009064</v>
      </c>
      <c r="C3360" s="7" t="n">
        <v>1802911297</v>
      </c>
      <c r="D3360" s="7" t="n">
        <v>471629</v>
      </c>
      <c r="E3360" s="8" t="n">
        <v>41968</v>
      </c>
      <c r="F3360" s="7" t="n">
        <v>5</v>
      </c>
      <c r="G3360" s="7" t="inlineStr">
        <is>
          <t>I was looking for something exactly like this. I did change a couple things. Instead of garlic , I used shallot and during the addition of broth &amp;amp; cream( I used light cream) I added 3oz. Of Neufch&amp;acirc;tel cream cheese. It was absolutely delish!!!!</t>
        </is>
      </c>
    </row>
    <row r="3361" ht="409.5" customHeight="1">
      <c r="A3361" s="7" t="n">
        <v>6326</v>
      </c>
      <c r="B3361" s="7" t="n">
        <v>222065</v>
      </c>
      <c r="C3361" s="7" t="n">
        <v>226134</v>
      </c>
      <c r="D3361" s="7" t="n">
        <v>74927</v>
      </c>
      <c r="E3361" s="8" t="n">
        <v>38943</v>
      </c>
      <c r="F3361" s="7" t="n">
        <v>5</v>
      </c>
      <c r="G3361" s="9" t="inlineStr">
        <is>
          <t xml:space="preserve">loved this i used shredded ham,peppers, mushrooms as a topping and instead of oregano and basil i used italian seasoning._x000D_
everyone loved it thanks for the great recipe Bri22 i will definitely making this again  </t>
        </is>
      </c>
    </row>
    <row r="3362" ht="225" customHeight="1">
      <c r="A3362" s="7" t="n">
        <v>26301</v>
      </c>
      <c r="B3362" s="7" t="n">
        <v>771057</v>
      </c>
      <c r="C3362" s="7" t="n">
        <v>106199</v>
      </c>
      <c r="D3362" s="7" t="n">
        <v>30602</v>
      </c>
      <c r="E3362" s="8" t="n">
        <v>39845</v>
      </c>
      <c r="F3362" s="7" t="n">
        <v>5</v>
      </c>
      <c r="G3362" s="9" t="inlineStr">
        <is>
          <t>This recipe was really good. It definitely needs icing.  We will surely make this again! _x000D_
Gwen Hammer</t>
        </is>
      </c>
    </row>
    <row r="3363">
      <c r="A3363" s="7" t="n">
        <v>39631</v>
      </c>
      <c r="B3363" s="7" t="n">
        <v>1130161</v>
      </c>
      <c r="C3363" s="7" t="n">
        <v>2001576321</v>
      </c>
      <c r="D3363" s="7" t="n">
        <v>137575</v>
      </c>
      <c r="E3363" s="8" t="n">
        <v>42895</v>
      </c>
      <c r="F3363" s="7" t="n">
        <v>5</v>
      </c>
      <c r="G3363" s="7" t="inlineStr">
        <is>
          <t>This was great. I think next time ill use slightly less mayo, as I prefer a dryer patty. That said, everyone loved these.</t>
        </is>
      </c>
    </row>
    <row r="3364">
      <c r="A3364" s="7" t="n">
        <v>123787</v>
      </c>
      <c r="B3364" s="7" t="n">
        <v>281857</v>
      </c>
      <c r="C3364" s="7" t="n">
        <v>249993</v>
      </c>
      <c r="D3364" s="7" t="n">
        <v>102916</v>
      </c>
      <c r="E3364" s="8" t="n">
        <v>38963</v>
      </c>
      <c r="F3364" s="7" t="n">
        <v>5</v>
      </c>
      <c r="G3364" s="7" t="inlineStr">
        <is>
          <t xml:space="preserve">The name of this chicken seems to turn off people I tell about it, so I call it "Smokey Rice Chicken", but name or no it's wonderful! Total comfort food for anytime. I cut up a whole chicken and make it that way, since everyone likes different meat in my family. Thanks for posting it! </t>
        </is>
      </c>
    </row>
    <row r="3365">
      <c r="A3365" s="7" t="n">
        <v>40215</v>
      </c>
      <c r="B3365" s="7" t="n">
        <v>116984</v>
      </c>
      <c r="C3365" s="7" t="n">
        <v>1187381</v>
      </c>
      <c r="D3365" s="7" t="n">
        <v>20960</v>
      </c>
      <c r="E3365" s="8" t="n">
        <v>39872</v>
      </c>
      <c r="F3365" s="7" t="n">
        <v>5</v>
      </c>
      <c r="G3365" s="7" t="inlineStr">
        <is>
          <t>Great recipe.  Made it earlier to go along with some hot wings done in the smoker.  Used a brown sugar bbq sauce that really glazed well in the oven.</t>
        </is>
      </c>
    </row>
    <row r="3366">
      <c r="A3366" s="7" t="n">
        <v>54113</v>
      </c>
      <c r="B3366" s="7" t="n">
        <v>1068303</v>
      </c>
      <c r="C3366" s="7" t="n">
        <v>439639</v>
      </c>
      <c r="D3366" s="7" t="n">
        <v>32142</v>
      </c>
      <c r="E3366" s="8" t="n">
        <v>40068</v>
      </c>
      <c r="F3366" s="7" t="n">
        <v>5</v>
      </c>
      <c r="G3366" s="7" t="inlineStr">
        <is>
          <t>Really great soup I have made this before and it is excellent just how its written...but I changed it a little bit this time instead of potatoes I used ore-ida frozen potatoes (the one with the peppers) and added some smoked sausage it was really good!!!</t>
        </is>
      </c>
    </row>
    <row r="3367">
      <c r="A3367" s="7" t="n">
        <v>59360</v>
      </c>
      <c r="B3367" s="7" t="n">
        <v>652042</v>
      </c>
      <c r="C3367" s="7" t="n">
        <v>2000830025</v>
      </c>
      <c r="D3367" s="7" t="n">
        <v>135215</v>
      </c>
      <c r="E3367" s="8" t="n">
        <v>42389</v>
      </c>
      <c r="F3367" s="7" t="n">
        <v>5</v>
      </c>
      <c r="G3367" s="7" t="inlineStr">
        <is>
          <t>A very easy soup to make, but oh so good. I live in Oregon and pick my own wild fresh mushrooms. This is also my go to recipe for when someone is sick. I do add at least double the amount of mushrooms just because that is how I roll. =) Store bought mushrooms are great. Please use caution if you choose to pick your own. Mushrooms can be very tricky to make a positive ID&amp;gt; But yes, this soup is awesome no matter what you use.</t>
        </is>
      </c>
    </row>
    <row r="3368">
      <c r="A3368" s="7" t="n">
        <v>123868</v>
      </c>
      <c r="B3368" s="7" t="n">
        <v>305982</v>
      </c>
      <c r="C3368" s="7" t="n">
        <v>621626</v>
      </c>
      <c r="D3368" s="7" t="n">
        <v>297527</v>
      </c>
      <c r="E3368" s="8" t="n">
        <v>39588</v>
      </c>
      <c r="F3368" s="7" t="n">
        <v>4</v>
      </c>
      <c r="G3368" s="7" t="inlineStr">
        <is>
          <t>This was my first time making a cheesecake. The directions were simple &amp; easy to follow. But my cheesecake took 45 minutes to cook. I used gingersnaps for the crust as it called for but I think the flavor was a little overpowering for this cheesecake. Next time I may do half gingersnaps &amp; half graham crackers. I do not like cottage cheese so at the suggestion of my friend who is a cheesecake expert I used sour cream instead. Since the other review said they really couldn't taste the coconut in the cake I add 1/2 cup of shredded coconut to the filling. Overall, this was a tasty cheesecake. Thanks</t>
        </is>
      </c>
    </row>
    <row r="3369">
      <c r="A3369" s="7" t="n">
        <v>23100</v>
      </c>
      <c r="B3369" s="7" t="n">
        <v>1048938</v>
      </c>
      <c r="C3369" s="7" t="n">
        <v>50778</v>
      </c>
      <c r="D3369" s="7" t="n">
        <v>102274</v>
      </c>
      <c r="E3369" s="8" t="n">
        <v>38457</v>
      </c>
      <c r="F3369" s="7" t="n">
        <v>5</v>
      </c>
      <c r="G3369" s="7" t="inlineStr">
        <is>
          <t>Awesome soup!  The vinegar and liquid smoke added a nice complexity.  As with most soups- good the day of, awesome the next!  Oh, and noticed that the heat decreased dramatically the next day.</t>
        </is>
      </c>
    </row>
    <row r="3370">
      <c r="A3370" s="7" t="n">
        <v>70486</v>
      </c>
      <c r="B3370" s="7" t="n">
        <v>47479</v>
      </c>
      <c r="C3370" s="7" t="n">
        <v>207302</v>
      </c>
      <c r="D3370" s="7" t="n">
        <v>66335</v>
      </c>
      <c r="E3370" s="8" t="n">
        <v>39220</v>
      </c>
      <c r="F3370" s="7" t="n">
        <v>5</v>
      </c>
      <c r="G3370" s="7" t="inlineStr">
        <is>
          <t>Gorgeous</t>
        </is>
      </c>
    </row>
    <row r="3371">
      <c r="A3371" s="7" t="n">
        <v>84192</v>
      </c>
      <c r="B3371" s="7" t="n">
        <v>451975</v>
      </c>
      <c r="C3371" s="7" t="n">
        <v>68460</v>
      </c>
      <c r="D3371" s="7" t="n">
        <v>99581</v>
      </c>
      <c r="E3371" s="8" t="n">
        <v>38591</v>
      </c>
      <c r="F3371" s="7" t="n">
        <v>5</v>
      </c>
      <c r="G3371" s="7" t="inlineStr">
        <is>
          <t>When I saw this in 'New Reviews', I thought it would be an excellent Saturday night supper, and it was.  This was very much enjoyed by my family and I have some leftovers for my lunch on Monday.  I made this exactly as written but I agree with Barb that some beans added to the cheese/olive filling would be nice and I'll try that next time.  Thanks Barb :)</t>
        </is>
      </c>
    </row>
    <row r="3372">
      <c r="A3372" s="7" t="n">
        <v>30442</v>
      </c>
      <c r="B3372" s="7" t="n">
        <v>855555</v>
      </c>
      <c r="C3372" s="7" t="n">
        <v>319189</v>
      </c>
      <c r="D3372" s="7" t="n">
        <v>226025</v>
      </c>
      <c r="E3372" s="8" t="n">
        <v>39378</v>
      </c>
      <c r="F3372" s="7" t="n">
        <v>5</v>
      </c>
      <c r="G3372" s="7" t="inlineStr">
        <is>
          <t>This recipe is great.  Although, I also put about 1/2 cup of white chocolate morsels in as well.I waited approx 3-5 minutes for the chocolate to cool slightly as it coats better.  Even melted some chocolate and dazzled over the white coated.  Looks great...</t>
        </is>
      </c>
    </row>
    <row r="3373">
      <c r="A3373" s="7" t="n">
        <v>86960</v>
      </c>
      <c r="B3373" s="7" t="n">
        <v>852164</v>
      </c>
      <c r="C3373" s="7" t="n">
        <v>157425</v>
      </c>
      <c r="D3373" s="7" t="n">
        <v>176902</v>
      </c>
      <c r="E3373" s="8" t="n">
        <v>38917</v>
      </c>
      <c r="F3373" s="7" t="n">
        <v>5</v>
      </c>
      <c r="G3373" s="7" t="inlineStr">
        <is>
          <t>Thank you for posting this recipe, it is wonderful! There is a very mild cherry coke flavor, the crushed pineapple adds nice texture along with the cherries, and a bit of tart zip that we enjoyed! I served with a dollop of whipped cream and sprinkled with chopped pecans. very good!</t>
        </is>
      </c>
    </row>
    <row r="3374">
      <c r="A3374" s="7" t="n">
        <v>66388</v>
      </c>
      <c r="B3374" s="7" t="n">
        <v>894136</v>
      </c>
      <c r="C3374" s="7" t="n">
        <v>151418</v>
      </c>
      <c r="D3374" s="7" t="n">
        <v>223517</v>
      </c>
      <c r="E3374" s="8" t="n">
        <v>40850</v>
      </c>
      <c r="F3374" s="7" t="n">
        <v>5</v>
      </c>
      <c r="G3374" s="7" t="inlineStr">
        <is>
          <t>Simply amazing flavor.  My pickiest soup eater noted it was delicious.  First time I've used fresh basil in recipe - wow! Did chop 2 celery stalks and also diced 1/2 onion which I added at the beginning to the soup.  Thank you for posting the recipe.</t>
        </is>
      </c>
    </row>
    <row r="3375">
      <c r="A3375" s="7" t="n">
        <v>70002</v>
      </c>
      <c r="B3375" s="7" t="n">
        <v>614523</v>
      </c>
      <c r="C3375" s="7" t="n">
        <v>446143</v>
      </c>
      <c r="D3375" s="7" t="n">
        <v>250615</v>
      </c>
      <c r="E3375" s="8" t="n">
        <v>39331</v>
      </c>
      <c r="F3375" s="7" t="n">
        <v>5</v>
      </c>
      <c r="G3375" s="7" t="inlineStr">
        <is>
          <t>Made this for DH's birthday.  He loves chocolate, but I thought I'd try this.  "New favorite cake."  He declared!  I used chopped pecans and Malibu rum.</t>
        </is>
      </c>
    </row>
    <row r="3376">
      <c r="A3376" s="7" t="n">
        <v>30739</v>
      </c>
      <c r="B3376" s="7" t="n">
        <v>824110</v>
      </c>
      <c r="C3376" s="7" t="n">
        <v>1190532</v>
      </c>
      <c r="D3376" s="7" t="n">
        <v>78814</v>
      </c>
      <c r="E3376" s="8" t="n">
        <v>40030</v>
      </c>
      <c r="F3376" s="7" t="n">
        <v>5</v>
      </c>
      <c r="G3376" s="7" t="inlineStr">
        <is>
          <t>This was really good.  My bf loved it even more....   I used the jumbo crescent rolls  and he ate all but one of them.  That says a lot to me.  All the ingredients worked so well together.  Thanks so much Kittencal!</t>
        </is>
      </c>
    </row>
    <row r="3377">
      <c r="A3377" s="7" t="n">
        <v>126148</v>
      </c>
      <c r="B3377" s="7" t="n">
        <v>406449</v>
      </c>
      <c r="C3377" s="7" t="n">
        <v>1126861</v>
      </c>
      <c r="D3377" s="7" t="n">
        <v>145119</v>
      </c>
      <c r="E3377" s="8" t="n">
        <v>39938</v>
      </c>
      <c r="F3377" s="7" t="n">
        <v>0</v>
      </c>
      <c r="G3377" s="7" t="inlineStr">
        <is>
          <t>Delicious, but this recipe easily feeds 6-8 adults.  I will cut it in half next time, or invite guests!</t>
        </is>
      </c>
    </row>
    <row r="3378">
      <c r="A3378" s="7" t="n">
        <v>88396</v>
      </c>
      <c r="B3378" s="7" t="n">
        <v>376134</v>
      </c>
      <c r="C3378" s="7" t="n">
        <v>169969</v>
      </c>
      <c r="D3378" s="7" t="n">
        <v>127541</v>
      </c>
      <c r="E3378" s="8" t="n">
        <v>38535</v>
      </c>
      <c r="F3378" s="7" t="n">
        <v>5</v>
      </c>
      <c r="G3378" s="7" t="inlineStr">
        <is>
          <t xml:space="preserve">This was so good!!! I am not usually a tea drinker and have never made tea without a tea bag....but feeling very playful today....so I picked some red clover!! I am going to air dry some like you suggested so I can have this all year long! Thank you for posting such a wonderful recipe!!!! </t>
        </is>
      </c>
    </row>
    <row r="3379">
      <c r="A3379" s="7" t="n">
        <v>121588</v>
      </c>
      <c r="B3379" s="7" t="n">
        <v>98380</v>
      </c>
      <c r="C3379" s="7" t="n">
        <v>66246</v>
      </c>
      <c r="D3379" s="7" t="n">
        <v>73564</v>
      </c>
      <c r="E3379" s="8" t="n">
        <v>37915</v>
      </c>
      <c r="F3379" s="7" t="n">
        <v>5</v>
      </c>
      <c r="G3379" s="7" t="inlineStr">
        <is>
          <t>This is fantastic.  I added 2 crushed garlic cloves,.  Lots of flavour and easy to make.  I might add oregano next time, but my dh thinks it is fine the way it is.  Kids loved it.</t>
        </is>
      </c>
    </row>
    <row r="3380">
      <c r="A3380" s="7" t="n">
        <v>13835</v>
      </c>
      <c r="B3380" s="7" t="n">
        <v>740700</v>
      </c>
      <c r="C3380" s="7" t="n">
        <v>453331</v>
      </c>
      <c r="D3380" s="7" t="n">
        <v>118545</v>
      </c>
      <c r="E3380" s="8" t="n">
        <v>39133</v>
      </c>
      <c r="F3380" s="7" t="n">
        <v>4</v>
      </c>
      <c r="G3380" s="7" t="inlineStr">
        <is>
          <t>Excellent Pudding, it only took about 15-18 minutes to cook at 350.  I too only used 3 ounces of sugar in the sauce.  To make it light fat free half and half.  My kids said it tasted like pancakes.  Great the next day, it is very rich.  Oh and I only had peach preserves and it tasted great.</t>
        </is>
      </c>
    </row>
    <row r="3381">
      <c r="A3381" s="7" t="n">
        <v>65645</v>
      </c>
      <c r="B3381" s="7" t="n">
        <v>843138</v>
      </c>
      <c r="C3381" s="7" t="n">
        <v>247405</v>
      </c>
      <c r="D3381" s="7" t="n">
        <v>450283</v>
      </c>
      <c r="E3381" s="8" t="n">
        <v>40701</v>
      </c>
      <c r="F3381" s="7" t="n">
        <v>5</v>
      </c>
      <c r="G3381" s="7" t="inlineStr">
        <is>
          <t>These were fabulous!  I did try to lighten them up, though.  I used 4 mushrooms for the same amount of cheese.  I only used 2 tablespoons of olive oil, and I used teriyaki sauce instead of soy sauce.  We gobbled them up with dilled cucumber spears and vegetable soup.  Next time I will try adding chopped tomatoes and sauteed onions under the cheese.  Thank you BakinBaby.</t>
        </is>
      </c>
    </row>
    <row r="3382" ht="300" customHeight="1">
      <c r="A3382" s="7" t="n">
        <v>111791</v>
      </c>
      <c r="B3382" s="7" t="n">
        <v>450877</v>
      </c>
      <c r="C3382" s="7" t="n">
        <v>124249</v>
      </c>
      <c r="D3382" s="7" t="n">
        <v>89407</v>
      </c>
      <c r="E3382" s="8" t="n">
        <v>38924</v>
      </c>
      <c r="F3382" s="7" t="n">
        <v>5</v>
      </c>
      <c r="G3382" s="9" t="inlineStr">
        <is>
          <t>A very nice mix. I used it to make Chai Smoothie #150956. We also enjoy it as a hot tea. It's a keeper. _x000D_
_x000D_
Thanks Joanie Grow. _x000D_
_x000D_
Bullwinkle.</t>
        </is>
      </c>
    </row>
    <row r="3383">
      <c r="A3383" s="7" t="n">
        <v>51713</v>
      </c>
      <c r="B3383" s="7" t="n">
        <v>714635</v>
      </c>
      <c r="C3383" s="7" t="n">
        <v>372186</v>
      </c>
      <c r="D3383" s="7" t="n">
        <v>331846</v>
      </c>
      <c r="E3383" s="8" t="n">
        <v>39764</v>
      </c>
      <c r="F3383" s="7" t="n">
        <v>5</v>
      </c>
      <c r="G3383" s="7" t="inlineStr">
        <is>
          <t>I am not a crisp expert, but my dinner guests and family all thought this dessert was lovely. The dried cranberries lent a really nice touch. note: it took me a while to peel, core, and cut all the apples. so please give yourself enough time.</t>
        </is>
      </c>
    </row>
    <row r="3384">
      <c r="A3384" s="7" t="n">
        <v>36479</v>
      </c>
      <c r="B3384" s="7" t="n">
        <v>591962</v>
      </c>
      <c r="C3384" s="7" t="n">
        <v>192581</v>
      </c>
      <c r="D3384" s="7" t="n">
        <v>12502</v>
      </c>
      <c r="E3384" s="8" t="n">
        <v>39478</v>
      </c>
      <c r="F3384" s="7" t="n">
        <v>5</v>
      </c>
      <c r="G3384" s="7" t="inlineStr">
        <is>
          <t>Even though this recipe didn't include any herbs and spices, we found it exceptionally tasty.  We omitted the okra and instead of stew meat we used a meat substitute (since we are vegetarians).  We used V-8 for the tomato juice.  This recipe is very good for you.  Thanks Elizabeth.</t>
        </is>
      </c>
    </row>
    <row r="3385">
      <c r="A3385" t="n">
        <v>91154</v>
      </c>
      <c r="B3385" t="n">
        <v>482410</v>
      </c>
      <c r="C3385" t="n">
        <v>183057</v>
      </c>
      <c r="D3385" t="n">
        <v>240331</v>
      </c>
      <c r="E3385" s="1" t="n">
        <v>39278</v>
      </c>
      <c r="F3385" t="n">
        <v>4</v>
      </c>
      <c r="G3385" t="inlineStr">
        <is>
          <t>I made this for dinner last night as I had lots of Vegemite on hand and pork loin. In the future, I would double the sauce (we're big sauce fans) and not bother with the Vegemite on the noodles~ just butter them. I doubled the tomato paste and vegemite in the sauce (as compared to the sour cream) and found it a better and more savory sauce. We'll definitely be making this again!</t>
        </is>
      </c>
    </row>
    <row r="3386">
      <c r="A3386" s="7" t="n">
        <v>18351</v>
      </c>
      <c r="B3386" s="7" t="n">
        <v>924251</v>
      </c>
      <c r="C3386" s="7" t="n">
        <v>88099</v>
      </c>
      <c r="D3386" s="7" t="n">
        <v>85557</v>
      </c>
      <c r="E3386" s="8" t="n">
        <v>38878</v>
      </c>
      <c r="F3386" s="7" t="n">
        <v>5</v>
      </c>
      <c r="G3386" s="7" t="inlineStr">
        <is>
          <t>JQ this was excellent.  I used a pork tenderloin and cut into 1 inch slices and it came out fork tender and so juicy.  Loved the spicy taste of the Rotel with this dish.  Thanks for a keeper.</t>
        </is>
      </c>
    </row>
    <row r="3387">
      <c r="A3387" s="7" t="n">
        <v>33316</v>
      </c>
      <c r="B3387" s="7" t="n">
        <v>840951</v>
      </c>
      <c r="C3387" s="7" t="n">
        <v>420301</v>
      </c>
      <c r="D3387" s="7" t="n">
        <v>37428</v>
      </c>
      <c r="E3387" s="8" t="n">
        <v>39349</v>
      </c>
      <c r="F3387" s="7" t="n">
        <v>4</v>
      </c>
      <c r="G3387" s="7" t="inlineStr">
        <is>
          <t>I also used sugar free jello (mixed berry flavor) and fat free yogurt.  I used peaches, pears, and bananas (all of my kids' favorites).  The bananas did not keep well though and I would not use them again.  I made a second batch without fruit - still a nice change from plain jello.</t>
        </is>
      </c>
    </row>
    <row r="3388">
      <c r="A3388" s="7" t="n">
        <v>87475</v>
      </c>
      <c r="B3388" s="7" t="n">
        <v>631666</v>
      </c>
      <c r="C3388" s="7" t="n">
        <v>140443</v>
      </c>
      <c r="D3388" s="7" t="n">
        <v>12514</v>
      </c>
      <c r="E3388" s="8" t="n">
        <v>38113</v>
      </c>
      <c r="F3388" s="7" t="n">
        <v>5</v>
      </c>
      <c r="G3388" s="7" t="inlineStr">
        <is>
          <t>excellent eating! i cooked it for my husband last night and he loved it! great for all ages, fast and easy to cook!</t>
        </is>
      </c>
    </row>
    <row r="3389">
      <c r="A3389" s="7" t="n">
        <v>82466</v>
      </c>
      <c r="B3389" s="7" t="n">
        <v>429799</v>
      </c>
      <c r="C3389" s="7" t="n">
        <v>5060</v>
      </c>
      <c r="D3389" s="7" t="n">
        <v>18400</v>
      </c>
      <c r="E3389" s="8" t="n">
        <v>37292</v>
      </c>
      <c r="F3389" s="7" t="n">
        <v>4</v>
      </c>
      <c r="G3389" s="7" t="inlineStr">
        <is>
          <t>These went very nicely with Erin's meatloaf for supper. thanks Miller for a good one! I used white wine vinegar and canned, rinsed and well drained, whole green beans, no fresh around right now.</t>
        </is>
      </c>
    </row>
    <row r="3390">
      <c r="A3390" s="7" t="n">
        <v>39667</v>
      </c>
      <c r="B3390" s="7" t="n">
        <v>65330</v>
      </c>
      <c r="C3390" s="7" t="n">
        <v>1868625</v>
      </c>
      <c r="D3390" s="7" t="n">
        <v>402156</v>
      </c>
      <c r="E3390" s="8" t="n">
        <v>40630</v>
      </c>
      <c r="F3390" s="7" t="n">
        <v>5</v>
      </c>
      <c r="G3390" s="7" t="inlineStr">
        <is>
          <t>Fantastic!  This is my first time using a pressure cooker &amp; it was the perfect recipe.  I can't wait to do more.  It was fast, easy &amp; delicious.</t>
        </is>
      </c>
    </row>
    <row r="3391">
      <c r="A3391" s="7" t="n">
        <v>57507</v>
      </c>
      <c r="B3391" s="7" t="n">
        <v>750431</v>
      </c>
      <c r="C3391" s="7" t="n">
        <v>361931</v>
      </c>
      <c r="D3391" s="7" t="n">
        <v>241042</v>
      </c>
      <c r="E3391" s="8" t="n">
        <v>39969</v>
      </c>
      <c r="F3391" s="7" t="n">
        <v>5</v>
      </c>
      <c r="G3391" s="7" t="inlineStr">
        <is>
          <t>These were good.  I used chicken broth to thin the cream sauce out just a bit, and sauteed the onions and green chilies before adding them into the chicken mixture (rather than the sauce mixture).  Used more cheese than called for (can't have enough cheese!) and these turned out great.  Even better the next day.  Thanks!</t>
        </is>
      </c>
    </row>
    <row r="3392">
      <c r="A3392" s="7" t="n">
        <v>81085</v>
      </c>
      <c r="B3392" s="7" t="n">
        <v>716452</v>
      </c>
      <c r="C3392" s="7" t="n">
        <v>15521</v>
      </c>
      <c r="D3392" s="7" t="n">
        <v>366602</v>
      </c>
      <c r="E3392" s="8" t="n">
        <v>40549</v>
      </c>
      <c r="F3392" s="7" t="n">
        <v>4</v>
      </c>
      <c r="G3392" s="7" t="inlineStr">
        <is>
          <t>Yummy Salad!  The mushrooms smelled so good while they were cooking.  I made this for my bunco group and everyone walking in the door commented how good it smelled.  I omitted the red onion and forgot the parmesan cheese.  This is a wonderful, unique salad that we enjoyed.</t>
        </is>
      </c>
    </row>
    <row r="3393">
      <c r="A3393" s="7" t="n">
        <v>78919</v>
      </c>
      <c r="B3393" s="7" t="n">
        <v>1074646</v>
      </c>
      <c r="C3393" s="7" t="n">
        <v>1909617</v>
      </c>
      <c r="D3393" s="7" t="n">
        <v>135350</v>
      </c>
      <c r="E3393" s="8" t="n">
        <v>40678</v>
      </c>
      <c r="F3393" s="7" t="n">
        <v>5</v>
      </c>
      <c r="G3393" s="7" t="inlineStr">
        <is>
          <t>I lost my orginal recipe so i turned this one at the last minute.  So good!  But i used cheddar and colby.  I also added 1/2 teas. more pepper, and used a coarse pepper.  Makes a difference.  I also added 2 teas. of tabasco for a little kick.  Topped with shredded parmesean instead fo breadcrumbs, way good!!</t>
        </is>
      </c>
    </row>
    <row r="3394">
      <c r="A3394" s="7" t="n">
        <v>111951</v>
      </c>
      <c r="B3394" s="7" t="n">
        <v>680305</v>
      </c>
      <c r="C3394" s="7" t="n">
        <v>1157312</v>
      </c>
      <c r="D3394" s="7" t="n">
        <v>437713</v>
      </c>
      <c r="E3394" s="8" t="n">
        <v>40731</v>
      </c>
      <c r="F3394" s="7" t="n">
        <v>4</v>
      </c>
      <c r="G3394" s="7" t="inlineStr">
        <is>
          <t>This was easy and made with ingredients I had on hand, which I always love.  The turmeric added just enough color to make it pretty.  The cardamom was a touch heavy for my personal taste.  I used fresh spearmint from my plant.  I think if I made this again I would reduce the cardamom and add some mango...because if I'm doing a lassi why not make it a mango lassi?   ;)</t>
        </is>
      </c>
    </row>
    <row r="3395" ht="405" customHeight="1">
      <c r="A3395" s="7" t="n">
        <v>117804</v>
      </c>
      <c r="B3395" s="7" t="n">
        <v>703529</v>
      </c>
      <c r="C3395" s="7" t="n">
        <v>60231</v>
      </c>
      <c r="D3395" s="7" t="n">
        <v>178037</v>
      </c>
      <c r="E3395" s="8" t="n">
        <v>39115</v>
      </c>
      <c r="F3395" s="7" t="n">
        <v>5</v>
      </c>
      <c r="G3395" s="9" t="inlineStr">
        <is>
          <t>I'm giving this 5 stars because my daughter and I loved it. Husband was so-so, but liked it. It's a good easy side dish that's much nicer than a packaged rice mix. I'll be using this a lot._x000D_
Thanks!</t>
        </is>
      </c>
    </row>
    <row r="3396">
      <c r="A3396" s="7" t="n">
        <v>93563</v>
      </c>
      <c r="B3396" s="7" t="n">
        <v>442871</v>
      </c>
      <c r="C3396" s="7" t="n">
        <v>93446</v>
      </c>
      <c r="D3396" s="7" t="n">
        <v>269826</v>
      </c>
      <c r="E3396" s="8" t="n">
        <v>40923</v>
      </c>
      <c r="F3396" s="7" t="n">
        <v>4</v>
      </c>
      <c r="G3396" s="7" t="inlineStr">
        <is>
          <t>Instead of making individual small pies, I made one large one using a frozen pie shell, since I had a couple in the freezer.  If this is the recipe that appeared in BBC Good Food, which I suspect it is, I would suggest adding a bit of extra plain flour to the crumble mixture.  I made it as written and it had the consistency of soup, not crumble, hence the four star rating.  I added a couple of tablespoons of flour to the mixture and it was fine afterwards.  Overall, a lovely recipe!</t>
        </is>
      </c>
    </row>
    <row r="3397" ht="409.5" customHeight="1">
      <c r="A3397" s="7" t="n">
        <v>49290</v>
      </c>
      <c r="B3397" s="7" t="n">
        <v>259179</v>
      </c>
      <c r="C3397" s="7" t="n">
        <v>1227804</v>
      </c>
      <c r="D3397" s="7" t="n">
        <v>188024</v>
      </c>
      <c r="E3397" s="8" t="n">
        <v>39908</v>
      </c>
      <c r="F3397" s="7" t="n">
        <v>4</v>
      </c>
      <c r="G3397" s="9" t="inlineStr">
        <is>
          <t>It went over really well.
I added a bit (~1/3 cup) of flour to the cheese and used Swiss instead of cheddar out of personal preference; omitted the seasoning upon advice from other comments.
Pairs very well with chenin blanc.
Leftovers, if any, make a good cold breakfast the next morning.</t>
        </is>
      </c>
    </row>
    <row r="3398">
      <c r="A3398" s="7" t="n">
        <v>15082</v>
      </c>
      <c r="B3398" s="7" t="n">
        <v>569245</v>
      </c>
      <c r="C3398" s="7" t="n">
        <v>1307080</v>
      </c>
      <c r="D3398" s="7" t="n">
        <v>372087</v>
      </c>
      <c r="E3398" s="8" t="n">
        <v>40011</v>
      </c>
      <c r="F3398" s="7" t="n">
        <v>5</v>
      </c>
      <c r="G3398" s="7" t="inlineStr">
        <is>
          <t>If u want you could put about 2 tablespoons of sugar &amp; 2 to 3 tablespoons lemon juice brush over hot cookies</t>
        </is>
      </c>
    </row>
    <row r="3399">
      <c r="A3399" s="7" t="n">
        <v>90105</v>
      </c>
      <c r="B3399" s="7" t="n">
        <v>1068364</v>
      </c>
      <c r="C3399" s="7" t="n">
        <v>2316762</v>
      </c>
      <c r="D3399" s="7" t="n">
        <v>32142</v>
      </c>
      <c r="E3399" s="8" t="n">
        <v>42152</v>
      </c>
      <c r="F3399" s="7" t="n">
        <v>5</v>
      </c>
      <c r="G3399" s="7" t="inlineStr">
        <is>
          <t>Easy and quick.  I used leftover cooked red potatoes and corn from the cobb.  I also added a little bacon.  Subbed gluten free flour too.</t>
        </is>
      </c>
    </row>
    <row r="3400">
      <c r="A3400" t="n">
        <v>57506</v>
      </c>
      <c r="B3400" t="n">
        <v>869044</v>
      </c>
      <c r="C3400" t="n">
        <v>332418</v>
      </c>
      <c r="D3400" t="n">
        <v>332323</v>
      </c>
      <c r="E3400" s="1" t="n">
        <v>40922</v>
      </c>
      <c r="F3400" t="n">
        <v>5</v>
      </c>
      <c r="G3400" t="inlineStr">
        <is>
          <t>This was my first time Making any fudge, and it turned out great! Very easy to make, and the instructions were very good.</t>
        </is>
      </c>
    </row>
    <row r="3401">
      <c r="A3401" s="7" t="n">
        <v>112016</v>
      </c>
      <c r="B3401" s="7" t="n">
        <v>497094</v>
      </c>
      <c r="C3401" s="7" t="n">
        <v>187281</v>
      </c>
      <c r="D3401" s="7" t="n">
        <v>52558</v>
      </c>
      <c r="E3401" s="8" t="n">
        <v>38891</v>
      </c>
      <c r="F3401" s="7" t="n">
        <v>5</v>
      </c>
      <c r="G3401" s="7" t="inlineStr">
        <is>
          <t>Thank you! Thank you! I have been looking for this recipe.  And because there are so many pound cake recipes out there it is hard to sift through them all.  This makes the best pound cake ever.  I will post my picture soon.</t>
        </is>
      </c>
    </row>
    <row r="3402">
      <c r="A3402" s="7" t="n">
        <v>85484</v>
      </c>
      <c r="B3402" s="7" t="n">
        <v>803665</v>
      </c>
      <c r="C3402" s="7" t="n">
        <v>296098</v>
      </c>
      <c r="D3402" s="7" t="n">
        <v>89439</v>
      </c>
      <c r="E3402" s="8" t="n">
        <v>41223</v>
      </c>
      <c r="F3402" s="7" t="n">
        <v>5</v>
      </c>
      <c r="G3402" s="7" t="inlineStr">
        <is>
          <t>Both my husband and I thought this was DELICIOUS!!  Perfect for two.  I did not use the peas and served it on spaghetti squash instead of pasta.  So easy but so good!!</t>
        </is>
      </c>
    </row>
    <row r="3403">
      <c r="A3403" s="7" t="n">
        <v>120871</v>
      </c>
      <c r="B3403" s="7" t="n">
        <v>722048</v>
      </c>
      <c r="C3403" s="7" t="n">
        <v>2225297</v>
      </c>
      <c r="D3403" s="7" t="n">
        <v>477477</v>
      </c>
      <c r="E3403" s="8" t="n">
        <v>41841</v>
      </c>
      <c r="F3403" s="7" t="n">
        <v>5</v>
      </c>
      <c r="G3403" s="7" t="inlineStr">
        <is>
          <t>I didn&amp;#039;t have any mushrooms, so I added some peas. We really enjoyed the rice.</t>
        </is>
      </c>
    </row>
    <row r="3404">
      <c r="A3404" s="7" t="n">
        <v>84916</v>
      </c>
      <c r="B3404" s="7" t="n">
        <v>662894</v>
      </c>
      <c r="C3404" s="7" t="n">
        <v>522240</v>
      </c>
      <c r="D3404" s="7" t="n">
        <v>124377</v>
      </c>
      <c r="E3404" s="8" t="n">
        <v>39995</v>
      </c>
      <c r="F3404" s="7" t="n">
        <v>4</v>
      </c>
      <c r="G3404" s="7" t="inlineStr">
        <is>
          <t>Great tasting and very light and refreshing.  Quick and easy to make too!  Being the lemon-loving family that we are, I kept adding more and more lemon to the recipe...We used this as a dip for pita bread along with Syrian Beef Kabobs  http://www.recipezaar.com/Syrian-Beef-Kabobs-128047...Yummy!</t>
        </is>
      </c>
    </row>
    <row r="3405" ht="409.5" customHeight="1">
      <c r="A3405" s="7" t="n">
        <v>119499</v>
      </c>
      <c r="B3405" s="7" t="n">
        <v>1068274</v>
      </c>
      <c r="C3405" s="7" t="n">
        <v>540773</v>
      </c>
      <c r="D3405" s="7" t="n">
        <v>32142</v>
      </c>
      <c r="E3405" s="8" t="n">
        <v>39282</v>
      </c>
      <c r="F3405" s="7" t="n">
        <v>5</v>
      </c>
      <c r="G3405" s="9" t="inlineStr">
        <is>
          <t>The kids loved this! It was easy and fast. A real crowd pleaser and everyone was asking for seconds!_x000D_
Added cheese on top, and a few bacon bits (if you want)they kids like it this way._x000D_
If you add bacon bits to each ind. bowl so they don't get soggy.</t>
        </is>
      </c>
    </row>
    <row r="3406">
      <c r="A3406" s="7" t="n">
        <v>81682</v>
      </c>
      <c r="B3406" s="7" t="n">
        <v>745509</v>
      </c>
      <c r="C3406" s="7" t="n">
        <v>198154</v>
      </c>
      <c r="D3406" s="7" t="n">
        <v>250420</v>
      </c>
      <c r="E3406" s="8" t="n">
        <v>41087</v>
      </c>
      <c r="F3406" s="7" t="n">
        <v>3</v>
      </c>
      <c r="G3406" s="7" t="inlineStr">
        <is>
          <t>Watch these very closely.  I would suggest checking them at 40 minutes. Mine were over done by 45.  Like another reviewer, we felt the texture was odd. I did use the optional baking powder and 1 cup of mini chips.</t>
        </is>
      </c>
    </row>
    <row r="3407">
      <c r="A3407" s="7" t="n">
        <v>47958</v>
      </c>
      <c r="B3407" s="7" t="n">
        <v>232059</v>
      </c>
      <c r="C3407" s="7" t="n">
        <v>1098889</v>
      </c>
      <c r="D3407" s="7" t="n">
        <v>20233</v>
      </c>
      <c r="E3407" s="8" t="n">
        <v>41499</v>
      </c>
      <c r="F3407" s="7" t="n">
        <v>5</v>
      </c>
      <c r="G3407" s="7" t="inlineStr">
        <is>
          <t>Such a simple recipe, but very tasty. I made it for an extended family gathering and received lots of compliments. Might try it some time with an Oreo crust too.</t>
        </is>
      </c>
    </row>
    <row r="3408">
      <c r="A3408" s="7" t="n">
        <v>79312</v>
      </c>
      <c r="B3408" s="7" t="n">
        <v>9939</v>
      </c>
      <c r="C3408" s="7" t="n">
        <v>334010</v>
      </c>
      <c r="D3408" s="7" t="n">
        <v>311491</v>
      </c>
      <c r="E3408" s="8" t="n">
        <v>39671</v>
      </c>
      <c r="F3408" s="7" t="n">
        <v>5</v>
      </c>
      <c r="G3408" s="7" t="inlineStr">
        <is>
          <t>Tasty and delicious! Thank you for sharing.</t>
        </is>
      </c>
    </row>
    <row r="3409">
      <c r="A3409" t="n">
        <v>62314</v>
      </c>
      <c r="B3409" t="n">
        <v>67805</v>
      </c>
      <c r="C3409" t="n">
        <v>262312</v>
      </c>
      <c r="D3409" t="n">
        <v>316694</v>
      </c>
      <c r="E3409" s="1" t="n">
        <v>39686</v>
      </c>
      <c r="F3409" t="n">
        <v>5</v>
      </c>
      <c r="G3409" t="inlineStr">
        <is>
          <t>awesome idea!  i love that it's so easy, and yet the flavors are incredibly rich and bold!  delish as writted...but next time i think i'll add some toasted, chopped pecans on top!!  thanks for the keeper!  i'll be making this during the holidays!</t>
        </is>
      </c>
    </row>
    <row r="3410">
      <c r="A3410" s="7" t="n">
        <v>74543</v>
      </c>
      <c r="B3410" s="7" t="n">
        <v>387431</v>
      </c>
      <c r="C3410" s="7" t="n">
        <v>132764</v>
      </c>
      <c r="D3410" s="7" t="n">
        <v>67166</v>
      </c>
      <c r="E3410" s="8" t="n">
        <v>38431</v>
      </c>
      <c r="F3410" s="7" t="n">
        <v>5</v>
      </c>
      <c r="G3410" s="7" t="inlineStr">
        <is>
          <t>This worked great! I just sliced up some of my corned beef and it was condensed and was so easy to get nice thin pieces off of it! Thank you for sharing this idea.</t>
        </is>
      </c>
    </row>
    <row r="3411">
      <c r="A3411" s="7" t="n">
        <v>116973</v>
      </c>
      <c r="B3411" s="7" t="n">
        <v>135571</v>
      </c>
      <c r="C3411" s="7" t="n">
        <v>353684</v>
      </c>
      <c r="D3411" s="7" t="n">
        <v>106899</v>
      </c>
      <c r="E3411" s="8" t="n">
        <v>39121</v>
      </c>
      <c r="F3411" s="7" t="n">
        <v>5</v>
      </c>
      <c r="G3411" s="7" t="inlineStr">
        <is>
          <t>Perfect! Drinking it as I'm typing this! Yum! Thanks!</t>
        </is>
      </c>
    </row>
    <row r="3412">
      <c r="A3412" s="7" t="n">
        <v>110775</v>
      </c>
      <c r="B3412" s="7" t="n">
        <v>445470</v>
      </c>
      <c r="C3412" s="7" t="n">
        <v>240449</v>
      </c>
      <c r="D3412" s="7" t="n">
        <v>63131</v>
      </c>
      <c r="E3412" s="8" t="n">
        <v>38739</v>
      </c>
      <c r="F3412" s="7" t="n">
        <v>4</v>
      </c>
      <c r="G3412" s="7" t="inlineStr">
        <is>
          <t xml:space="preserve">These are good, I used dried cherries and I just dont think that any fruit tastes good in it for ME. I would make them again without fruit or replace the cranberries with mini chocolate chips. </t>
        </is>
      </c>
    </row>
    <row r="3413" ht="409.5" customHeight="1">
      <c r="A3413" s="7" t="n">
        <v>76961</v>
      </c>
      <c r="B3413" s="7" t="n">
        <v>298678</v>
      </c>
      <c r="C3413" s="7" t="n">
        <v>20480</v>
      </c>
      <c r="D3413" s="7" t="n">
        <v>181723</v>
      </c>
      <c r="E3413" s="8" t="n">
        <v>39383</v>
      </c>
      <c r="F3413" s="7" t="n">
        <v>5</v>
      </c>
      <c r="G3413" s="9" t="inlineStr">
        <is>
          <t>This is a winner.We loved it!_x000D_
I cut it down for 4._x000D_
My little secret...I used my Spaghetti sauce instead of cooking the meat ingredients(I always have some in my freezer.) I saved a lot of time. I also added a layer of cooked spinach.Thanks so much for posting this.I have been wanting to make it for a while.I will be making this again when my children come up;I know they will go for this._x000D_
Sage/Rita</t>
        </is>
      </c>
    </row>
    <row r="3414">
      <c r="A3414" s="7" t="n">
        <v>1262</v>
      </c>
      <c r="B3414" s="7" t="n">
        <v>333764</v>
      </c>
      <c r="C3414" s="7" t="n">
        <v>142911</v>
      </c>
      <c r="D3414" s="7" t="n">
        <v>254407</v>
      </c>
      <c r="E3414" s="8" t="n">
        <v>39435</v>
      </c>
      <c r="F3414" s="7" t="n">
        <v>5</v>
      </c>
      <c r="G3414" s="7" t="inlineStr">
        <is>
          <t>I actually found this recipe in Southern Living.  It is wonderful and everyone asks for seconds!</t>
        </is>
      </c>
    </row>
    <row r="3415">
      <c r="A3415" s="7" t="n">
        <v>53536</v>
      </c>
      <c r="B3415" s="7" t="n">
        <v>657294</v>
      </c>
      <c r="C3415" s="7" t="n">
        <v>669694</v>
      </c>
      <c r="D3415" s="7" t="n">
        <v>27208</v>
      </c>
      <c r="E3415" s="8" t="n">
        <v>40932</v>
      </c>
      <c r="F3415" s="7" t="n">
        <v>5</v>
      </c>
      <c r="G3415" s="7" t="inlineStr">
        <is>
          <t>I used this recipe with stew meat instead of a roast and then boiled egg noodles and stirred those into the stew meat in the crock pot before serving, I did add additional water about 1/2 way through the cooking time.  My family really enjoyed this!  The flavor and meat texture were outstanding! &lt;br/&gt;&lt;br/&gt;I used mixes with the lowest sodium contents that I could find and my family said they didn't think it was too salty. The mixes at my grocery store that I discovered had the lowest sodium were McCormick Zesty Italian Dressing mix, McCormick Home-style Gravy mix, and the Hidden Valley Ranch "Original" Salad Dressing and seasoning mix.  &lt;br/&gt;&lt;br/&gt;Thanks for a great recipe idea yooper!</t>
        </is>
      </c>
    </row>
    <row r="3416">
      <c r="A3416" s="7" t="n">
        <v>19122</v>
      </c>
      <c r="B3416" s="7" t="n">
        <v>117237</v>
      </c>
      <c r="C3416" s="7" t="n">
        <v>711660</v>
      </c>
      <c r="D3416" s="7" t="n">
        <v>185188</v>
      </c>
      <c r="E3416" s="8" t="n">
        <v>39813</v>
      </c>
      <c r="F3416" s="7" t="n">
        <v>5</v>
      </c>
      <c r="G3416" s="7" t="inlineStr">
        <is>
          <t>I thought this was excellent.  The chicken had awesome flavor.  Super easy to make!</t>
        </is>
      </c>
    </row>
    <row r="3417">
      <c r="A3417" s="7" t="n">
        <v>87967</v>
      </c>
      <c r="B3417" s="7" t="n">
        <v>918833</v>
      </c>
      <c r="C3417" s="7" t="n">
        <v>2123645</v>
      </c>
      <c r="D3417" s="7" t="n">
        <v>500090</v>
      </c>
      <c r="E3417" s="8" t="n">
        <v>41925</v>
      </c>
      <c r="F3417" s="7" t="n">
        <v>4</v>
      </c>
      <c r="G3417" s="7" t="inlineStr">
        <is>
          <t>Really good recipe! We thought it was a little too salty, so I would recommend cutting back on the ranch mix and using unsalted butter.</t>
        </is>
      </c>
    </row>
    <row r="3418">
      <c r="A3418" t="n">
        <v>21904</v>
      </c>
      <c r="B3418" t="n">
        <v>133427</v>
      </c>
      <c r="C3418" t="n">
        <v>2001214827</v>
      </c>
      <c r="D3418" t="n">
        <v>24153</v>
      </c>
      <c r="E3418" s="1" t="n">
        <v>43120</v>
      </c>
      <c r="F3418" t="n">
        <v>5</v>
      </c>
      <c r="G3418" t="inlineStr">
        <is>
          <t>I had a jar of peanut butter that started to taste a little 'old'. Googled recipes using a lot of peanut butter, found this one. Actually doubled the recipe, used half brown and half white sugars. Used ice-water chilled tablespoons to make balls. Lightly flattened. Cooled for 20 minutes to make sure they were firm. Very Yummy!</t>
        </is>
      </c>
    </row>
    <row r="3419">
      <c r="A3419" s="7" t="n">
        <v>13019</v>
      </c>
      <c r="B3419" s="7" t="n">
        <v>1087411</v>
      </c>
      <c r="C3419" s="7" t="n">
        <v>251944</v>
      </c>
      <c r="D3419" s="7" t="n">
        <v>95534</v>
      </c>
      <c r="E3419" s="8" t="n">
        <v>39286</v>
      </c>
      <c r="F3419" s="7" t="n">
        <v>5</v>
      </c>
      <c r="G3419" s="7" t="inlineStr">
        <is>
          <t>We had a "Chicago Night" with my dinner club and I made this recipe.  The beef was amazing!  I doubled the gravy and shaved it very thin.  We had some left over  and my famly loved it too! I also loved that most of the work is done way before the guests arrive. Thanks for the sharing a great recipe.</t>
        </is>
      </c>
    </row>
    <row r="3420">
      <c r="A3420" s="7" t="n">
        <v>112638</v>
      </c>
      <c r="B3420" s="7" t="n">
        <v>818385</v>
      </c>
      <c r="C3420" s="7" t="n">
        <v>1342509</v>
      </c>
      <c r="D3420" s="7" t="n">
        <v>313059</v>
      </c>
      <c r="E3420" s="8" t="n">
        <v>40030</v>
      </c>
      <c r="F3420" s="7" t="n">
        <v>5</v>
      </c>
      <c r="G3420" s="7" t="inlineStr">
        <is>
          <t>I rarely leave reviews, but had to about this bread.  I even joined the site just so I could.  This was one of the easiest bread recipes I have ever made.  It was so good.  We ate with extended family the night I made it  and everyone ate the loaves before they even had time to cool.  The only changes I made were to use regular All Purpose flour.  (Didn't have bread flour) and I rubbed the tops with a stick of melted butter after they came out of the oven.  Wonderful.  Will make again and again and again.</t>
        </is>
      </c>
    </row>
    <row r="3421">
      <c r="A3421" s="7" t="n">
        <v>27103</v>
      </c>
      <c r="B3421" s="7" t="n">
        <v>232957</v>
      </c>
      <c r="C3421" s="7" t="n">
        <v>222696</v>
      </c>
      <c r="D3421" s="7" t="n">
        <v>170505</v>
      </c>
      <c r="E3421" s="8" t="n">
        <v>39093</v>
      </c>
      <c r="F3421" s="7" t="n">
        <v>5</v>
      </c>
      <c r="G3421" s="7" t="inlineStr">
        <is>
          <t>This is super quick, ridiculously easy, and absolutely delicious! I used Almond Breeze Unsweetened Vanilla almond milk (40 calories per 8 oz!) and enjoyed this with Cary's sugar free maple syrup. I didn't even use the Splenda in the batter, and it was plenty sweet. Yum! Thanks for such a wonderful, healthy substitute for my favorite breakfast food!</t>
        </is>
      </c>
    </row>
    <row r="3422">
      <c r="A3422" s="7" t="n">
        <v>108809</v>
      </c>
      <c r="B3422" s="7" t="n">
        <v>722113</v>
      </c>
      <c r="C3422" s="7" t="n">
        <v>386585</v>
      </c>
      <c r="D3422" s="7" t="n">
        <v>343257</v>
      </c>
      <c r="E3422" s="8" t="n">
        <v>41269</v>
      </c>
      <c r="F3422" s="7" t="n">
        <v>5</v>
      </c>
      <c r="G3422" s="7" t="inlineStr">
        <is>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is>
      </c>
    </row>
    <row r="3423">
      <c r="A3423" s="7" t="n">
        <v>45454</v>
      </c>
      <c r="B3423" s="7" t="n">
        <v>355280</v>
      </c>
      <c r="C3423" s="7" t="n">
        <v>818537</v>
      </c>
      <c r="D3423" s="7" t="n">
        <v>92096</v>
      </c>
      <c r="E3423" s="8" t="n">
        <v>41287</v>
      </c>
      <c r="F3423" s="7" t="n">
        <v>0</v>
      </c>
      <c r="G3423" s="7" t="inlineStr">
        <is>
          <t>I wanted to add my experience regarding how you saut? the onion and garlic in the same pan and then adding sugar to the recipe.  Here is what I%u2019ve learned from my own cooking experience and from reading hundreds of recipes.  Many recipes tell you to saut? the onions in the same pan in which you make your sauce as it adds more flavor to the dish.  The recipe as posted says to use olive oil and if you have that in the bottom of your pan, you are not likely to burn the onions unless you are saut?ing them at too high a heat.  Any sticky bits should then be scraped up as you are adding the other wet ingredients (tomatoes).  This only adds flavor, unless you%u2019ve burned them.  So cook slowly only until onions soften.  &lt;br/&gt;As for sugar being added to the recipe, I have two things to say.   The poster of this recipe, %u2018InMemoryofBrats%u2019, says that this recipe was given to her father from a lady from Italy.  Most people from Italy didn%u2019t use canned (from the store) tomatoes;   they would have used fresh or something they canned themselves.  Tomatoes and the sweetness of those tomatoes vary from season to season and sometimes from fruit to fruit on the same bush.  To avoid bitterness that some tomatoes have, you can add sugar to make up for not having a sweet tomato.    So, check your sauce and if you feel it%u2019s too bitter, add some sugar, a little at a time.  Of course then there are some people that just love a sweeter sauce and for them, the two tablespoons of sugar may be needed.   I just wanted to clarify this to new cooks and hope it helps someone.</t>
        </is>
      </c>
    </row>
    <row r="3424">
      <c r="A3424" s="7" t="n">
        <v>58411</v>
      </c>
      <c r="B3424" s="7" t="n">
        <v>864686</v>
      </c>
      <c r="C3424" s="7" t="n">
        <v>107504</v>
      </c>
      <c r="D3424" s="7" t="n">
        <v>14484</v>
      </c>
      <c r="E3424" s="8" t="n">
        <v>37907</v>
      </c>
      <c r="F3424" s="7" t="n">
        <v>3</v>
      </c>
      <c r="G3424" s="7" t="inlineStr">
        <is>
          <t>Just right for thanksgiving dinner.</t>
        </is>
      </c>
    </row>
    <row r="3425">
      <c r="A3425" s="7" t="n">
        <v>19319</v>
      </c>
      <c r="B3425" s="7" t="n">
        <v>763742</v>
      </c>
      <c r="C3425" s="7" t="n">
        <v>50969</v>
      </c>
      <c r="D3425" s="7" t="n">
        <v>30921</v>
      </c>
      <c r="E3425" s="8" t="n">
        <v>41174</v>
      </c>
      <c r="F3425" s="7" t="n">
        <v>4</v>
      </c>
      <c r="G3425" s="7" t="inlineStr">
        <is>
          <t>I made this recipe on 9/21/12 for the " Bargain Basement Tag Game ". As the meat,onions, and garlic were cooking, a bit of seasoning salt and ground black pepper were added while the meat was cooking. The amounts for the " Seasoning Mixture " were changed just a bit due to mine and my SO's tastes,the Worcestershire sauce was reduced to 1 Tblsp. and 1 teaspoon of cayenne pepper was used. The amount of celery salt was replaced with an equal amount of celery powder.  I didn't have the 28oz.can of tomatoes, so 1 14.5 ounce can of chili seasoned tomatoes and 1 14.5 ounce can of diced tomatoes that had green peppers  &amp; onions were used.Also, I didn't have chili beans, so I used the same size can of red kidney beans.Since I used a can of tomatoes that had green peppers in it, the diced green peppers were omitted. I think that when this is made again, as a personal preference I'm going to cook the celery along with the meat. Thanks so much for posting and, " Keep Smiling :) "</t>
        </is>
      </c>
    </row>
    <row r="3426">
      <c r="A3426" s="7" t="n">
        <v>26426</v>
      </c>
      <c r="B3426" s="7" t="n">
        <v>205544</v>
      </c>
      <c r="C3426" s="7" t="n">
        <v>4439</v>
      </c>
      <c r="D3426" s="7" t="n">
        <v>52262</v>
      </c>
      <c r="E3426" s="8" t="n">
        <v>41591</v>
      </c>
      <c r="F3426" s="7" t="n">
        <v>5</v>
      </c>
      <c r="G3426" s="7" t="inlineStr">
        <is>
          <t>I wish I could thank Pets&amp;#039;s R&amp;#039;us for her wonderful recipe, but she passed away on 7/14/11, so sad. This recipe is delicious, I love green tomatoes and have trouble finding them commercially in the area where I live, but we visited a friend who had a ginormous vegetable garden full of green tomatoes that he did not want and I went home with at least 5 pounds. The recipe is easy to make and full of wonderful flavors, rich with spices and garlic, yum. A true keeper, whenever I can find some green tomatoes.</t>
        </is>
      </c>
    </row>
    <row r="3427">
      <c r="A3427" s="7" t="n">
        <v>113466</v>
      </c>
      <c r="B3427" s="7" t="n">
        <v>94791</v>
      </c>
      <c r="C3427" s="7" t="n">
        <v>461834</v>
      </c>
      <c r="D3427" s="7" t="n">
        <v>361518</v>
      </c>
      <c r="E3427" s="8" t="n">
        <v>41073</v>
      </c>
      <c r="F3427" s="7" t="n">
        <v>5</v>
      </c>
      <c r="G3427" s="7" t="inlineStr">
        <is>
          <t>Yummy!!!  I love just about anything with fresh lemon juice and this was delicious!!!  I made this using chicken and served it with pasta, green beans and garlic rolls and the whole family loved it.   I felt the amount of lemon juice was just perfect for my tastes.   Thanks so much for sharing the recipe.  Made for Holiday Tag Game.</t>
        </is>
      </c>
    </row>
    <row r="3428">
      <c r="A3428" t="n">
        <v>48436</v>
      </c>
      <c r="B3428" t="n">
        <v>133395</v>
      </c>
      <c r="C3428" t="n">
        <v>61493</v>
      </c>
      <c r="D3428" t="n">
        <v>24153</v>
      </c>
      <c r="E3428" s="1" t="n">
        <v>37648</v>
      </c>
      <c r="F3428" t="n">
        <v>5</v>
      </c>
      <c r="G3428" t="inlineStr">
        <is>
          <t>This couldn't be easier!  And, everybody loves the results.  May try to add peanuts for a slight change, but these are great just as they are.</t>
        </is>
      </c>
    </row>
    <row r="3429">
      <c r="A3429" s="7" t="n">
        <v>87656</v>
      </c>
      <c r="B3429" s="7" t="n">
        <v>589672</v>
      </c>
      <c r="C3429" s="7" t="n">
        <v>60124</v>
      </c>
      <c r="D3429" s="7" t="n">
        <v>440046</v>
      </c>
      <c r="E3429" s="8" t="n">
        <v>41064</v>
      </c>
      <c r="F3429" s="7" t="n">
        <v>5</v>
      </c>
      <c r="G3429" s="7" t="inlineStr">
        <is>
          <t>these are really good! a little denser then the other muffins I make, but very tasty! I made one batch of large muffins, and then a batch of mini's. I cut down the choc chips in the mini's, and I would also cut the chips in the large ones next time. I used orange essence, as suggested. I think I will also try them with white chips. Thanks for a great recipe Loof. made for Aussie swap June 2012.</t>
        </is>
      </c>
    </row>
    <row r="3430">
      <c r="A3430" s="7" t="n">
        <v>83148</v>
      </c>
      <c r="B3430" s="7" t="n">
        <v>1104464</v>
      </c>
      <c r="C3430" s="7" t="n">
        <v>254614</v>
      </c>
      <c r="D3430" s="7" t="n">
        <v>282914</v>
      </c>
      <c r="E3430" s="8" t="n">
        <v>39500</v>
      </c>
      <c r="F3430" s="7" t="n">
        <v>3</v>
      </c>
      <c r="G3430" s="7" t="inlineStr">
        <is>
          <t>3 stars!I would add more taste to the dish, ie some italian seasoning while rice is cooking or sprinkle the wine, a little cayenne pepper before the cheese is melting or perhaps a dash or two of thyme or oregon while the vegies were sauting. This is a good dish, filling and subtle flavor. Thanks for posting. I will tweak some if I make again. Thanks.</t>
        </is>
      </c>
    </row>
    <row r="3431">
      <c r="A3431" s="7" t="n">
        <v>104205</v>
      </c>
      <c r="B3431" s="7" t="n">
        <v>103908</v>
      </c>
      <c r="C3431" s="7" t="n">
        <v>277472</v>
      </c>
      <c r="D3431" s="7" t="n">
        <v>110043</v>
      </c>
      <c r="E3431" s="8" t="n">
        <v>38830</v>
      </c>
      <c r="F3431" s="7" t="n">
        <v>5</v>
      </c>
      <c r="G3431" s="7" t="inlineStr">
        <is>
          <t>A great way to cook spinach!  Quick and easy, and tastes great!</t>
        </is>
      </c>
    </row>
    <row r="3432">
      <c r="A3432" s="7" t="n">
        <v>52891</v>
      </c>
      <c r="B3432" s="7" t="n">
        <v>670796</v>
      </c>
      <c r="C3432" s="7" t="n">
        <v>179456</v>
      </c>
      <c r="D3432" s="7" t="n">
        <v>109941</v>
      </c>
      <c r="E3432" s="8" t="n">
        <v>38422</v>
      </c>
      <c r="F3432" s="7" t="n">
        <v>5</v>
      </c>
      <c r="G3432" s="7" t="inlineStr">
        <is>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is>
      </c>
    </row>
    <row r="3433">
      <c r="A3433" s="7" t="n">
        <v>57041</v>
      </c>
      <c r="B3433" s="7" t="n">
        <v>723765</v>
      </c>
      <c r="C3433" s="7" t="n">
        <v>2001398887</v>
      </c>
      <c r="D3433" s="7" t="n">
        <v>517370</v>
      </c>
      <c r="E3433" s="8" t="n">
        <v>42785</v>
      </c>
      <c r="F3433" s="7" t="n">
        <v>0</v>
      </c>
      <c r="G3433" s="7" t="inlineStr">
        <is>
          <t>Ah, but how do you get the chicken right?</t>
        </is>
      </c>
    </row>
    <row r="3434">
      <c r="A3434" s="7" t="n">
        <v>78708</v>
      </c>
      <c r="B3434" s="7" t="n">
        <v>800013</v>
      </c>
      <c r="C3434" s="7" t="n">
        <v>542848</v>
      </c>
      <c r="D3434" s="7" t="n">
        <v>90246</v>
      </c>
      <c r="E3434" s="8" t="n">
        <v>39321</v>
      </c>
      <c r="F3434" s="7" t="n">
        <v>5</v>
      </c>
      <c r="G3434" s="7" t="inlineStr">
        <is>
          <t>This is the BEST way to make French Toast for a crowd.  Awesome for holidays.  I made this for my in-laws the first time I met them, and they were practically jumping for joy!  It comes out almost like a bread pudding with the delicious, crunchy praline on top.</t>
        </is>
      </c>
    </row>
    <row r="3435">
      <c r="A3435" s="7" t="n">
        <v>81062</v>
      </c>
      <c r="B3435" s="7" t="n">
        <v>710233</v>
      </c>
      <c r="C3435" s="7" t="n">
        <v>1758902</v>
      </c>
      <c r="D3435" s="7" t="n">
        <v>441700</v>
      </c>
      <c r="E3435" s="8" t="n">
        <v>40524</v>
      </c>
      <c r="F3435" s="7" t="n">
        <v>2</v>
      </c>
      <c r="G3435" s="7" t="inlineStr">
        <is>
          <t>I made this salad for Thanksgiving and it was a HUGE hit. Everyone loved it...even the most jaded Kale haters. It was visually beautiful and was a healthy alternative to all the heavy food. I'm not a big salad maker or eater, but this is a keeper. Especially for a crowd!</t>
        </is>
      </c>
    </row>
    <row r="3436">
      <c r="A3436" s="7" t="n">
        <v>8903</v>
      </c>
      <c r="B3436" s="7" t="n">
        <v>490691</v>
      </c>
      <c r="C3436" s="7" t="n">
        <v>677954</v>
      </c>
      <c r="D3436" s="7" t="n">
        <v>128085</v>
      </c>
      <c r="E3436" s="8" t="n">
        <v>39997</v>
      </c>
      <c r="F3436" s="7" t="n">
        <v>5</v>
      </c>
      <c r="G3436" s="7" t="inlineStr">
        <is>
          <t>made this for our family reunion, and it was so good that another one was requested for the nextday!  Absolutely delicious--very moist.  Had it with a simple choc glaze drizzled on top, and also with a dusting of powdered sugar.  Excellent both ways!</t>
        </is>
      </c>
    </row>
    <row r="3437">
      <c r="A3437" s="7" t="n">
        <v>112218</v>
      </c>
      <c r="B3437" s="7" t="n">
        <v>497795</v>
      </c>
      <c r="C3437" s="7" t="n">
        <v>1802488946</v>
      </c>
      <c r="D3437" s="7" t="n">
        <v>133718</v>
      </c>
      <c r="E3437" s="8" t="n">
        <v>42031</v>
      </c>
      <c r="F3437" s="7" t="n">
        <v>5</v>
      </c>
      <c r="G3437" s="7" t="inlineStr">
        <is>
          <t>This was good and so easy.  Thanks for this definitely-keeper recipe.</t>
        </is>
      </c>
    </row>
    <row r="3438">
      <c r="A3438" s="7" t="n">
        <v>121743</v>
      </c>
      <c r="B3438" s="7" t="n">
        <v>484211</v>
      </c>
      <c r="C3438" s="7" t="n">
        <v>2001175286</v>
      </c>
      <c r="D3438" s="7" t="n">
        <v>524062</v>
      </c>
      <c r="E3438" s="8" t="n">
        <v>42632</v>
      </c>
      <c r="F3438" s="7" t="n">
        <v>5</v>
      </c>
      <c r="G3438" s="7" t="inlineStr">
        <is>
          <t>Wow! Put this together with the cream cheese spread, I added bacon and artichoke hearts for a savory meal. It was the bomb! Restaurant quality taste!</t>
        </is>
      </c>
    </row>
    <row r="3439">
      <c r="A3439" s="7" t="n">
        <v>18037</v>
      </c>
      <c r="B3439" s="7" t="n">
        <v>261997</v>
      </c>
      <c r="C3439" s="7" t="n">
        <v>2249890</v>
      </c>
      <c r="D3439" s="7" t="n">
        <v>292631</v>
      </c>
      <c r="E3439" s="8" t="n">
        <v>41039</v>
      </c>
      <c r="F3439" s="7" t="n">
        <v>5</v>
      </c>
      <c r="G3439" s="7" t="inlineStr">
        <is>
          <t>I made this salad just before going to work out and it was a delicious, filling dinner when I came home. I made my salsa ranch dressing with Wishbone Ranch and a jar of salsa and it turned out just right. I love the balance of protein and vegetables with Mexican flavors to bring it all together. What a treat!</t>
        </is>
      </c>
    </row>
    <row r="3440" ht="409.5" customHeight="1">
      <c r="A3440" s="7" t="n">
        <v>91591</v>
      </c>
      <c r="B3440" s="7" t="n">
        <v>1051884</v>
      </c>
      <c r="C3440" s="7" t="n">
        <v>9869</v>
      </c>
      <c r="D3440" s="7" t="n">
        <v>17201</v>
      </c>
      <c r="E3440" s="8" t="n">
        <v>37437</v>
      </c>
      <c r="F3440" s="7" t="n">
        <v>5</v>
      </c>
      <c r="G3440" s="9" t="inlineStr">
        <is>
          <t>Love these kebabs! I started with 3 chicken breasts and used 2 bananas (all I had) and found I have quite a lot of chicken left, stir fry for tonight!_x000D_
The flavours are great, love the banana wrapped in the bacon, this will be a regular on our Summer grills, thanks for posting.</t>
        </is>
      </c>
    </row>
    <row r="3441">
      <c r="A3441" s="7" t="n">
        <v>54853</v>
      </c>
      <c r="B3441" s="7" t="n">
        <v>460221</v>
      </c>
      <c r="C3441" s="7" t="n">
        <v>256239</v>
      </c>
      <c r="D3441" s="7" t="n">
        <v>130568</v>
      </c>
      <c r="E3441" s="8" t="n">
        <v>38653</v>
      </c>
      <c r="F3441" s="7" t="n">
        <v>1</v>
      </c>
      <c r="G3441" s="7" t="inlineStr">
        <is>
          <t>This is a big mistake.  Smelled great, tasted lousey.  Very mushy.  Don't bother.</t>
        </is>
      </c>
    </row>
    <row r="3442">
      <c r="A3442" s="7" t="n">
        <v>31914</v>
      </c>
      <c r="B3442" s="7" t="n">
        <v>427094</v>
      </c>
      <c r="C3442" s="7" t="n">
        <v>160756</v>
      </c>
      <c r="D3442" s="7" t="n">
        <v>406062</v>
      </c>
      <c r="E3442" s="8" t="n">
        <v>40573</v>
      </c>
      <c r="F3442" s="7" t="n">
        <v>0</v>
      </c>
      <c r="G3442" s="7" t="inlineStr">
        <is>
          <t>Made these for SuperBowl party next weekend. They are delicious. The recipe makes quite a lot of clusters. I did add a square of food wax to make them harden better without refrigeration. Pretty sure these will be a hit.</t>
        </is>
      </c>
    </row>
    <row r="3443">
      <c r="A3443" s="7" t="n">
        <v>120037</v>
      </c>
      <c r="B3443" s="7" t="n">
        <v>917539</v>
      </c>
      <c r="C3443" s="7" t="n">
        <v>182330</v>
      </c>
      <c r="D3443" s="7" t="n">
        <v>129236</v>
      </c>
      <c r="E3443" s="8" t="n">
        <v>39109</v>
      </c>
      <c r="F3443" s="7" t="n">
        <v>5</v>
      </c>
      <c r="G3443" s="7" t="inlineStr">
        <is>
          <t>Enjoyed this very much!  My DH also really liked and said it was as good as "take out"!  We used a pho paste fro an Asian food stoe and added it to the canned beef broth instead of adding the spices.  We added lots of lime juice, bean sprouts, and cilantro, which is how we've always had it prepared in CA and IN. We usually don't add any chili sauce or hoisin, but occasionally will.  This recipe is a keeper!</t>
        </is>
      </c>
    </row>
    <row r="3444">
      <c r="A3444" s="7" t="n">
        <v>89967</v>
      </c>
      <c r="B3444" s="7" t="n">
        <v>402987</v>
      </c>
      <c r="C3444" s="7" t="n">
        <v>157425</v>
      </c>
      <c r="D3444" s="7" t="n">
        <v>345739</v>
      </c>
      <c r="E3444" s="8" t="n">
        <v>40112</v>
      </c>
      <c r="F3444" s="7" t="n">
        <v>5</v>
      </c>
      <c r="G3444" s="7" t="inlineStr">
        <is>
          <t>This grilled cheese sandwich is a definite WOW! I used Pepperidge Farm's sourdough bread and it tasted great for these sandwiches. Maple cured thick bacon is what I had on hand and cooking it in the oven is so much easier for clean up and tastes great. A rich sandwich with the tang from the dijon mustard, bite of the apple, and smokiness from the bacon. Everyone should try this grilled cheese! Thank you lazy gourmet for posting this recipe. Made and reviewed for the Iron Chef/Secret Ingredient recipe tag game in the game forum.</t>
        </is>
      </c>
    </row>
    <row r="3445">
      <c r="A3445" s="7" t="n">
        <v>54859</v>
      </c>
      <c r="B3445" s="7" t="n">
        <v>873576</v>
      </c>
      <c r="C3445" s="7" t="n">
        <v>1706155</v>
      </c>
      <c r="D3445" s="7" t="n">
        <v>280223</v>
      </c>
      <c r="E3445" s="8" t="n">
        <v>40494</v>
      </c>
      <c r="F3445" s="7" t="n">
        <v>5</v>
      </c>
      <c r="G3445" s="7" t="inlineStr">
        <is>
          <t>Thank you for a great recipe.  Of course like the others, I had to change it up.  Taking the hint, I didn't use butter.  Added 1tsp tobasco sauce (it doesn't make it hot just brings out the cheese flavor) and used sharp Irish cheddar. Added ham so it was more like a all in one dish.  We had a brunch at work &amp; everyone loved it.  Nothing to bring home.  I'll make it again.  Yummmmy!!!</t>
        </is>
      </c>
    </row>
    <row r="3446">
      <c r="A3446" s="7" t="n">
        <v>75928</v>
      </c>
      <c r="B3446" s="7" t="n">
        <v>1117799</v>
      </c>
      <c r="C3446" s="7" t="n">
        <v>448065</v>
      </c>
      <c r="D3446" s="7" t="n">
        <v>57391</v>
      </c>
      <c r="E3446" s="8" t="n">
        <v>39517</v>
      </c>
      <c r="F3446" s="7" t="n">
        <v>4</v>
      </c>
      <c r="G3446" s="7" t="inlineStr">
        <is>
          <t>Very light soup indeed both in consistency and flavor. Would make a perfect Sunday lunch meal with hot crusty wheat bread. I used ziti instead of cavatelli (which I was unable to find in my grocery stores). If you love veggies, then this soup is for you, but I was just a touch disappointed in its lightness on flavor. But my wife loved it and says she'll be asking to have it again in the future.</t>
        </is>
      </c>
    </row>
    <row r="3447">
      <c r="A3447" s="7" t="n">
        <v>65379</v>
      </c>
      <c r="B3447" s="7" t="n">
        <v>506703</v>
      </c>
      <c r="C3447" s="7" t="n">
        <v>463202</v>
      </c>
      <c r="D3447" s="7" t="n">
        <v>180164</v>
      </c>
      <c r="E3447" s="8" t="n">
        <v>39492</v>
      </c>
      <c r="F3447" s="7" t="n">
        <v>4</v>
      </c>
      <c r="G3447" s="7" t="inlineStr">
        <is>
          <t>We really liked this!  I served it with our favorite tonkatsu recipe, and it went very well.  I loved the carmelized onions in this, they really sweetened up the dish, which went well with the tanginess of the tonkatsu sauce.  Thanks for posting!</t>
        </is>
      </c>
    </row>
    <row r="3448">
      <c r="A3448" s="7" t="n">
        <v>65011</v>
      </c>
      <c r="B3448" s="7" t="n">
        <v>42602</v>
      </c>
      <c r="C3448" s="7" t="n">
        <v>422893</v>
      </c>
      <c r="D3448" s="7" t="n">
        <v>329253</v>
      </c>
      <c r="E3448" s="8" t="n">
        <v>39741</v>
      </c>
      <c r="F3448" s="7" t="n">
        <v>4</v>
      </c>
      <c r="G3448" s="7" t="inlineStr">
        <is>
          <t>This is a nice belnd of flavours, quite sweet but I love sweet drinks, tasted a bit like raspberry cordial, the alcohol was hardly detectable. Thanks for posting!</t>
        </is>
      </c>
    </row>
    <row r="3449">
      <c r="A3449" s="7" t="n">
        <v>107699</v>
      </c>
      <c r="B3449" s="7" t="n">
        <v>82455</v>
      </c>
      <c r="C3449" s="7" t="n">
        <v>189475</v>
      </c>
      <c r="D3449" s="7" t="n">
        <v>8674</v>
      </c>
      <c r="E3449" s="8" t="n">
        <v>39841</v>
      </c>
      <c r="F3449" s="7" t="n">
        <v>5</v>
      </c>
      <c r="G3449" s="7" t="inlineStr">
        <is>
          <t>These were delicious and I had plenty left to freeze for later. The only problem I had was with the carrots. They were too hard, even after soaking them with the beef for the 15 minutes, and they poked holes in some of the egg roll wrappers. I think I'll just leave them out next time. Also, I had a lot of leftover filling so I think next time I'll only use 3/4 lb of ground beef.</t>
        </is>
      </c>
    </row>
    <row r="3450">
      <c r="A3450" s="7" t="n">
        <v>111247</v>
      </c>
      <c r="B3450" s="7" t="n">
        <v>649600</v>
      </c>
      <c r="C3450" s="7" t="n">
        <v>94272</v>
      </c>
      <c r="D3450" s="7" t="n">
        <v>41562</v>
      </c>
      <c r="E3450" s="8" t="n">
        <v>37965</v>
      </c>
      <c r="F3450" s="7" t="n">
        <v>5</v>
      </c>
      <c r="G3450" s="7" t="inlineStr">
        <is>
          <t>This was wonderful! The sauce has kind of a sweet-sour taste. I used curry powder instead of ginger (couldn't find my jar) and I inadvertently ran out of bell pepper, so my sauce was just a tiny bit different. I stir-fried my cabbage instead of microwaving, and still everything tasted fantastic! Thanks for another yummy veggie recipe, yogi!</t>
        </is>
      </c>
    </row>
    <row r="3451">
      <c r="A3451" s="7" t="n">
        <v>87568</v>
      </c>
      <c r="B3451" s="7" t="n">
        <v>265743</v>
      </c>
      <c r="C3451" s="7" t="n">
        <v>350018</v>
      </c>
      <c r="D3451" s="7" t="n">
        <v>107786</v>
      </c>
      <c r="E3451" s="8" t="n">
        <v>38978</v>
      </c>
      <c r="F3451" s="7" t="n">
        <v>5</v>
      </c>
      <c r="G3451" s="7" t="inlineStr">
        <is>
          <t xml:space="preserve">I made these ribs again last night, and it turned out better this time, I was afraid of the salt, but, It actually balances out and brings out the flavor.  It's just like it says, Melt in you mouth. Thanks Beth, for this delishious recipe, It will stay in the family for years.  Thank you again.  </t>
        </is>
      </c>
    </row>
    <row r="3452">
      <c r="A3452" s="7" t="n">
        <v>72399</v>
      </c>
      <c r="B3452" s="7" t="n">
        <v>1063257</v>
      </c>
      <c r="C3452" s="7" t="n">
        <v>256547</v>
      </c>
      <c r="D3452" s="7" t="n">
        <v>221832</v>
      </c>
      <c r="E3452" s="8" t="n">
        <v>40631</v>
      </c>
      <c r="F3452" s="7" t="n">
        <v>5</v>
      </c>
      <c r="G3452" s="7" t="inlineStr">
        <is>
          <t>This is a staple at my inlaws for Pesach. Shows up on our seder table every other year. We alternate between this and another family favorite, Wet Matzoh.</t>
        </is>
      </c>
    </row>
    <row r="3453">
      <c r="A3453" s="7" t="n">
        <v>33455</v>
      </c>
      <c r="B3453" s="7" t="n">
        <v>132515</v>
      </c>
      <c r="C3453" s="7" t="n">
        <v>50067</v>
      </c>
      <c r="D3453" s="7" t="n">
        <v>58952</v>
      </c>
      <c r="E3453" s="8" t="n">
        <v>37881</v>
      </c>
      <c r="F3453" s="7" t="n">
        <v>5</v>
      </c>
      <c r="G3453" s="7" t="inlineStr">
        <is>
          <t>Thank you for a great, authentic and EASY recipe.  I made it for the hubby and he really enjoyed it.  What I liked most was that the coating stays crisp for quite a while.  I did not use it on strips, but on drumsticks and thighs and it came out beautiful.  I also used it on my veggies - and it was fine.</t>
        </is>
      </c>
    </row>
    <row r="3454">
      <c r="A3454" s="7" t="n">
        <v>82186</v>
      </c>
      <c r="B3454" s="7" t="n">
        <v>449232</v>
      </c>
      <c r="C3454" s="7" t="n">
        <v>57846</v>
      </c>
      <c r="D3454" s="7" t="n">
        <v>53386</v>
      </c>
      <c r="E3454" s="8" t="n">
        <v>37663</v>
      </c>
      <c r="F3454" s="7" t="n">
        <v>5</v>
      </c>
      <c r="G3454" s="7" t="inlineStr">
        <is>
          <t>OH MY GOD! This was soooooo good! I didn't change anything in the recipe so that I could give a true rating. This was very easy to prepare. I love trying (and creating)new pasta dishes and this one is one of the best new dishes I've tried in a long time! I did serve with a salad as suggested and sprinkled pine nuts in there too with a balsamic dressing. Thanks for a fresh new pasta recipe and good luck!</t>
        </is>
      </c>
    </row>
    <row r="3455">
      <c r="A3455" s="7" t="n">
        <v>63400</v>
      </c>
      <c r="B3455" s="7" t="n">
        <v>1123794</v>
      </c>
      <c r="C3455" s="7" t="n">
        <v>1193804</v>
      </c>
      <c r="D3455" s="7" t="n">
        <v>57679</v>
      </c>
      <c r="E3455" s="8" t="n">
        <v>41267</v>
      </c>
      <c r="F3455" s="7" t="n">
        <v>1</v>
      </c>
      <c r="G3455" s="7" t="inlineStr">
        <is>
          <t>Of the four of us, only one person would finish his slice of pie.  My DIL took one bite and didn't finish it, my son took two bites (as he was always taught as a child) and didn't finish his, I took two bites (as an example to my son - force of habit even though he's grown), and hubby ate his but didn't ask for another slice (he only does this when he eats something because he worries about hurting my feelings, if he likes it he always asks for another piece).  I guess that we just didn't like the cream cheese in something that we love as much as traditional key lime pie.  If you make this, have an open mind because it doesn't taste like key lime pie, it tastes like a lime-flavored cheesecake (sort of).</t>
        </is>
      </c>
    </row>
    <row r="3456">
      <c r="A3456" s="7" t="n">
        <v>77595</v>
      </c>
      <c r="B3456" s="7" t="n">
        <v>929154</v>
      </c>
      <c r="C3456" s="7" t="n">
        <v>184440</v>
      </c>
      <c r="D3456" s="7" t="n">
        <v>94790</v>
      </c>
      <c r="E3456" s="8" t="n">
        <v>38523</v>
      </c>
      <c r="F3456" s="7" t="n">
        <v>5</v>
      </c>
      <c r="G3456" s="7" t="inlineStr">
        <is>
          <t>This is the perfect comfort food, especially on a wintry day!  Delicious!</t>
        </is>
      </c>
    </row>
    <row r="3457">
      <c r="A3457" s="7" t="n">
        <v>29356</v>
      </c>
      <c r="B3457" s="7" t="n">
        <v>983245</v>
      </c>
      <c r="C3457" s="7" t="n">
        <v>67270</v>
      </c>
      <c r="D3457" s="7" t="n">
        <v>38270</v>
      </c>
      <c r="E3457" s="8" t="n">
        <v>39883</v>
      </c>
      <c r="F3457" s="7" t="n">
        <v>3</v>
      </c>
      <c r="G3457" s="7" t="inlineStr">
        <is>
          <t>This was good, very filling. I liked it, but I didn't love it. I could see something based on this served at a good B&amp;B, though. I used white and cremini mushrooms. This is really four servings though--my husband &amp; I had it for dinner and turned it into three servings, which I don't recommend. (Like alfredo, it gets a little redundant when you've had more than you should.) Also, I thought that it lacked depth--if I had any nutmeg, I would've added it to the eggs, because nutmeg goes really well with eggs.</t>
        </is>
      </c>
    </row>
    <row r="3458">
      <c r="A3458" s="7" t="n">
        <v>123158</v>
      </c>
      <c r="B3458" s="7" t="n">
        <v>347629</v>
      </c>
      <c r="C3458" s="7" t="n">
        <v>362919</v>
      </c>
      <c r="D3458" s="7" t="n">
        <v>280329</v>
      </c>
      <c r="E3458" s="8" t="n">
        <v>39728</v>
      </c>
      <c r="F3458" s="7" t="n">
        <v>5</v>
      </c>
      <c r="G3458" s="7" t="inlineStr">
        <is>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is>
      </c>
    </row>
    <row r="3459">
      <c r="A3459" s="7" t="n">
        <v>52690</v>
      </c>
      <c r="B3459" s="7" t="n">
        <v>824164</v>
      </c>
      <c r="C3459" s="7" t="n">
        <v>1703884</v>
      </c>
      <c r="D3459" s="7" t="n">
        <v>78814</v>
      </c>
      <c r="E3459" s="8" t="n">
        <v>40464</v>
      </c>
      <c r="F3459" s="7" t="n">
        <v>0</v>
      </c>
      <c r="G3459" s="7" t="inlineStr">
        <is>
          <t>I did not have  the crescent rolls but used my own bread dough (rye) to make this delicious rolls!!!!&lt;br/&gt;Cold the next day they taste good too!!!</t>
        </is>
      </c>
    </row>
    <row r="3460">
      <c r="A3460" s="7" t="n">
        <v>50369</v>
      </c>
      <c r="B3460" s="7" t="n">
        <v>828540</v>
      </c>
      <c r="C3460" s="7" t="n">
        <v>231556</v>
      </c>
      <c r="D3460" s="7" t="n">
        <v>141072</v>
      </c>
      <c r="E3460" s="8" t="n">
        <v>39650</v>
      </c>
      <c r="F3460" s="7" t="n">
        <v>5</v>
      </c>
      <c r="G3460" s="7" t="inlineStr">
        <is>
          <t>Great recipe! Very easy and really good.  I'll definitely make this again!</t>
        </is>
      </c>
    </row>
    <row r="3461">
      <c r="A3461" s="7" t="n">
        <v>71384</v>
      </c>
      <c r="B3461" s="7" t="n">
        <v>1068709</v>
      </c>
      <c r="C3461" s="7" t="n">
        <v>2000656505</v>
      </c>
      <c r="D3461" s="7" t="n">
        <v>30018</v>
      </c>
      <c r="E3461" s="8" t="n">
        <v>42316</v>
      </c>
      <c r="F3461" s="7" t="n">
        <v>2</v>
      </c>
      <c r="G3461" s="7" t="inlineStr">
        <is>
          <t>I was very disappointed.  After 12 hours  the carrots were still crunchy.  I served the soup to a handful of ladies for lunch and 2 left theirs behind after just tasting it.  Next time I&amp;#039;ll make the old fashioned beef &amp;amp; barley that&amp;#039;s very beefy, and not so heavy on the veggies.</t>
        </is>
      </c>
    </row>
    <row r="3462" ht="409.5" customHeight="1">
      <c r="A3462" s="7" t="n">
        <v>120035</v>
      </c>
      <c r="B3462" s="7" t="n">
        <v>1034434</v>
      </c>
      <c r="C3462" s="7" t="n">
        <v>457510</v>
      </c>
      <c r="D3462" s="7" t="n">
        <v>58055</v>
      </c>
      <c r="E3462" s="8" t="n">
        <v>39551</v>
      </c>
      <c r="F3462" s="7" t="n">
        <v>4</v>
      </c>
      <c r="G3462" s="9" t="inlineStr">
        <is>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is>
      </c>
    </row>
    <row r="3463">
      <c r="A3463" s="7" t="n">
        <v>54410</v>
      </c>
      <c r="B3463" s="7" t="n">
        <v>857859</v>
      </c>
      <c r="C3463" s="7" t="n">
        <v>994748</v>
      </c>
      <c r="D3463" s="7" t="n">
        <v>69301</v>
      </c>
      <c r="E3463" s="8" t="n">
        <v>40211</v>
      </c>
      <c r="F3463" s="7" t="n">
        <v>3</v>
      </c>
      <c r="G3463" s="7" t="inlineStr">
        <is>
          <t>I made this as it was printed -- it was very sweet and didn't have the tang I expected from the vinegar.  Family gave it a 3...  but probably won't make it again.  Sorry.</t>
        </is>
      </c>
    </row>
    <row r="3464">
      <c r="A3464" s="7" t="n">
        <v>20747</v>
      </c>
      <c r="B3464" s="7" t="n">
        <v>999922</v>
      </c>
      <c r="C3464" s="7" t="n">
        <v>251626</v>
      </c>
      <c r="D3464" s="7" t="n">
        <v>51501</v>
      </c>
      <c r="E3464" s="8" t="n">
        <v>41666</v>
      </c>
      <c r="F3464" s="7" t="n">
        <v>5</v>
      </c>
      <c r="G3464" s="7" t="inlineStr">
        <is>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is>
      </c>
    </row>
    <row r="3465" ht="255" customHeight="1">
      <c r="A3465" s="7" t="n">
        <v>63053</v>
      </c>
      <c r="B3465" s="7" t="n">
        <v>1050036</v>
      </c>
      <c r="C3465" s="7" t="n">
        <v>100980</v>
      </c>
      <c r="D3465" s="7" t="n">
        <v>53878</v>
      </c>
      <c r="E3465" s="8" t="n">
        <v>38053</v>
      </c>
      <c r="F3465" s="7" t="n">
        <v>4</v>
      </c>
      <c r="G3465" s="9" t="inlineStr">
        <is>
          <t xml:space="preserve">Easy to make.  Very addictive.  I will definitely make these again.  Kids (3 and 5) didn't like it, but the adults did.  :)  _x000D_
</t>
        </is>
      </c>
    </row>
    <row r="3466">
      <c r="A3466" s="7" t="n">
        <v>4437</v>
      </c>
      <c r="B3466" s="7" t="n">
        <v>442439</v>
      </c>
      <c r="C3466" s="7" t="n">
        <v>229619</v>
      </c>
      <c r="D3466" s="7" t="n">
        <v>271659</v>
      </c>
      <c r="E3466" s="8" t="n">
        <v>39434</v>
      </c>
      <c r="F3466" s="7" t="n">
        <v>4</v>
      </c>
      <c r="G3466" s="7" t="inlineStr">
        <is>
          <t>This was good and easy.  I went light on the red pepper but will use more next time.  This one is a keeper.</t>
        </is>
      </c>
    </row>
    <row r="3467">
      <c r="A3467" s="7" t="n">
        <v>45101</v>
      </c>
      <c r="B3467" s="7" t="n">
        <v>860190</v>
      </c>
      <c r="C3467" s="7" t="n">
        <v>187281</v>
      </c>
      <c r="D3467" s="7" t="n">
        <v>97886</v>
      </c>
      <c r="E3467" s="8" t="n">
        <v>39391</v>
      </c>
      <c r="F3467" s="7" t="n">
        <v>5</v>
      </c>
      <c r="G3467" s="7" t="inlineStr">
        <is>
          <t>Hi Paula, G! This is incredible! It had a bit of spiciness from the 1 pepper I added and the fresh basil and mint added something very earthy to this dish. Excellent flavor, and my meat-eating husband thought it was great too. We served with a side salad for a wonderful meal.  Oh, I did add a pinch of course ground pepper, garlic, and italian seasoning. Though, it wasn't required.  Thanks, we'll have this often!</t>
        </is>
      </c>
    </row>
    <row r="3468">
      <c r="A3468" s="7" t="n">
        <v>5451</v>
      </c>
      <c r="B3468" s="7" t="n">
        <v>82437</v>
      </c>
      <c r="C3468" s="7" t="n">
        <v>608913</v>
      </c>
      <c r="D3468" s="7" t="n">
        <v>8674</v>
      </c>
      <c r="E3468" s="8" t="n">
        <v>39425</v>
      </c>
      <c r="F3468" s="7" t="n">
        <v>5</v>
      </c>
      <c r="G3468" s="7" t="inlineStr">
        <is>
          <t>We had these with dinner last night and they were EXCELLANT. I will make these again soon.</t>
        </is>
      </c>
    </row>
    <row r="3469">
      <c r="A3469" s="7" t="n">
        <v>41876</v>
      </c>
      <c r="B3469" s="7" t="n">
        <v>268426</v>
      </c>
      <c r="C3469" s="7" t="n">
        <v>424680</v>
      </c>
      <c r="D3469" s="7" t="n">
        <v>280857</v>
      </c>
      <c r="E3469" s="8" t="n">
        <v>39587</v>
      </c>
      <c r="F3469" s="7" t="n">
        <v>5</v>
      </c>
      <c r="G3469" s="7" t="inlineStr">
        <is>
          <t>Made this for some diabetic friends of mine &amp; since they love pumpkin &amp; apricots, I stuck to the recipe &amp; its ingredient list! Then, in turn, shared it with friends of theirs along with a copy of the recipe! This was a really big hit, &amp;, of course, the taste I got was wonderful, too! Definitely want to make this again just for myself! Thanks for sharing the recipe! [Tagged, made &amp; reviewed in Healthy Choices ABC cooking game]</t>
        </is>
      </c>
    </row>
    <row r="3470">
      <c r="A3470" s="7" t="n">
        <v>184</v>
      </c>
      <c r="B3470" s="7" t="n">
        <v>479773</v>
      </c>
      <c r="C3470" s="7" t="n">
        <v>1803520290</v>
      </c>
      <c r="D3470" s="7" t="n">
        <v>277167</v>
      </c>
      <c r="E3470" s="8" t="n">
        <v>41991</v>
      </c>
      <c r="F3470" s="7" t="n">
        <v>5</v>
      </c>
      <c r="G3470" s="7" t="inlineStr">
        <is>
          <t>This is my first review ever. After reading several of the less satisfied comments, I felt I had to write because I almost didn&amp;#039;t make this delicious meal that all 3 of my kids (1 who is extremely picky) gobbled up. I feel domestically challenged in the kitchen sometimes and this recipe was easy breazy and yummy! I followed the directions almost to the T; I didn&amp;#039;t have green onions so I used onion powder; Took the chicken out before the 6 hours were up and basted and broiled as someone recommended. Making again for this evening! Yum!</t>
        </is>
      </c>
    </row>
    <row r="3471">
      <c r="A3471" s="7" t="n">
        <v>1468</v>
      </c>
      <c r="B3471" s="7" t="n">
        <v>626176</v>
      </c>
      <c r="C3471" s="7" t="n">
        <v>192856</v>
      </c>
      <c r="D3471" s="7" t="n">
        <v>116242</v>
      </c>
      <c r="E3471" s="8" t="n">
        <v>38823</v>
      </c>
      <c r="F3471" s="7" t="n">
        <v>5</v>
      </c>
      <c r="G3471" s="7" t="inlineStr">
        <is>
          <t>Awesome!  We loved it!</t>
        </is>
      </c>
    </row>
    <row r="3472">
      <c r="A3472" s="7" t="n">
        <v>122375</v>
      </c>
      <c r="B3472" s="7" t="n">
        <v>286129</v>
      </c>
      <c r="C3472" s="7" t="n">
        <v>2619296</v>
      </c>
      <c r="D3472" s="7" t="n">
        <v>455868</v>
      </c>
      <c r="E3472" s="8" t="n">
        <v>41281</v>
      </c>
      <c r="F3472" s="7" t="n">
        <v>5</v>
      </c>
      <c r="G3472" s="7" t="inlineStr">
        <is>
          <t>I made this recipe and it was fabulous.  I used black beans in place of the kidney beans.  I am looking for more fantastic soups to can.</t>
        </is>
      </c>
    </row>
    <row r="3473">
      <c r="A3473" s="7" t="n">
        <v>36792</v>
      </c>
      <c r="B3473" s="7" t="n">
        <v>439356</v>
      </c>
      <c r="C3473" s="7" t="n">
        <v>1020362</v>
      </c>
      <c r="D3473" s="7" t="n">
        <v>24638</v>
      </c>
      <c r="E3473" s="8" t="n">
        <v>40103</v>
      </c>
      <c r="F3473" s="7" t="n">
        <v>5</v>
      </c>
      <c r="G3473" s="7" t="inlineStr">
        <is>
          <t>This was my first time making homemade turkey soup. I did use the Rescued Turkey Stock recipe (#24576). It was just perfect, not overstated. I ended up with closer to 12-14 cups of soup. Must of been just right cause the flavor is there. Froze some for school lunches. I'll be making this again. Thank you</t>
        </is>
      </c>
    </row>
    <row r="3474">
      <c r="A3474" s="7" t="n">
        <v>66850</v>
      </c>
      <c r="B3474" s="7" t="n">
        <v>112519</v>
      </c>
      <c r="C3474" s="7" t="n">
        <v>1892677</v>
      </c>
      <c r="D3474" s="7" t="n">
        <v>437118</v>
      </c>
      <c r="E3474" s="8" t="n">
        <v>40656</v>
      </c>
      <c r="F3474" s="7" t="n">
        <v>5</v>
      </c>
      <c r="G3474" s="7" t="inlineStr">
        <is>
          <t>Great moist cake! Loved it!</t>
        </is>
      </c>
    </row>
    <row r="3475">
      <c r="A3475" s="7" t="n">
        <v>3336</v>
      </c>
      <c r="B3475" s="7" t="n">
        <v>181596</v>
      </c>
      <c r="C3475" s="7" t="n">
        <v>220348</v>
      </c>
      <c r="D3475" s="7" t="n">
        <v>263109</v>
      </c>
      <c r="E3475" s="8" t="n">
        <v>40653</v>
      </c>
      <c r="F3475" s="7" t="n">
        <v>5</v>
      </c>
      <c r="G3475" s="7" t="inlineStr">
        <is>
          <t>My entire family loved this salad! It went down very well with a light lunch, and now there's very little of it left! It was also refreshing!</t>
        </is>
      </c>
    </row>
    <row r="3476">
      <c r="A3476" s="7" t="n">
        <v>124633</v>
      </c>
      <c r="B3476" s="7" t="n">
        <v>650595</v>
      </c>
      <c r="C3476" s="7" t="n">
        <v>707469</v>
      </c>
      <c r="D3476" s="7" t="n">
        <v>190316</v>
      </c>
      <c r="E3476" s="8" t="n">
        <v>39527</v>
      </c>
      <c r="F3476" s="7" t="n">
        <v>5</v>
      </c>
      <c r="G3476" s="7" t="inlineStr">
        <is>
          <t>Delish!  We loved it.  I cut up the brats &amp; tossed in a large pan with potatoes.  Added a little white wine, garlic, oregano &amp; lemon.  Baked at 350 for an hour while my little man and I went to the park.  It was smelling great when we got home and tasted great too.  Thanks for the keeper!</t>
        </is>
      </c>
    </row>
    <row r="3477">
      <c r="A3477" s="7" t="n">
        <v>81474</v>
      </c>
      <c r="B3477" s="7" t="n">
        <v>770973</v>
      </c>
      <c r="C3477" s="7" t="n">
        <v>70662</v>
      </c>
      <c r="D3477" s="7" t="n">
        <v>30602</v>
      </c>
      <c r="E3477" s="8" t="n">
        <v>37906</v>
      </c>
      <c r="F3477" s="7" t="n">
        <v>5</v>
      </c>
      <c r="G3477" s="7" t="inlineStr">
        <is>
          <t>Everyone loves this bread, INCLUDING my friends who profess to hate sourdough.  So easy and it comes out perfect every time!</t>
        </is>
      </c>
    </row>
    <row r="3478">
      <c r="A3478" s="7" t="n">
        <v>35546</v>
      </c>
      <c r="B3478" s="7" t="n">
        <v>301957</v>
      </c>
      <c r="C3478" s="7" t="n">
        <v>369715</v>
      </c>
      <c r="D3478" s="7" t="n">
        <v>410346</v>
      </c>
      <c r="E3478" s="8" t="n">
        <v>40993</v>
      </c>
      <c r="F3478" s="7" t="n">
        <v>5</v>
      </c>
      <c r="G3478" s="7" t="inlineStr">
        <is>
          <t>This was good and easy to make. I made it for dinner tonight and everyone enjoyed it. Quick to make since I didn't feel like cooking. Made for Spring PAC 2012.</t>
        </is>
      </c>
    </row>
    <row r="3479">
      <c r="A3479" s="7" t="n">
        <v>113247</v>
      </c>
      <c r="B3479" s="7" t="n">
        <v>935052</v>
      </c>
      <c r="C3479" s="7" t="n">
        <v>260072</v>
      </c>
      <c r="D3479" s="7" t="n">
        <v>85227</v>
      </c>
      <c r="E3479" s="8" t="n">
        <v>38692</v>
      </c>
      <c r="F3479" s="7" t="n">
        <v>5</v>
      </c>
      <c r="G3479" s="7" t="inlineStr">
        <is>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is>
      </c>
    </row>
    <row r="3480">
      <c r="A3480" t="n">
        <v>88533</v>
      </c>
      <c r="B3480" t="n">
        <v>382334</v>
      </c>
      <c r="C3480" t="n">
        <v>32772</v>
      </c>
      <c r="D3480" t="n">
        <v>91887</v>
      </c>
      <c r="E3480" s="1" t="n">
        <v>38141</v>
      </c>
      <c r="F3480" t="n">
        <v>5</v>
      </c>
      <c r="G3480" t="inlineStr">
        <is>
          <t>This recipe is Outstanding! Easy to follow and best of all easy to put together. The flavor is great-not that over powering. Next time, I might just use Campbell's Cheese soup and omit the cheese sauce and cream of celery.  Thanks for posting. I served this with Mouthwatering Meatloaf Recipe #92026. They went well together with a side of green beans.</t>
        </is>
      </c>
    </row>
    <row r="3481">
      <c r="A3481" s="7" t="n">
        <v>37540</v>
      </c>
      <c r="B3481" s="7" t="n">
        <v>1054560</v>
      </c>
      <c r="C3481" s="7" t="n">
        <v>67728</v>
      </c>
      <c r="D3481" s="7" t="n">
        <v>307217</v>
      </c>
      <c r="E3481" s="8" t="n">
        <v>41011</v>
      </c>
      <c r="F3481" s="7" t="n">
        <v>5</v>
      </c>
      <c r="G3481" s="7" t="inlineStr">
        <is>
          <t>Yum! Loved how this tasted like fresh tomatoes! I also liked that it made a small batch (enough for 4 individual pizzas or 1 large pizza), because so many times I've made other pizza sauces and ended up throwing some away because the leftovers went moldy before I could use them up. I'm sure I'll be using this again, thanks for posting! Made for PAC Spring 2012</t>
        </is>
      </c>
    </row>
    <row r="3482">
      <c r="A3482" s="7" t="n">
        <v>91924</v>
      </c>
      <c r="B3482" s="7" t="n">
        <v>95831</v>
      </c>
      <c r="C3482" s="7" t="n">
        <v>178015</v>
      </c>
      <c r="D3482" s="7" t="n">
        <v>29375</v>
      </c>
      <c r="E3482" s="8" t="n">
        <v>38372</v>
      </c>
      <c r="F3482" s="7" t="n">
        <v>4</v>
      </c>
      <c r="G3482" s="7" t="inlineStr">
        <is>
          <t xml:space="preserve"> I made this for dinner tonight. It was very good. I used boneless round steak which was very lean. I'll try it next time with a marbled cut. </t>
        </is>
      </c>
    </row>
    <row r="3483">
      <c r="A3483" s="7" t="n">
        <v>7775</v>
      </c>
      <c r="B3483" s="7" t="n">
        <v>248016</v>
      </c>
      <c r="C3483" s="7" t="n">
        <v>1623620</v>
      </c>
      <c r="D3483" s="7" t="n">
        <v>215414</v>
      </c>
      <c r="E3483" s="8" t="n">
        <v>41072</v>
      </c>
      <c r="F3483" s="7" t="n">
        <v>5</v>
      </c>
      <c r="G3483" s="7" t="inlineStr">
        <is>
          <t>I am relatively new to food.com, but I know that if Kittencals name is in the recipe, it's a must try! I made this tonight for dinner and my husband loved it! I try recipes based solely on the reviews, so I had to come do my part and put in my two cents. I was looking for a new ground beef recipe that was easy and yummy, because my husband and I both are picky eaters. This recipe was great! I'll definitely be making it again. &lt;br/&gt;I left out the green peppers, and used minced onion instead of chopped. I also left the foil on the casserole for the entire 1 1/2 hrs cooking time. I think it helped to prevent the beef from being too dry or browning too much. I think it also helped to cook up the potatoes just right. I am excited to try different variations of this keeper. I bet it would be just as good with chicken instead of beef. Thanks again, Kittencal, for leaving your mark on my dinner table....shhhhh! Nobody has to know!</t>
        </is>
      </c>
    </row>
    <row r="3484">
      <c r="A3484" s="7" t="n">
        <v>30663</v>
      </c>
      <c r="B3484" s="7" t="n">
        <v>1070274</v>
      </c>
      <c r="C3484" s="7" t="n">
        <v>2001253549</v>
      </c>
      <c r="D3484" s="7" t="n">
        <v>82985</v>
      </c>
      <c r="E3484" s="8" t="n">
        <v>42979</v>
      </c>
      <c r="F3484" s="7" t="n">
        <v>0</v>
      </c>
      <c r="G3484" s="7" t="inlineStr">
        <is>
          <t>This was easy to make, and was real tasty. It tasted like cornbread to me. My hubby was pleased, and wanted seconds.</t>
        </is>
      </c>
    </row>
    <row r="3485">
      <c r="A3485" s="7" t="n">
        <v>23844</v>
      </c>
      <c r="B3485" s="7" t="n">
        <v>419544</v>
      </c>
      <c r="C3485" s="7" t="n">
        <v>101823</v>
      </c>
      <c r="D3485" s="7" t="n">
        <v>34760</v>
      </c>
      <c r="E3485" s="8" t="n">
        <v>38814</v>
      </c>
      <c r="F3485" s="7" t="n">
        <v>5</v>
      </c>
      <c r="G3485" s="7" t="inlineStr">
        <is>
          <t>Excellent Flavor!  One of my hubby's favorite dishes at a local restaurant is the Kung Pao.  This creation did not disappoint him.  I used more garlic and dried chilies from my garden.  I also used only a green bell pepper, as that was all I had on hand.  We will make this again.</t>
        </is>
      </c>
    </row>
    <row r="3486">
      <c r="A3486" s="7" t="n">
        <v>7430</v>
      </c>
      <c r="B3486" s="7" t="n">
        <v>1129400</v>
      </c>
      <c r="C3486" s="7" t="n">
        <v>399576</v>
      </c>
      <c r="D3486" s="7" t="n">
        <v>74640</v>
      </c>
      <c r="E3486" s="8" t="n">
        <v>39343</v>
      </c>
      <c r="F3486" s="7" t="n">
        <v>4</v>
      </c>
      <c r="G3486" s="7" t="inlineStr">
        <is>
          <t>Really very tasty and easy. Perfect for a q quick weeknight meal. I loved the simplicity of the marinade. Thanks for posting.</t>
        </is>
      </c>
    </row>
    <row r="3487">
      <c r="A3487" s="7" t="n">
        <v>112050</v>
      </c>
      <c r="B3487" s="7" t="n">
        <v>212054</v>
      </c>
      <c r="C3487" s="7" t="n">
        <v>223979</v>
      </c>
      <c r="D3487" s="7" t="n">
        <v>175011</v>
      </c>
      <c r="E3487" s="8" t="n">
        <v>38912</v>
      </c>
      <c r="F3487" s="7" t="n">
        <v>5</v>
      </c>
      <c r="G3487" s="7" t="inlineStr">
        <is>
          <t>We really enjoyed this.  You are right about the sauce, it is wonderful.  This will be the teriyaki sauce that I will always use.  Thanks for a great recipe!</t>
        </is>
      </c>
    </row>
    <row r="3488">
      <c r="A3488" s="7" t="n">
        <v>113261</v>
      </c>
      <c r="B3488" s="7" t="n">
        <v>20791</v>
      </c>
      <c r="C3488" s="7" t="n">
        <v>631194</v>
      </c>
      <c r="D3488" s="7" t="n">
        <v>88804</v>
      </c>
      <c r="E3488" s="8" t="n">
        <v>39972</v>
      </c>
      <c r="F3488" s="7" t="n">
        <v>5</v>
      </c>
      <c r="G3488" s="7" t="inlineStr">
        <is>
          <t>The taste if 5 stars but this was my first time cooking with egg plant and it turned out really mushy (but I ate it anyway LOL) I love this recipe!</t>
        </is>
      </c>
    </row>
    <row r="3489">
      <c r="A3489" s="7" t="n">
        <v>17614</v>
      </c>
      <c r="B3489" s="7" t="n">
        <v>20301</v>
      </c>
      <c r="C3489" s="7" t="n">
        <v>6357</v>
      </c>
      <c r="D3489" s="7" t="n">
        <v>141715</v>
      </c>
      <c r="E3489" s="8" t="n">
        <v>38643</v>
      </c>
      <c r="F3489" s="7" t="n">
        <v>5</v>
      </c>
      <c r="G3489" s="7" t="inlineStr">
        <is>
          <t>I used walnuts instead of pecans and other than that followed this recipe to the 'T'. This is awesome and my friends really really relished every piece of this cake. Thanks ever so much for a yummy treat!</t>
        </is>
      </c>
    </row>
    <row r="3490">
      <c r="A3490" s="7" t="n">
        <v>123810</v>
      </c>
      <c r="B3490" s="7" t="n">
        <v>701156</v>
      </c>
      <c r="C3490" s="7" t="n">
        <v>771297</v>
      </c>
      <c r="D3490" s="7" t="n">
        <v>24565</v>
      </c>
      <c r="E3490" s="8" t="n">
        <v>39795</v>
      </c>
      <c r="F3490" s="7" t="n">
        <v>5</v>
      </c>
      <c r="G3490" s="7" t="inlineStr">
        <is>
          <t>Family loved it - only change I made was to thicken it at the end of cook time, using 1 T cornstarch with 1 T water.  It tastes like apple pie filling.  Next time I may try using splenda so I can share with my diabetic mother in law.</t>
        </is>
      </c>
    </row>
    <row r="3491">
      <c r="A3491" s="7" t="n">
        <v>61443</v>
      </c>
      <c r="B3491" s="7" t="n">
        <v>326979</v>
      </c>
      <c r="C3491" s="7" t="n">
        <v>1102927</v>
      </c>
      <c r="D3491" s="7" t="n">
        <v>37548</v>
      </c>
      <c r="E3491" s="8" t="n">
        <v>39812</v>
      </c>
      <c r="F3491" s="7" t="n">
        <v>5</v>
      </c>
      <c r="G3491" s="7" t="inlineStr">
        <is>
          <t>I changed this up a bit the first time I made it. I wanted the goodness of cheesecake and the hint of pumpkin. So I made the whole batch minus the spices and pumpkin and filled the pan with about 1/2+ (less than 3/4) of the plain cheesecake and then took the pumpkin and added it to the remaining cheesecake "batter" mixed with the spices and topped the basic layer. Baked and wala!! I loved it! and so did everyone else. people e-mailed me days later asking for the recipe saying they were still thinking about that cheesecake !! Hope this helps Enjoy!</t>
        </is>
      </c>
    </row>
    <row r="3492">
      <c r="A3492" s="7" t="n">
        <v>97058</v>
      </c>
      <c r="B3492" s="7" t="n">
        <v>436792</v>
      </c>
      <c r="C3492" s="7" t="n">
        <v>336058</v>
      </c>
      <c r="D3492" s="7" t="n">
        <v>419386</v>
      </c>
      <c r="E3492" s="8" t="n">
        <v>40394</v>
      </c>
      <c r="F3492" s="7" t="n">
        <v>5</v>
      </c>
      <c r="G3492" s="7" t="inlineStr">
        <is>
          <t>I was looking for a simple recipe to use virgin coconut oil in.  I want to take more every day.  I cut the recipe in half and used ground almonds and about 1 tsp of vanilla.  This is fantastic, if you like carob.  If not, just use cocoa.  Carob is so much better for you, and you could even give some of this to your dog as a special treat (all the ingredients are safe for dogs).  I put it in a cake pan and in the fridge for 1/2 hour, and it came out firm, but I couldn't get it out of the pan without scraping.  It's almost like truffle consistency.  I don't feel guilty about eating this, as it's not a ton of sugar either.</t>
        </is>
      </c>
    </row>
    <row r="3493">
      <c r="A3493" s="7" t="n">
        <v>8729</v>
      </c>
      <c r="B3493" s="7" t="n">
        <v>577683</v>
      </c>
      <c r="C3493" s="7" t="n">
        <v>758045</v>
      </c>
      <c r="D3493" s="7" t="n">
        <v>287863</v>
      </c>
      <c r="E3493" s="8" t="n">
        <v>39612</v>
      </c>
      <c r="F3493" s="7" t="n">
        <v>4</v>
      </c>
      <c r="G3493" s="7" t="inlineStr">
        <is>
          <t>Hey, I finally got around to making this, it was really good and simple! It was a little more tangy than I like for pulled pork, so I added a little bit of worcestershire sauce for some smokey flavor. I will make this again!</t>
        </is>
      </c>
    </row>
    <row r="3494">
      <c r="A3494" s="7" t="n">
        <v>67867</v>
      </c>
      <c r="B3494" s="7" t="n">
        <v>118514</v>
      </c>
      <c r="C3494" s="7" t="n">
        <v>530501</v>
      </c>
      <c r="D3494" s="7" t="n">
        <v>202598</v>
      </c>
      <c r="E3494" s="8" t="n">
        <v>40810</v>
      </c>
      <c r="F3494" s="7" t="n">
        <v>5</v>
      </c>
      <c r="G3494" s="7" t="inlineStr">
        <is>
          <t>Very good. I wanted an easy recipe because I was feeling lazy. Fried these in a cast iron pan. My boyfriend thought these were great. I doubt we will look for another recipe. Tasty. Thanks.</t>
        </is>
      </c>
    </row>
    <row r="3495">
      <c r="A3495" s="7" t="n">
        <v>69418</v>
      </c>
      <c r="B3495" s="7" t="n">
        <v>405034</v>
      </c>
      <c r="C3495" s="7" t="n">
        <v>2076792</v>
      </c>
      <c r="D3495" s="7" t="n">
        <v>242793</v>
      </c>
      <c r="E3495" s="8" t="n">
        <v>40869</v>
      </c>
      <c r="F3495" s="7" t="n">
        <v>0</v>
      </c>
      <c r="G3495" s="7" t="inlineStr">
        <is>
          <t>This is a great recipe, don't listen to the negative review I think its all about the cook if such a good dish doesn't turn out. Make sure you do a home-made paste, this way you ca control the chilli content (and i like plenty of chillies) her is a link to a massaman home made paste http://www.food.com/recipe/massamun-curry-paste-41591 &lt;br/&gt;I also changed the coconut milk to low fat carnation milk but only added 10% during cooking and other 90% in last hour with the fish sauce and palm suger. and I used good quality Osso Bucco even better. Good luck.</t>
        </is>
      </c>
    </row>
    <row r="3496">
      <c r="A3496" s="7" t="n">
        <v>56643</v>
      </c>
      <c r="B3496" s="7" t="n">
        <v>939469</v>
      </c>
      <c r="C3496" s="7" t="n">
        <v>382071</v>
      </c>
      <c r="D3496" s="7" t="n">
        <v>209058</v>
      </c>
      <c r="E3496" s="8" t="n">
        <v>39144</v>
      </c>
      <c r="F3496" s="7" t="n">
        <v>5</v>
      </c>
      <c r="G3496" s="7" t="inlineStr">
        <is>
          <t>Wonderful!I thought I had bought apricot nectar but it was mango...so I used that and all else the same. I tried it without the sugar and then with...I liked it better with it. Thanks for this yummy refreshing recipe.</t>
        </is>
      </c>
    </row>
    <row r="3497">
      <c r="A3497" s="7" t="n">
        <v>59166</v>
      </c>
      <c r="B3497" s="7" t="n">
        <v>782501</v>
      </c>
      <c r="C3497" s="7" t="n">
        <v>248799</v>
      </c>
      <c r="D3497" s="7" t="n">
        <v>10822</v>
      </c>
      <c r="E3497" s="8" t="n">
        <v>38746</v>
      </c>
      <c r="F3497" s="7" t="n">
        <v>5</v>
      </c>
      <c r="G3497" s="7" t="inlineStr">
        <is>
          <t>Seasoned just right for everyone in the family to enjoy. Although my husband and I added hot sauce to ours. My three year old ate this up. I put in 2 cooked chicken breast but left everything else the same. Next time I think I'm going to use your crockpot chicken recipe #4957 as the filling. Thanks a lot!</t>
        </is>
      </c>
    </row>
    <row r="3498">
      <c r="A3498" s="7" t="n">
        <v>125152</v>
      </c>
      <c r="B3498" s="7" t="n">
        <v>510240</v>
      </c>
      <c r="C3498" s="7" t="n">
        <v>486680</v>
      </c>
      <c r="D3498" s="7" t="n">
        <v>89207</v>
      </c>
      <c r="E3498" s="8" t="n">
        <v>40072</v>
      </c>
      <c r="F3498" s="7" t="n">
        <v>5</v>
      </c>
      <c r="G3498" s="7" t="inlineStr">
        <is>
          <t>12 March 2009 - YUM! YUM YUM YUM YUM YUM! This is a Fabulous frosting. I made to decorate some cupcakes that I made for a Hen's Party. Thank you for sharing! :) 17 September 2009  - Made this again to cover my son's 5th birthday cake. SO good. I for got how much this recipe made so there is plenty left for my husbands birthday cake next week.</t>
        </is>
      </c>
    </row>
    <row r="3499">
      <c r="A3499" s="7" t="n">
        <v>26189</v>
      </c>
      <c r="B3499" s="7" t="n">
        <v>973156</v>
      </c>
      <c r="C3499" s="7" t="n">
        <v>166642</v>
      </c>
      <c r="D3499" s="7" t="n">
        <v>260920</v>
      </c>
      <c r="E3499" s="8" t="n">
        <v>39507</v>
      </c>
      <c r="F3499" s="7" t="n">
        <v>5</v>
      </c>
      <c r="G3499" s="7" t="inlineStr">
        <is>
          <t>This is so very good! My family really enjoyed this a lot. I used hot Italian sausage, fresh sliced mushrooms and only the cheddar cheese because I didn't realize beforehand that I didn't have the mozzarella cheese. I did substitute some parmesan cheese that I had, but the cheddar is delicious in this. I liked that it only took 3 hours in the slow cooker on low. I did boil my rigatoni for just about 8 minutes so that it wouldn't get too soft in the slow cooker. That worked great! Thanks for sharing!</t>
        </is>
      </c>
    </row>
    <row r="3500" ht="409.5" customHeight="1">
      <c r="A3500" s="7" t="n">
        <v>64481</v>
      </c>
      <c r="B3500" s="7" t="n">
        <v>978408</v>
      </c>
      <c r="C3500" s="7" t="n">
        <v>93006</v>
      </c>
      <c r="D3500" s="7" t="n">
        <v>104975</v>
      </c>
      <c r="E3500" s="8" t="n">
        <v>38713</v>
      </c>
      <c r="F3500" s="7" t="n">
        <v>5</v>
      </c>
      <c r="G3500" s="9" t="inlineStr">
        <is>
          <t>Made these in honor of JB's b-day on Christmas day ;)_x000D_
So easy, so festive and such a great flavor combo.  We tried the caramel kisses too, and both they and the hugs needed at least 5 minutes in my oven.  Love 'em - will make them every year.</t>
        </is>
      </c>
    </row>
    <row r="3501">
      <c r="A3501" s="7" t="n">
        <v>6510</v>
      </c>
      <c r="B3501" s="7" t="n">
        <v>72891</v>
      </c>
      <c r="C3501" s="7" t="n">
        <v>490843</v>
      </c>
      <c r="D3501" s="7" t="n">
        <v>54269</v>
      </c>
      <c r="E3501" s="8" t="n">
        <v>39388</v>
      </c>
      <c r="F3501" s="7" t="n">
        <v>5</v>
      </c>
      <c r="G3501" s="7" t="inlineStr">
        <is>
          <t>I really like the convenience of a cake mix but I also like a three layer cake and this is the answer!  I tried it today and it is just perfect. Thanks so much for sharing.</t>
        </is>
      </c>
    </row>
    <row r="3502">
      <c r="A3502" s="7" t="n">
        <v>85704</v>
      </c>
      <c r="B3502" s="7" t="n">
        <v>722419</v>
      </c>
      <c r="C3502" s="7" t="n">
        <v>514976</v>
      </c>
      <c r="D3502" s="7" t="n">
        <v>98090</v>
      </c>
      <c r="E3502" s="8" t="n">
        <v>39819</v>
      </c>
      <c r="F3502" s="7" t="n">
        <v>5</v>
      </c>
      <c r="G3502" s="7" t="inlineStr">
        <is>
          <t>Easy to make and very tasty. I didnt have any jalepeno pepper and it was still great!!!</t>
        </is>
      </c>
    </row>
    <row r="3503">
      <c r="A3503" t="n">
        <v>89407</v>
      </c>
      <c r="B3503" t="n">
        <v>630476</v>
      </c>
      <c r="C3503" t="n">
        <v>2002370666</v>
      </c>
      <c r="D3503" t="n">
        <v>13598</v>
      </c>
      <c r="E3503" s="1" t="n">
        <v>43452</v>
      </c>
      <c r="F3503" t="n">
        <v>0</v>
      </c>
      <c r="G3503" t="inlineStr">
        <is>
          <t>i love this recipes make it easy for everyone this is winner thanks for sharing. https://shahidmalik9678.blogspot.com/2018/11/Unique-kheer-dishes-2018.html</t>
        </is>
      </c>
    </row>
    <row r="3504">
      <c r="A3504" s="7" t="n">
        <v>40416</v>
      </c>
      <c r="B3504" s="7" t="n">
        <v>714794</v>
      </c>
      <c r="C3504" s="7" t="n">
        <v>590105</v>
      </c>
      <c r="D3504" s="7" t="n">
        <v>321224</v>
      </c>
      <c r="E3504" s="8" t="n">
        <v>39746</v>
      </c>
      <c r="F3504" s="7" t="n">
        <v>5</v>
      </c>
      <c r="G3504" s="7" t="inlineStr">
        <is>
          <t>Excellent salsa.  I made it exactly as written and enjoyed it a lot.  Thanks!  Reviewed for the Aussie/NZ Recipe Swap.</t>
        </is>
      </c>
    </row>
    <row r="3505">
      <c r="A3505" s="7" t="n">
        <v>82103</v>
      </c>
      <c r="B3505" s="7" t="n">
        <v>458229</v>
      </c>
      <c r="C3505" s="7" t="n">
        <v>395152</v>
      </c>
      <c r="D3505" s="7" t="n">
        <v>66409</v>
      </c>
      <c r="E3505" s="8" t="n">
        <v>40324</v>
      </c>
      <c r="F3505" s="7" t="n">
        <v>5</v>
      </c>
      <c r="G3505" s="7" t="inlineStr">
        <is>
          <t>Super easy and yummy!  I added 1/2 teaspoon of vanilla, divided my two balls into 8 wedges each, then sprinkled w/ sugar before baking.  Great recipe!</t>
        </is>
      </c>
    </row>
    <row r="3506">
      <c r="A3506" s="7" t="n">
        <v>25243</v>
      </c>
      <c r="B3506" s="7" t="n">
        <v>834817</v>
      </c>
      <c r="C3506" s="7" t="n">
        <v>346576</v>
      </c>
      <c r="D3506" s="7" t="n">
        <v>32973</v>
      </c>
      <c r="E3506" s="8" t="n">
        <v>39140</v>
      </c>
      <c r="F3506" s="7" t="n">
        <v>5</v>
      </c>
      <c r="G3506" s="7" t="inlineStr">
        <is>
          <t>Made these for dinner last night and the whole family loved them.  Very easy to prepare and such delicious flavor.  I'll be preparing my hamburger steak this way only from now on!!</t>
        </is>
      </c>
    </row>
    <row r="3507" ht="390" customHeight="1">
      <c r="A3507" s="7" t="n">
        <v>34095</v>
      </c>
      <c r="B3507" s="7" t="n">
        <v>985034</v>
      </c>
      <c r="C3507" s="7" t="n">
        <v>125356</v>
      </c>
      <c r="D3507" s="7" t="n">
        <v>103243</v>
      </c>
      <c r="E3507" s="8" t="n">
        <v>38727</v>
      </c>
      <c r="F3507" s="7" t="n">
        <v>5</v>
      </c>
      <c r="G3507" s="9" t="inlineStr">
        <is>
          <t xml:space="preserve">Delicious!!!!!!!! So fast and so tasty!!! I used half of the broccoli and all the sauce and also used 3 cloves of garlic sliced thin instead of one minced. I just love garlic. _x000D_
Thank You Eebrag._x000D_
</t>
        </is>
      </c>
    </row>
    <row r="3508">
      <c r="A3508" s="7" t="n">
        <v>21965</v>
      </c>
      <c r="B3508" s="7" t="n">
        <v>116316</v>
      </c>
      <c r="C3508" s="7" t="n">
        <v>480195</v>
      </c>
      <c r="D3508" s="7" t="n">
        <v>8757</v>
      </c>
      <c r="E3508" s="8" t="n">
        <v>39436</v>
      </c>
      <c r="F3508" s="7" t="n">
        <v>5</v>
      </c>
      <c r="G3508" s="7" t="inlineStr">
        <is>
          <t>Great cookies! Good flavor and they are soft. I didn't chill the dough, just rolled balls the size of a walnut and baked as directed. Thanks for a wonderful recipe.</t>
        </is>
      </c>
    </row>
    <row r="3509">
      <c r="A3509" s="7" t="n">
        <v>122052</v>
      </c>
      <c r="B3509" s="7" t="n">
        <v>203795</v>
      </c>
      <c r="C3509" s="7" t="n">
        <v>162086</v>
      </c>
      <c r="D3509" s="7" t="n">
        <v>83789</v>
      </c>
      <c r="E3509" s="8" t="n">
        <v>39634</v>
      </c>
      <c r="F3509" s="7" t="n">
        <v>5</v>
      </c>
      <c r="G3509" s="7" t="inlineStr">
        <is>
          <t>Amazing!!  We loved this pie, it will be our #1 fruit pie from now on.  Use a deep dish pie plate or it will boil over.  We like it served warm, add some vanilla bean ice cream and it is heaven...mmmm! Thanks for posting!!</t>
        </is>
      </c>
    </row>
    <row r="3510">
      <c r="A3510" s="7" t="n">
        <v>53130</v>
      </c>
      <c r="B3510" s="7" t="n">
        <v>10142</v>
      </c>
      <c r="C3510" s="7" t="n">
        <v>673444</v>
      </c>
      <c r="D3510" s="7" t="n">
        <v>30648</v>
      </c>
      <c r="E3510" s="8" t="n">
        <v>40350</v>
      </c>
      <c r="F3510" s="7" t="n">
        <v>5</v>
      </c>
      <c r="G3510" s="7" t="inlineStr">
        <is>
          <t>Yummy. I made this a tad healthier by using wedges of laughing cow cheese for the cream cheese and turkey bacon in place of pork.  Easy and delicious. Great on the grill. Thanks for posting!</t>
        </is>
      </c>
    </row>
    <row r="3511">
      <c r="A3511" s="7" t="n">
        <v>8929</v>
      </c>
      <c r="B3511" s="7" t="n">
        <v>545400</v>
      </c>
      <c r="C3511" s="7" t="n">
        <v>1800146003</v>
      </c>
      <c r="D3511" s="7" t="n">
        <v>246693</v>
      </c>
      <c r="E3511" s="8" t="n">
        <v>41636</v>
      </c>
      <c r="F3511" s="7" t="n">
        <v>5</v>
      </c>
      <c r="G3511" s="7" t="inlineStr">
        <is>
          <t>I was looking for a recipe for beef sausage and used this one.&amp;lt;br/&amp;gt;I added new potatoes deleted the green chile added some brown sauce and served over the rice.</t>
        </is>
      </c>
    </row>
    <row r="3512">
      <c r="A3512" s="7" t="n">
        <v>7407</v>
      </c>
      <c r="B3512" s="7" t="n">
        <v>850352</v>
      </c>
      <c r="C3512" s="7" t="n">
        <v>2001072489</v>
      </c>
      <c r="D3512" s="7" t="n">
        <v>57340</v>
      </c>
      <c r="E3512" s="8" t="n">
        <v>42553</v>
      </c>
      <c r="F3512" s="7" t="n">
        <v>5</v>
      </c>
      <c r="G3512" s="7" t="inlineStr">
        <is>
          <t>I've been using this basic recipe for years now, but I also have modified it over the years to! I now add paprika and or turmeric as I've really come to appreciate what these ingredients add to dishes!! ��</t>
        </is>
      </c>
    </row>
    <row r="3513">
      <c r="A3513" s="7" t="n">
        <v>118745</v>
      </c>
      <c r="B3513" s="7" t="n">
        <v>718739</v>
      </c>
      <c r="C3513" s="7" t="n">
        <v>37873</v>
      </c>
      <c r="D3513" s="7" t="n">
        <v>102506</v>
      </c>
      <c r="E3513" s="8" t="n">
        <v>39134</v>
      </c>
      <c r="F3513" s="7" t="n">
        <v>5</v>
      </c>
      <c r="G3513" s="7" t="inlineStr">
        <is>
          <t>Loved it !!! I did omit the ground beef and used only hot turkey sausage. Used white kidney beans and only 1/2 pound of penne pasta. All the rest of the ingredients were used as printed. Since we are only two, this was suffient for dinner the night I made it and lunch 2 days later.  I think it was even better at lunch. The flavors settled in very well.</t>
        </is>
      </c>
    </row>
    <row r="3514">
      <c r="A3514" s="7" t="n">
        <v>2806</v>
      </c>
      <c r="B3514" s="7" t="n">
        <v>322584</v>
      </c>
      <c r="C3514" s="7" t="n">
        <v>60989</v>
      </c>
      <c r="D3514" s="7" t="n">
        <v>60301</v>
      </c>
      <c r="E3514" s="8" t="n">
        <v>37789</v>
      </c>
      <c r="F3514" s="7" t="n">
        <v>5</v>
      </c>
      <c r="G3514" s="7" t="inlineStr">
        <is>
          <t>OH YUM!!! So easy, and so wonderful! I was kicking myself for not putting my chicken in my crockpot yesterday AM for my dinner guests. Then I found this, and am so happy I did! It was into the oven in under 5 minutes, and smelled wonderful by the time they arrived! Tasted even better!!!! They thought I slaved... dont tell. Thanks so much!</t>
        </is>
      </c>
    </row>
    <row r="3515">
      <c r="A3515" s="7" t="n">
        <v>42424</v>
      </c>
      <c r="B3515" s="7" t="n">
        <v>622063</v>
      </c>
      <c r="C3515" s="7" t="n">
        <v>222478</v>
      </c>
      <c r="D3515" s="7" t="n">
        <v>66989</v>
      </c>
      <c r="E3515" s="8" t="n">
        <v>39062</v>
      </c>
      <c r="F3515" s="7" t="n">
        <v>4</v>
      </c>
      <c r="G3515" s="7" t="inlineStr">
        <is>
          <t>Great tasting and quick to make mushroom sauce. I found a bit more simmering was needed to reduce the mushrooms enough, and also added a small dash of flour towards the end to thicken it a bit more.</t>
        </is>
      </c>
    </row>
    <row r="3516">
      <c r="A3516" s="7" t="n">
        <v>93867</v>
      </c>
      <c r="B3516" s="7" t="n">
        <v>849021</v>
      </c>
      <c r="C3516" s="7" t="n">
        <v>2528717</v>
      </c>
      <c r="D3516" s="7" t="n">
        <v>28969</v>
      </c>
      <c r="E3516" s="8" t="n">
        <v>41240</v>
      </c>
      <c r="F3516" s="7" t="n">
        <v>5</v>
      </c>
      <c r="G3516" s="7" t="inlineStr">
        <is>
          <t>Great recipe! This got my boy to eat peas and mushroom soup without complaint! Thanks for sharing!</t>
        </is>
      </c>
    </row>
    <row r="3517">
      <c r="A3517" s="7" t="n">
        <v>12117</v>
      </c>
      <c r="B3517" s="7" t="n">
        <v>168405</v>
      </c>
      <c r="C3517" s="7" t="n">
        <v>950564</v>
      </c>
      <c r="D3517" s="7" t="n">
        <v>163204</v>
      </c>
      <c r="E3517" s="8" t="n">
        <v>39791</v>
      </c>
      <c r="F3517" s="7" t="n">
        <v>5</v>
      </c>
      <c r="G3517" s="7" t="inlineStr">
        <is>
          <t>I put this together last month and put it into a ziplock bag and froze it.  I defrosted it and cooked in the crock pot today (on high for 4 hrs) and it was great!!  Very tender and flavorful.  My husband and daughters loved it.  Husband said it was the right amount of sweet with tangy.</t>
        </is>
      </c>
    </row>
    <row r="3518">
      <c r="A3518" s="7" t="n">
        <v>70557</v>
      </c>
      <c r="B3518" s="7" t="n">
        <v>905749</v>
      </c>
      <c r="C3518" s="7" t="n">
        <v>27643</v>
      </c>
      <c r="D3518" s="7" t="n">
        <v>15739</v>
      </c>
      <c r="E3518" s="8" t="n">
        <v>37263</v>
      </c>
      <c r="F3518" s="7" t="n">
        <v>4</v>
      </c>
      <c r="G3518" s="7" t="inlineStr">
        <is>
          <t>You're right. This is very easy to make. I couldn't find butterfish, so I used fresh true cod. The dish was very tasty. My husband and I both enjoyed it. I will make this again.</t>
        </is>
      </c>
    </row>
    <row r="3519">
      <c r="A3519" s="7" t="n">
        <v>39193</v>
      </c>
      <c r="B3519" s="7" t="n">
        <v>24172</v>
      </c>
      <c r="C3519" s="7" t="n">
        <v>577107</v>
      </c>
      <c r="D3519" s="7" t="n">
        <v>242296</v>
      </c>
      <c r="E3519" s="8" t="n">
        <v>39327</v>
      </c>
      <c r="F3519" s="7" t="n">
        <v>5</v>
      </c>
      <c r="G3519" s="7" t="inlineStr">
        <is>
          <t>Really good.  The kids loved it</t>
        </is>
      </c>
    </row>
    <row r="3520" ht="409.5" customHeight="1">
      <c r="A3520" s="7" t="n">
        <v>84941</v>
      </c>
      <c r="B3520" s="7" t="n">
        <v>601902</v>
      </c>
      <c r="C3520" s="7" t="n">
        <v>378063</v>
      </c>
      <c r="D3520" s="7" t="n">
        <v>177577</v>
      </c>
      <c r="E3520" s="8" t="n">
        <v>39919</v>
      </c>
      <c r="F3520" s="7" t="n">
        <v>5</v>
      </c>
      <c r="G3520" s="9" t="inlineStr">
        <is>
          <t>My family (young and older) love the flavor and texture of this great Whole Wheat Bread.  My two granddaughters call and ask if I am making the Sunflower Raisin Bread so they can come over and eat it warm out of the bread machine!!
Rocknana</t>
        </is>
      </c>
    </row>
    <row r="3521">
      <c r="A3521" s="7" t="n">
        <v>14228</v>
      </c>
      <c r="B3521" s="7" t="n">
        <v>935789</v>
      </c>
      <c r="C3521" s="7" t="n">
        <v>1132472</v>
      </c>
      <c r="D3521" s="7" t="n">
        <v>373186</v>
      </c>
      <c r="E3521" s="8" t="n">
        <v>40044</v>
      </c>
      <c r="F3521" s="7" t="n">
        <v>5</v>
      </c>
      <c r="G3521" s="7" t="inlineStr">
        <is>
          <t>I made this quiche as well as four other different quiches for a ladies luncheon.  This was the big winner!  It was absolutely delicious.  I am still getting emails from ladies requesting this recipe!  Thanks you,Cyndi!  You made me look good!</t>
        </is>
      </c>
    </row>
    <row r="3522">
      <c r="A3522" s="7" t="n">
        <v>91910</v>
      </c>
      <c r="B3522" s="7" t="n">
        <v>960295</v>
      </c>
      <c r="C3522" s="7" t="n">
        <v>421537</v>
      </c>
      <c r="D3522" s="7" t="n">
        <v>171809</v>
      </c>
      <c r="E3522" s="8" t="n">
        <v>40016</v>
      </c>
      <c r="F3522" s="7" t="n">
        <v>5</v>
      </c>
      <c r="G3522" s="7" t="inlineStr">
        <is>
          <t>Great flavor! I used about 8 small cucumbers from the garden and this made plenty of juice for them. I am really enjoying them.</t>
        </is>
      </c>
    </row>
    <row r="3523">
      <c r="A3523" s="7" t="n">
        <v>31618</v>
      </c>
      <c r="B3523" s="7" t="n">
        <v>405194</v>
      </c>
      <c r="C3523" s="7" t="n">
        <v>2002139360</v>
      </c>
      <c r="D3523" s="7" t="n">
        <v>526211</v>
      </c>
      <c r="E3523" s="8" t="n">
        <v>43222</v>
      </c>
      <c r="F3523" s="7" t="n">
        <v>4</v>
      </c>
      <c r="G3523" s="7" t="inlineStr">
        <is>
          <t>I love joppiesaus</t>
        </is>
      </c>
    </row>
    <row r="3524">
      <c r="A3524" t="n">
        <v>79400</v>
      </c>
      <c r="B3524" t="n">
        <v>418837</v>
      </c>
      <c r="C3524" t="n">
        <v>329769</v>
      </c>
      <c r="D3524" t="n">
        <v>376528</v>
      </c>
      <c r="E3524" s="1" t="n">
        <v>40014</v>
      </c>
      <c r="F3524" t="n">
        <v>5</v>
      </c>
      <c r="G3524" t="inlineStr">
        <is>
          <t>*Reviewed for Aussie Forum Recipe Tag Game * Recipe was very easy to make and made 4 bread-roll sized dampers. Cooked up like a traditional style damper with a crusty outer and soft inside. My dampers were done at 25 minutes, though my oven does tend to cook a little higher at temps above 200  Great recipe. Photos also being posted</t>
        </is>
      </c>
    </row>
    <row r="3525">
      <c r="A3525" s="7" t="n">
        <v>51126</v>
      </c>
      <c r="B3525" s="7" t="n">
        <v>36498</v>
      </c>
      <c r="C3525" s="7" t="n">
        <v>469021</v>
      </c>
      <c r="D3525" s="7" t="n">
        <v>227247</v>
      </c>
      <c r="E3525" s="8" t="n">
        <v>39264</v>
      </c>
      <c r="F3525" s="7" t="n">
        <v>4</v>
      </c>
      <c r="G3525" s="7" t="inlineStr">
        <is>
          <t>Quite good; super easy to make, and very quick.  A good weeknight, I-Don't-Have-Any-Time-Tonight-To-Cook recipe.  I would make these again.  Made for Zingo! ZWT3.</t>
        </is>
      </c>
    </row>
    <row r="3526">
      <c r="A3526" s="7" t="n">
        <v>18971</v>
      </c>
      <c r="B3526" s="7" t="n">
        <v>629450</v>
      </c>
      <c r="C3526" s="7" t="n">
        <v>2001346254</v>
      </c>
      <c r="D3526" s="7" t="n">
        <v>19851</v>
      </c>
      <c r="E3526" s="8" t="n">
        <v>42745</v>
      </c>
      <c r="F3526" s="7" t="n">
        <v>1</v>
      </c>
      <c r="G3526" s="7" t="inlineStr">
        <is>
          <t>I was looking for a make ahead recipe to serve Christmas Eve. Based on the reviews I decided to make this recipe....mistake. After browning the breasts they are completely cooked. The breast were very dry even after being in the sauce overnight. Marsala sauce had a nice flavor. Sorry this will not be a recipe I prepare again.</t>
        </is>
      </c>
    </row>
    <row r="3527">
      <c r="A3527" s="7" t="n">
        <v>37365</v>
      </c>
      <c r="B3527" s="7" t="n">
        <v>1050250</v>
      </c>
      <c r="C3527" s="7" t="n">
        <v>663997</v>
      </c>
      <c r="D3527" s="7" t="n">
        <v>53878</v>
      </c>
      <c r="E3527" s="8" t="n">
        <v>40441</v>
      </c>
      <c r="F3527" s="7" t="n">
        <v>5</v>
      </c>
      <c r="G3527" s="7" t="inlineStr">
        <is>
          <t>Everyone loved.  Easy and no effort.  What a great combo!</t>
        </is>
      </c>
    </row>
    <row r="3528">
      <c r="A3528" s="7" t="n">
        <v>11560</v>
      </c>
      <c r="B3528" s="7" t="n">
        <v>501632</v>
      </c>
      <c r="C3528" s="7" t="n">
        <v>318225</v>
      </c>
      <c r="D3528" s="7" t="n">
        <v>306368</v>
      </c>
      <c r="E3528" s="8" t="n">
        <v>42757</v>
      </c>
      <c r="F3528" s="7" t="n">
        <v>5</v>
      </c>
      <c r="G3528" s="7" t="inlineStr">
        <is>
          <t>This bread recipe is a keeper. It is one of the best loaves of bread I have ever made. This will be the only one I make from now on. Love it!!!</t>
        </is>
      </c>
    </row>
    <row r="3529">
      <c r="A3529" s="7" t="n">
        <v>82427</v>
      </c>
      <c r="B3529" s="7" t="n">
        <v>99069</v>
      </c>
      <c r="C3529" s="7" t="n">
        <v>104295</v>
      </c>
      <c r="D3529" s="7" t="n">
        <v>8468</v>
      </c>
      <c r="E3529" s="8" t="n">
        <v>39251</v>
      </c>
      <c r="F3529" s="7" t="n">
        <v>5</v>
      </c>
      <c r="G3529" s="7" t="inlineStr">
        <is>
          <t>This is just like my old standy by recipe and I love it.  I used rice wine vinegar (also known as the sushi vinegar) and loved the flavor it gave.  I only used 8 oz. because it was all I had and I found it plenty.  For me, 10 oz would have been too much.  Used splenda for the sugar with no issue.  Yum.</t>
        </is>
      </c>
    </row>
    <row r="3530">
      <c r="A3530" s="7" t="n">
        <v>107108</v>
      </c>
      <c r="B3530" s="7" t="n">
        <v>1016517</v>
      </c>
      <c r="C3530" s="7" t="n">
        <v>1274045</v>
      </c>
      <c r="D3530" s="7" t="n">
        <v>349246</v>
      </c>
      <c r="E3530" s="8" t="n">
        <v>40077</v>
      </c>
      <c r="F3530" s="7" t="n">
        <v>5</v>
      </c>
      <c r="G3530" s="7" t="inlineStr">
        <is>
          <t>I can't believe that a recipe like this is possible! Thanks for posting :) This is delicious and it cured my craving for chocolate without leaving me with a giant pan of brownies to snack on for days.</t>
        </is>
      </c>
    </row>
    <row r="3531">
      <c r="A3531" s="7" t="n">
        <v>18336</v>
      </c>
      <c r="B3531" s="7" t="n">
        <v>246202</v>
      </c>
      <c r="C3531" s="7" t="n">
        <v>226863</v>
      </c>
      <c r="D3531" s="7" t="n">
        <v>364770</v>
      </c>
      <c r="E3531" s="8" t="n">
        <v>40619</v>
      </c>
      <c r="F3531" s="7" t="n">
        <v>5</v>
      </c>
      <c r="G3531" s="7" t="inlineStr">
        <is>
          <t>Delicious!  I've been wanting to make this for at least a year, and just never got around to it.  I'm so glad I made it.  I cooked this in the oven, since that is how BakinBaby prefers it.  It was so easy to make, and so moist and delicious.  The mustard sauce is great too, although I'd add a few more green onions....just my preference.  I also drizzled a bit of the marinade on the tenderloin right before I ate it (after the photo), because it was so good I couldn't not have more!  Thanks for sharing your wonderful recipe!</t>
        </is>
      </c>
    </row>
    <row r="3532">
      <c r="A3532" s="7" t="n">
        <v>6199</v>
      </c>
      <c r="B3532" s="7" t="n">
        <v>232371</v>
      </c>
      <c r="C3532" s="7" t="n">
        <v>53425</v>
      </c>
      <c r="D3532" s="7" t="n">
        <v>33392</v>
      </c>
      <c r="E3532" s="8" t="n">
        <v>37571</v>
      </c>
      <c r="F3532" s="7" t="n">
        <v>4</v>
      </c>
      <c r="G3532" s="7" t="inlineStr">
        <is>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is>
      </c>
    </row>
    <row r="3533">
      <c r="A3533" s="7" t="n">
        <v>77051</v>
      </c>
      <c r="B3533" s="7" t="n">
        <v>741565</v>
      </c>
      <c r="C3533" s="7" t="n">
        <v>74652</v>
      </c>
      <c r="D3533" s="7" t="n">
        <v>132249</v>
      </c>
      <c r="E3533" s="8" t="n">
        <v>38603</v>
      </c>
      <c r="F3533" s="7" t="n">
        <v>5</v>
      </c>
      <c r="G3533" s="7" t="inlineStr">
        <is>
          <t>I made this as a side dish and it is quick and easy and comes out just perfect.  The only thing I added was some cracked black pepper otherwise would not change a thing!  I will make this often!</t>
        </is>
      </c>
    </row>
    <row r="3534">
      <c r="A3534" s="7" t="n">
        <v>23825</v>
      </c>
      <c r="B3534" s="7" t="n">
        <v>1034730</v>
      </c>
      <c r="C3534" s="7" t="n">
        <v>2001405283</v>
      </c>
      <c r="D3534" s="7" t="n">
        <v>109283</v>
      </c>
      <c r="E3534" s="8" t="n">
        <v>42791</v>
      </c>
      <c r="F3534" s="7" t="n">
        <v>5</v>
      </c>
      <c r="G3534" s="7" t="inlineStr">
        <is>
          <t>Excellent! Baked first, by previous reviews recommendations.</t>
        </is>
      </c>
    </row>
    <row r="3535">
      <c r="A3535" t="n">
        <v>73664</v>
      </c>
      <c r="B3535" t="n">
        <v>894020</v>
      </c>
      <c r="C3535" t="n">
        <v>341012</v>
      </c>
      <c r="D3535" t="n">
        <v>29671</v>
      </c>
      <c r="E3535" s="1" t="n">
        <v>40066</v>
      </c>
      <c r="F3535" t="n">
        <v>2</v>
      </c>
      <c r="G3535" t="inlineStr">
        <is>
          <t>I made these with silken tofu as some users suggested and the result was a little strange.  They were kind of soft and mushy, and had a tanginess I didn't care for.  Where did I go wrong?</t>
        </is>
      </c>
    </row>
    <row r="3536">
      <c r="A3536" s="7" t="n">
        <v>90700</v>
      </c>
      <c r="B3536" s="7" t="n">
        <v>324031</v>
      </c>
      <c r="C3536" s="7" t="n">
        <v>690498</v>
      </c>
      <c r="D3536" s="7" t="n">
        <v>80118</v>
      </c>
      <c r="E3536" s="8" t="n">
        <v>39456</v>
      </c>
      <c r="F3536" s="7" t="n">
        <v>3</v>
      </c>
      <c r="G3536" s="7" t="inlineStr">
        <is>
          <t>Definately better than other buttercream recipes I have tried.</t>
        </is>
      </c>
    </row>
    <row r="3537">
      <c r="A3537" s="7" t="n">
        <v>84707</v>
      </c>
      <c r="B3537" s="7" t="n">
        <v>574617</v>
      </c>
      <c r="C3537" s="7" t="n">
        <v>239758</v>
      </c>
      <c r="D3537" s="7" t="n">
        <v>397640</v>
      </c>
      <c r="E3537" s="8" t="n">
        <v>40358</v>
      </c>
      <c r="F3537" s="7" t="n">
        <v>5</v>
      </c>
      <c r="G3537" s="7" t="inlineStr">
        <is>
          <t>This really is 'Just Right'! I made exactly as written using baby spinach and 1/2 cup of water. The balance of flavours is perfect. Don't change a thing. This will appear often on our table -- I always have the ingredients on hand. Oh, and it served two for lunch. Yum, yum, yum!</t>
        </is>
      </c>
    </row>
    <row r="3538">
      <c r="A3538" s="7" t="n">
        <v>78056</v>
      </c>
      <c r="B3538" s="7" t="n">
        <v>455974</v>
      </c>
      <c r="C3538" s="7" t="n">
        <v>64736</v>
      </c>
      <c r="D3538" s="7" t="n">
        <v>32949</v>
      </c>
      <c r="E3538" s="8" t="n">
        <v>37796</v>
      </c>
      <c r="F3538" s="7" t="n">
        <v>5</v>
      </c>
      <c r="G3538" s="7" t="inlineStr">
        <is>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is>
      </c>
    </row>
    <row r="3539">
      <c r="A3539" s="7" t="n">
        <v>116671</v>
      </c>
      <c r="B3539" s="7" t="n">
        <v>377366</v>
      </c>
      <c r="C3539" s="7" t="n">
        <v>280271</v>
      </c>
      <c r="D3539" s="7" t="n">
        <v>78450</v>
      </c>
      <c r="E3539" s="8" t="n">
        <v>39435</v>
      </c>
      <c r="F3539" s="7" t="n">
        <v>5</v>
      </c>
      <c r="G3539" s="7" t="inlineStr">
        <is>
          <t>Boy is this good!! Made as posted and served it over rice. My side dish was recipe #147784. This was a great meal. Plan to make it again. I let it marinade for about 3 hours. What can I say... This was awesome! I figured this to have 5 WW points. With the rice and side dish the whole meal was about 8 points. Thanks Gerry sans Sanddunes for posting.</t>
        </is>
      </c>
    </row>
    <row r="3540">
      <c r="A3540" s="7" t="n">
        <v>112137</v>
      </c>
      <c r="B3540" s="7" t="n">
        <v>509938</v>
      </c>
      <c r="C3540" s="7" t="n">
        <v>185285</v>
      </c>
      <c r="D3540" s="7" t="n">
        <v>89207</v>
      </c>
      <c r="E3540" s="8" t="n">
        <v>39315</v>
      </c>
      <c r="F3540" s="7" t="n">
        <v>5</v>
      </c>
      <c r="G3540" s="7" t="inlineStr">
        <is>
          <t>I actually used this frosting to go with Recipe#32204 for a company BBQ. Super easy frosting that can go with anything. Not too sweet, and just rich enough. Definately fail-safe if you're looking for a frosting that won't risk conflicting tastes.</t>
        </is>
      </c>
    </row>
    <row r="3541">
      <c r="A3541" s="7" t="n">
        <v>34588</v>
      </c>
      <c r="B3541" s="7" t="n">
        <v>494991</v>
      </c>
      <c r="C3541" s="7" t="n">
        <v>46660</v>
      </c>
      <c r="D3541" s="7" t="n">
        <v>114052</v>
      </c>
      <c r="E3541" s="8" t="n">
        <v>39144</v>
      </c>
      <c r="F3541" s="7" t="n">
        <v>5</v>
      </c>
      <c r="G3541" s="7" t="inlineStr">
        <is>
          <t>We thoroughly enjoyed this.  I left out the red jalapenos so my son could eat it. I served it with rice and roasted asparagus. My husband ate the whole bowl of salsa (except for the bit I managed to wrangle away for my fish)! Thanks for the recipe!</t>
        </is>
      </c>
    </row>
    <row r="3542">
      <c r="A3542" s="7" t="n">
        <v>71976</v>
      </c>
      <c r="B3542" s="7" t="n">
        <v>525376</v>
      </c>
      <c r="C3542" s="7" t="n">
        <v>59780</v>
      </c>
      <c r="D3542" s="7" t="n">
        <v>29028</v>
      </c>
      <c r="E3542" s="8" t="n">
        <v>38102</v>
      </c>
      <c r="F3542" s="7" t="n">
        <v>5</v>
      </c>
      <c r="G3542" s="7" t="inlineStr">
        <is>
          <t>I love to cook and bake with my kids and also with the kids that I care for during the day. I was searching for something to make and realized I was out of eggs and flour!! I found this recipe, I had everything on hand and I was still able to make something fun with the kids. I didn't use chocolate chips, but I used some leftover chocolate easter bunny instead. Great snack, the kids loved it!</t>
        </is>
      </c>
    </row>
    <row r="3543">
      <c r="A3543" s="7" t="n">
        <v>124553</v>
      </c>
      <c r="B3543" s="7" t="n">
        <v>1049748</v>
      </c>
      <c r="C3543" s="7" t="n">
        <v>512079</v>
      </c>
      <c r="D3543" s="7" t="n">
        <v>92653</v>
      </c>
      <c r="E3543" s="8" t="n">
        <v>39431</v>
      </c>
      <c r="F3543" s="7" t="n">
        <v>5</v>
      </c>
      <c r="G3543" s="7" t="inlineStr">
        <is>
          <t>Very easy and tasty.  I followed the suggestion to double everything but the bread since I like my stuffing moist.  I also cooked it in the crockpot for 2 hours on high and it worked great as well.</t>
        </is>
      </c>
    </row>
    <row r="3544">
      <c r="A3544" s="7" t="n">
        <v>96325</v>
      </c>
      <c r="B3544" s="7" t="n">
        <v>386712</v>
      </c>
      <c r="C3544" s="7" t="n">
        <v>492992</v>
      </c>
      <c r="D3544" s="7" t="n">
        <v>79192</v>
      </c>
      <c r="E3544" s="8" t="n">
        <v>39412</v>
      </c>
      <c r="F3544" s="7" t="n">
        <v>5</v>
      </c>
      <c r="G3544" s="7" t="inlineStr">
        <is>
          <t>I made these the night before Thanksgiving by baking the three large yams I had in the house. I doubled the butter and added 2T of cinnamon sugar. On Thanksgiving I put them back in the oven to heat. I thought they were delicious! Even my sister who doesn't eat yams said they weren't bad and she wouldn't mind eating them. I reheated the leftovers over the weekend and they were still delicious.</t>
        </is>
      </c>
    </row>
    <row r="3545">
      <c r="A3545" s="7" t="n">
        <v>125249</v>
      </c>
      <c r="B3545" s="7" t="n">
        <v>120070</v>
      </c>
      <c r="C3545" s="7" t="n">
        <v>1098454</v>
      </c>
      <c r="D3545" s="7" t="n">
        <v>184211</v>
      </c>
      <c r="E3545" s="8" t="n">
        <v>39993</v>
      </c>
      <c r="F3545" s="7" t="n">
        <v>5</v>
      </c>
      <c r="G3545" s="7" t="inlineStr">
        <is>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is>
      </c>
    </row>
    <row r="3546">
      <c r="A3546" s="7" t="n">
        <v>12948</v>
      </c>
      <c r="B3546" s="7" t="n">
        <v>1074523</v>
      </c>
      <c r="C3546" s="7" t="n">
        <v>357389</v>
      </c>
      <c r="D3546" s="7" t="n">
        <v>135350</v>
      </c>
      <c r="E3546" s="8" t="n">
        <v>40335</v>
      </c>
      <c r="F3546" s="7" t="n">
        <v>5</v>
      </c>
      <c r="G3546" s="7" t="inlineStr">
        <is>
          <t>My favorite Mac and Cheese recipe!</t>
        </is>
      </c>
    </row>
    <row r="3547">
      <c r="A3547" s="7" t="n">
        <v>1639</v>
      </c>
      <c r="B3547" s="7" t="n">
        <v>473512</v>
      </c>
      <c r="C3547" s="7" t="n">
        <v>678862</v>
      </c>
      <c r="D3547" s="7" t="n">
        <v>106260</v>
      </c>
      <c r="E3547" s="8" t="n">
        <v>39436</v>
      </c>
      <c r="F3547" s="7" t="n">
        <v>5</v>
      </c>
      <c r="G3547" s="7" t="inlineStr">
        <is>
          <t>We love this salad! It has been a must-have on our Thanksgiving or Christmas dinner table since the firs time I made it - I think 6 years ago. I am in the process of transferring all our family favorites to Zaar -thank you for posting this - now I don't have to!</t>
        </is>
      </c>
    </row>
    <row r="3548">
      <c r="A3548" s="7" t="n">
        <v>53692</v>
      </c>
      <c r="B3548" s="7" t="n">
        <v>1099765</v>
      </c>
      <c r="C3548" s="7" t="n">
        <v>223979</v>
      </c>
      <c r="D3548" s="7" t="n">
        <v>312160</v>
      </c>
      <c r="E3548" s="8" t="n">
        <v>39782</v>
      </c>
      <c r="F3548" s="7" t="n">
        <v>5</v>
      </c>
      <c r="G3548" s="7" t="inlineStr">
        <is>
          <t>Great smoothie.  We all enjoyed it very much.  Thanks!</t>
        </is>
      </c>
    </row>
    <row r="3549">
      <c r="A3549" s="7" t="n">
        <v>70086</v>
      </c>
      <c r="B3549" s="7" t="n">
        <v>1084181</v>
      </c>
      <c r="C3549" s="7" t="n">
        <v>1309232</v>
      </c>
      <c r="D3549" s="7" t="n">
        <v>121265</v>
      </c>
      <c r="E3549" s="8" t="n">
        <v>39992</v>
      </c>
      <c r="F3549" s="7" t="n">
        <v>0</v>
      </c>
      <c r="G3549" s="7" t="inlineStr">
        <is>
          <t>This recipe did not turn out for me... I followed the recipe exactly but I could not even taste the orange at all; it just tasted like cool whip. It also never set up; I refrigerated it over night and it was still liquidy in the morning. I think the jello needed to set up longer before adding the cool whip because it was not at all what I had expected or what the picture looks like.</t>
        </is>
      </c>
    </row>
    <row r="3550">
      <c r="A3550" s="7" t="n">
        <v>68299</v>
      </c>
      <c r="B3550" s="7" t="n">
        <v>493593</v>
      </c>
      <c r="C3550" s="7" t="n">
        <v>671577</v>
      </c>
      <c r="D3550" s="7" t="n">
        <v>71373</v>
      </c>
      <c r="E3550" s="8" t="n">
        <v>40143</v>
      </c>
      <c r="F3550" s="7" t="n">
        <v>5</v>
      </c>
      <c r="G3550" s="7" t="inlineStr">
        <is>
          <t>Made these twice today for Thanksgiving! Everybody loved them. Thanks for a great recipe</t>
        </is>
      </c>
    </row>
    <row r="3551">
      <c r="A3551" s="7" t="n">
        <v>20633</v>
      </c>
      <c r="B3551" s="7" t="n">
        <v>321</v>
      </c>
      <c r="C3551" s="7" t="n">
        <v>149342</v>
      </c>
      <c r="D3551" s="7" t="n">
        <v>92154</v>
      </c>
      <c r="E3551" s="8" t="n">
        <v>38173</v>
      </c>
      <c r="F3551" s="7" t="n">
        <v>3</v>
      </c>
      <c r="G3551" s="7" t="inlineStr">
        <is>
          <t xml:space="preserve">Cook time on the broiling is a little long-- the ends of the legs got slightly burned.  Also a little more Old Bay seasoning (2Tbs) is a little tastier.  </t>
        </is>
      </c>
    </row>
    <row r="3552">
      <c r="A3552" s="7" t="n">
        <v>94744</v>
      </c>
      <c r="B3552" s="7" t="n">
        <v>962677</v>
      </c>
      <c r="C3552" s="7" t="n">
        <v>89831</v>
      </c>
      <c r="D3552" s="7" t="n">
        <v>191310</v>
      </c>
      <c r="E3552" s="8" t="n">
        <v>39125</v>
      </c>
      <c r="F3552" s="7" t="n">
        <v>5</v>
      </c>
      <c r="G3552" s="7" t="inlineStr">
        <is>
          <t>this is very good, I increased the brown sugar and orange rind for 7 beets, thanks CD for a great beet recipe!...Kitten:)</t>
        </is>
      </c>
    </row>
    <row r="3553">
      <c r="A3553" s="7" t="n">
        <v>124181</v>
      </c>
      <c r="B3553" s="7" t="n">
        <v>265942</v>
      </c>
      <c r="C3553" s="7" t="n">
        <v>1361992</v>
      </c>
      <c r="D3553" s="7" t="n">
        <v>107786</v>
      </c>
      <c r="E3553" s="8" t="n">
        <v>40814</v>
      </c>
      <c r="F3553" s="7" t="n">
        <v>5</v>
      </c>
      <c r="G3553" s="7" t="inlineStr">
        <is>
          <t>These ribs were good.  I subbed 1/2 tsp. liquid smoke for the smoked salt and it came out well.  I may up the hot peppers next time, but other than that it's a keeper!</t>
        </is>
      </c>
    </row>
    <row r="3554">
      <c r="A3554" s="7" t="n">
        <v>7745</v>
      </c>
      <c r="B3554" s="7" t="n">
        <v>948514</v>
      </c>
      <c r="C3554" s="7" t="n">
        <v>605218</v>
      </c>
      <c r="D3554" s="7" t="n">
        <v>209177</v>
      </c>
      <c r="E3554" s="8" t="n">
        <v>40031</v>
      </c>
      <c r="F3554" s="7" t="n">
        <v>5</v>
      </c>
      <c r="G3554" s="7" t="inlineStr">
        <is>
          <t>this was pretty darn good.  even my hubby liked it.  i think i would add more salsa next time.  i love salsa.  and i loved this recipe</t>
        </is>
      </c>
    </row>
    <row r="3555">
      <c r="A3555" s="7" t="n">
        <v>55521</v>
      </c>
      <c r="B3555" s="7" t="n">
        <v>1083486</v>
      </c>
      <c r="C3555" s="7" t="n">
        <v>199848</v>
      </c>
      <c r="D3555" s="7" t="n">
        <v>229528</v>
      </c>
      <c r="E3555" s="8" t="n">
        <v>39262</v>
      </c>
      <c r="F3555" s="7" t="n">
        <v>5</v>
      </c>
      <c r="G3555" s="7" t="inlineStr">
        <is>
          <t>I was pleasantly surprised by this recipe.  It's very easy for a quick hot lunch.  The kids really loved it, too.  I used about 1 - 1 1/2 tsp creole seasoning (didn't measure).  I'm going to use this recipe often when I have leftover rice (like from Chinese takeout) or leftover ham.  Thanx for a great new recipe!</t>
        </is>
      </c>
    </row>
    <row r="3556">
      <c r="A3556" s="7" t="n">
        <v>119755</v>
      </c>
      <c r="B3556" s="7" t="n">
        <v>220758</v>
      </c>
      <c r="C3556" s="7" t="n">
        <v>224333</v>
      </c>
      <c r="D3556" s="7" t="n">
        <v>150466</v>
      </c>
      <c r="E3556" s="8" t="n">
        <v>39090</v>
      </c>
      <c r="F3556" s="7" t="n">
        <v>4</v>
      </c>
      <c r="G3556" s="7" t="inlineStr">
        <is>
          <t>Great taste! Easy to prepare!</t>
        </is>
      </c>
    </row>
    <row r="3557">
      <c r="A3557" s="7" t="n">
        <v>98256</v>
      </c>
      <c r="B3557" s="7" t="n">
        <v>33274</v>
      </c>
      <c r="C3557" s="7" t="n">
        <v>533122</v>
      </c>
      <c r="D3557" s="7" t="n">
        <v>5245</v>
      </c>
      <c r="E3557" s="8" t="n">
        <v>40146</v>
      </c>
      <c r="F3557" s="7" t="n">
        <v>5</v>
      </c>
      <c r="G3557" s="7" t="inlineStr">
        <is>
          <t>I serve this alongside my baked chicken tenders and usually have to make a second batch. The kids just love it! Maybe I'll just double it and save myself some time, lol!</t>
        </is>
      </c>
    </row>
    <row r="3558">
      <c r="A3558" s="7" t="n">
        <v>55804</v>
      </c>
      <c r="B3558" s="7" t="n">
        <v>405026</v>
      </c>
      <c r="C3558" s="7" t="n">
        <v>1523336</v>
      </c>
      <c r="D3558" s="7" t="n">
        <v>340298</v>
      </c>
      <c r="E3558" s="8" t="n">
        <v>40345</v>
      </c>
      <c r="F3558" s="7" t="n">
        <v>5</v>
      </c>
      <c r="G3558" s="7" t="inlineStr">
        <is>
          <t>Love these Muffins! Very Simple. I added 1 T. flour and some sunflower seeds to the topping and my kids loved 'em!</t>
        </is>
      </c>
    </row>
    <row r="3559">
      <c r="A3559" s="7" t="n">
        <v>12379</v>
      </c>
      <c r="B3559" s="7" t="n">
        <v>257141</v>
      </c>
      <c r="C3559" s="7" t="n">
        <v>2002126709</v>
      </c>
      <c r="D3559" s="7" t="n">
        <v>100856</v>
      </c>
      <c r="E3559" s="8" t="n">
        <v>43272</v>
      </c>
      <c r="F3559" s="7" t="n">
        <v>5</v>
      </c>
      <c r="G3559" s="7" t="inlineStr">
        <is>
          <t>I made this recipe twice now, the first time as it was and a second time I doubled the brine; all ingredients accept the eggs. Although I've made pickled eggs before with success I've always had trouble peeling eggs. I've made five batches of pickled eggs now and finally I've been able to peel them successfully. I'm going to make them again with the addition of some dried ghost peppers. Suggestions on the number to use would be welcome, I don't want too much heat I'd prefer to gradually move to the right level of heat. Anyway as I said the second time I made this recipe I doubled the brine and got very good results. I used a 5 liter bottle, got most of the 48 eggs in the bottle. By the way I think these make the most flavorful egg salad sandwich! I've also made two batches of beet pickled eggs, they turned out very well too. Not the same taste experience very good too.</t>
        </is>
      </c>
    </row>
    <row r="3560">
      <c r="A3560" s="7" t="n">
        <v>47665</v>
      </c>
      <c r="B3560" s="7" t="n">
        <v>475152</v>
      </c>
      <c r="C3560" s="7" t="n">
        <v>383346</v>
      </c>
      <c r="D3560" s="7" t="n">
        <v>307400</v>
      </c>
      <c r="E3560" s="8" t="n">
        <v>39615</v>
      </c>
      <c r="F3560" s="7" t="n">
        <v>5</v>
      </c>
      <c r="G3560" s="7" t="inlineStr">
        <is>
          <t>After reading some reviews, I decided to use only 1 cup of heavy cream and 3 cups of whole milk.  It was perfect.  Still rich but probably less.  I'm not sure I put 12 ounces of mascarpone cheese, cause I got a 500 g package.  I used fresh cherries instead of marashino.  I love the taste of toasted almonds in it.  Thanks Cookin' Cats :)  Made for the Babes of ZWT4</t>
        </is>
      </c>
    </row>
    <row r="3561">
      <c r="A3561" s="7" t="n">
        <v>74253</v>
      </c>
      <c r="B3561" s="7" t="n">
        <v>466156</v>
      </c>
      <c r="C3561" s="7" t="n">
        <v>149415</v>
      </c>
      <c r="D3561" s="7" t="n">
        <v>17118</v>
      </c>
      <c r="E3561" s="8" t="n">
        <v>39907</v>
      </c>
      <c r="F3561" s="7" t="n">
        <v>4</v>
      </c>
      <c r="G3561" s="7" t="inlineStr">
        <is>
          <t>Good Eggs-- I will make them this way if I have cottage cheese in the fridge. I don't tell anyone, though, so they still eat it. You can't really tell the difference, because the cottage cheese looks like egg whites. I like the extra protein that the kids get.</t>
        </is>
      </c>
    </row>
    <row r="3562">
      <c r="A3562" s="7" t="n">
        <v>121723</v>
      </c>
      <c r="B3562" s="7" t="n">
        <v>304012</v>
      </c>
      <c r="C3562" s="7" t="n">
        <v>937384</v>
      </c>
      <c r="D3562" s="7" t="n">
        <v>66453</v>
      </c>
      <c r="E3562" s="8" t="n">
        <v>40077</v>
      </c>
      <c r="F3562" s="7" t="n">
        <v>5</v>
      </c>
      <c r="G3562" s="7" t="inlineStr">
        <is>
          <t>This was very good, I made it as written and the family really enjoyed it.  Next time I think I will use only 4 cups sugar and we can add more later if we think it is neded.</t>
        </is>
      </c>
    </row>
    <row r="3563">
      <c r="A3563" s="7" t="n">
        <v>77615</v>
      </c>
      <c r="B3563" s="7" t="n">
        <v>380055</v>
      </c>
      <c r="C3563" s="7" t="n">
        <v>2229550</v>
      </c>
      <c r="D3563" s="7" t="n">
        <v>472001</v>
      </c>
      <c r="E3563" s="8" t="n">
        <v>41003</v>
      </c>
      <c r="F3563" s="7" t="n">
        <v>5</v>
      </c>
      <c r="G3563" s="7" t="inlineStr">
        <is>
          <t>My family has recently switched to a mostly plant-based diet and I'm frantically looking for fresh new vegetarian recipes.  I found this one while searching for a way to use up some pasta and veggies we had languishing in the kitchen, and am so glad I did! Oh, my goodness! This soup was absolutely delicious! Even my meat-loving husband gobbled it up! Definitely serve with a baguette or other crusty bread for dipping. Delicious!!</t>
        </is>
      </c>
    </row>
    <row r="3564">
      <c r="A3564" s="7" t="n">
        <v>43188</v>
      </c>
      <c r="B3564" s="7" t="n">
        <v>795303</v>
      </c>
      <c r="C3564" s="7" t="n">
        <v>2001372545</v>
      </c>
      <c r="D3564" s="7" t="n">
        <v>297251</v>
      </c>
      <c r="E3564" s="8" t="n">
        <v>42766</v>
      </c>
      <c r="F3564" s="7" t="n">
        <v>0</v>
      </c>
      <c r="G3564" s="7" t="inlineStr">
        <is>
          <t>Question, how do you think this compared to the cost of buying the sauce (if you're fortunate enough to be in the PNW) to making it yourself? Anyone keep track of the cost? I'm just curious.</t>
        </is>
      </c>
    </row>
    <row r="3565">
      <c r="A3565" t="n">
        <v>106796</v>
      </c>
      <c r="B3565" t="n">
        <v>608610</v>
      </c>
      <c r="C3565" t="n">
        <v>239758</v>
      </c>
      <c r="D3565" t="n">
        <v>132032</v>
      </c>
      <c r="E3565" s="1" t="n">
        <v>39824</v>
      </c>
      <c r="F3565" t="n">
        <v>5</v>
      </c>
      <c r="G3565" t="inlineStr">
        <is>
          <t>Sensational recipe that showcases all the flavours I love. I also love shortcuts, so I pulsed the olives in the food processor, then added the garlic, red pepper and capers, and pulsed again briefly. We enjoyed this for a tasty and colourful lunch. Made to say farewell and Godspeed to Judy~Jude. You will be missed.</t>
        </is>
      </c>
    </row>
    <row r="3566" ht="409.5" customHeight="1">
      <c r="A3566" s="7" t="n">
        <v>25956</v>
      </c>
      <c r="B3566" s="7" t="n">
        <v>119838</v>
      </c>
      <c r="C3566" s="7" t="n">
        <v>59064</v>
      </c>
      <c r="D3566" s="7" t="n">
        <v>139322</v>
      </c>
      <c r="E3566" s="8" t="n">
        <v>39020</v>
      </c>
      <c r="F3566" s="7" t="n">
        <v>5</v>
      </c>
      <c r="G3566" s="9" t="inlineStr">
        <is>
          <t>I scaled this down so that I used 5 eggs, and that was a good amount for 1 adult, a 2 year old and a 5 year old. Cooktime in a convection oven was 30 minutes.
The 5 year old waxed lyrical about this, I liked it too and the current fussy one ate most of his.
Good meal choice!</t>
        </is>
      </c>
    </row>
    <row r="3567">
      <c r="A3567" s="7" t="n">
        <v>13365</v>
      </c>
      <c r="B3567" s="7" t="n">
        <v>444957</v>
      </c>
      <c r="C3567" s="7" t="n">
        <v>706608</v>
      </c>
      <c r="D3567" s="7" t="n">
        <v>66459</v>
      </c>
      <c r="E3567" s="8" t="n">
        <v>39914</v>
      </c>
      <c r="F3567" s="7" t="n">
        <v>4</v>
      </c>
      <c r="G3567" s="7" t="inlineStr">
        <is>
          <t>Delicious buttery pound cake, and without the heavyness you often find in this kind of cake. For Easter Dessert my Great Aunt Always made a Box Mix pound cake in a lamb shaped cake mold that's iced with vanilla Italian icing and covered in coconut. Last year she passed the mold to me. I made it exactly as she always had, but this year I couldn't resist trying something different. This turned out very well (the mold is about = to an 8" loaf pan and cooked perfectly in 55 minutes). I didn't make the glaze obviously as I used our usual icing/coconut. It tastes more like blueberry cake to me though. The lemon didn't come through. Next time I would add lemon zest or extract. I got the cake + 12 cupcakes. I didn't have enough berries for both so I only used them in the lamb portion. Without the berries the cupcakes came out wonderfully too (again more vanilla/buttery then lemony). Baked about 23 minutes for the cupcakes. I'll keep this recipe around!</t>
        </is>
      </c>
    </row>
    <row r="3568">
      <c r="A3568" s="7" t="n">
        <v>48376</v>
      </c>
      <c r="B3568" s="7" t="n">
        <v>652043</v>
      </c>
      <c r="C3568" s="7" t="n">
        <v>2001511057</v>
      </c>
      <c r="D3568" s="7" t="n">
        <v>135215</v>
      </c>
      <c r="E3568" s="8" t="n">
        <v>42855</v>
      </c>
      <c r="F3568" s="7" t="n">
        <v>0</v>
      </c>
      <c r="G3568" s="7" t="inlineStr">
        <is>
          <t>Omg, this is the best recipe! I think you cam use any kind of mushroom worth this recipe. I used baby bella and button mushrooms. I was gonna give this to my dad but no way Jose! I'll make a separate batch just for him. Just a recommendation: if you don't like spicy then don't use hour paprika. Use either smoked or regular.</t>
        </is>
      </c>
    </row>
    <row r="3569">
      <c r="A3569" s="7" t="n">
        <v>44253</v>
      </c>
      <c r="B3569" s="7" t="n">
        <v>615076</v>
      </c>
      <c r="C3569" s="7" t="n">
        <v>226066</v>
      </c>
      <c r="D3569" s="7" t="n">
        <v>275702</v>
      </c>
      <c r="E3569" s="8" t="n">
        <v>39467</v>
      </c>
      <c r="F3569" s="7" t="n">
        <v>4</v>
      </c>
      <c r="G3569" s="7" t="inlineStr">
        <is>
          <t>For something that is only 2 points - this was great!  Used some candy canes I had leftover from the holidays and used low-fat whipped cream!  This was perfect on a day like today... -25C... brrrrr!!!  Thanks Dreamer! :) Made for Photo Tag!</t>
        </is>
      </c>
    </row>
    <row r="3570">
      <c r="A3570" s="7" t="n">
        <v>3909</v>
      </c>
      <c r="B3570" s="7" t="n">
        <v>778479</v>
      </c>
      <c r="C3570" s="7" t="n">
        <v>64642</v>
      </c>
      <c r="D3570" s="7" t="n">
        <v>108524</v>
      </c>
      <c r="E3570" s="8" t="n">
        <v>40881</v>
      </c>
      <c r="F3570" s="7" t="n">
        <v>5</v>
      </c>
      <c r="G3570" s="7" t="inlineStr">
        <is>
          <t>Terrific, tender cake.  I subbed a commercial cake mix for the first part of the recipe and was out of pudding mix, so subbed cornstarch.</t>
        </is>
      </c>
    </row>
    <row r="3571">
      <c r="A3571" s="7" t="n">
        <v>121245</v>
      </c>
      <c r="B3571" s="7" t="n">
        <v>558826</v>
      </c>
      <c r="C3571" s="7" t="n">
        <v>52543</v>
      </c>
      <c r="D3571" s="7" t="n">
        <v>94853</v>
      </c>
      <c r="E3571" s="8" t="n">
        <v>38294</v>
      </c>
      <c r="F3571" s="7" t="n">
        <v>5</v>
      </c>
      <c r="G3571" s="7" t="inlineStr">
        <is>
          <t>I have to give this soup 5 stars - its almost the same as my own recipe!! Aside from scaling the quantities in half, I made no changes. Thanx Paula!</t>
        </is>
      </c>
    </row>
    <row r="3572">
      <c r="A3572" s="7" t="n">
        <v>97487</v>
      </c>
      <c r="B3572" s="7" t="n">
        <v>816773</v>
      </c>
      <c r="C3572" s="7" t="n">
        <v>242729</v>
      </c>
      <c r="D3572" s="7" t="n">
        <v>376864</v>
      </c>
      <c r="E3572" s="8" t="n">
        <v>39999</v>
      </c>
      <c r="F3572" s="7" t="n">
        <v>5</v>
      </c>
      <c r="G3572" s="7" t="inlineStr">
        <is>
          <t>??!!^^%$Â£"!!!**&amp;^%$Â£"!!!!! WOW! Listen, I am such a Montreal Steak Seasoning lover, that I regularly dream of the stuff! In moments of weakness or maybe madness I have often thought why NOT on ice cream! So, this recipe was always going to be a high star rating before I even doused my lucky spuds in the aforementioned "sulty" spice! I adjusted the quantities for one greedy person (moi) and served these with some lavender marinated chicken breast fillets with a rocket and red onion salad - chicken and chips then, with a garnish!! Made for the Aussie/NZ recipe swap and no doubt on the menu again in the next 5 minutes! Merci! FT:-)</t>
        </is>
      </c>
    </row>
    <row r="3573">
      <c r="A3573" s="7" t="n">
        <v>49031</v>
      </c>
      <c r="B3573" s="7" t="n">
        <v>140515</v>
      </c>
      <c r="C3573" s="7" t="n">
        <v>614471</v>
      </c>
      <c r="D3573" s="7" t="n">
        <v>61816</v>
      </c>
      <c r="E3573" s="8" t="n">
        <v>40250</v>
      </c>
      <c r="F3573" s="7" t="n">
        <v>4</v>
      </c>
      <c r="G3573" s="7" t="inlineStr">
        <is>
          <t>We enjoyed this recipe and I"m looking forward to trying it again.  Next time, I think I might try mixing some rosemary and garlic into the dough rather than just sprinkling it on top.  Thanks for sharing!!!</t>
        </is>
      </c>
    </row>
    <row r="3574">
      <c r="A3574" s="7" t="n">
        <v>66081</v>
      </c>
      <c r="B3574" s="7" t="n">
        <v>244797</v>
      </c>
      <c r="C3574" s="7" t="n">
        <v>23333</v>
      </c>
      <c r="D3574" s="7" t="n">
        <v>29327</v>
      </c>
      <c r="E3574" s="8" t="n">
        <v>37907</v>
      </c>
      <c r="F3574" s="7" t="n">
        <v>5</v>
      </c>
      <c r="G3574" s="7" t="inlineStr">
        <is>
          <t>This was very tasty!  I added some ground almonds to the crust as well as sprinkled them onto the top layer.  Very good!</t>
        </is>
      </c>
    </row>
    <row r="3575">
      <c r="A3575" s="7" t="n">
        <v>80547</v>
      </c>
      <c r="B3575" s="7" t="n">
        <v>435491</v>
      </c>
      <c r="C3575" s="7" t="n">
        <v>13063</v>
      </c>
      <c r="D3575" s="7" t="n">
        <v>21869</v>
      </c>
      <c r="E3575" s="8" t="n">
        <v>37389</v>
      </c>
      <c r="F3575" s="7" t="n">
        <v>4</v>
      </c>
      <c r="G3575" s="7" t="inlineStr">
        <is>
          <t>Very good and easy!  A little too sugary for myself, I will definately cut the sugar down a bit on the next batch, but it sure didn't bother my niece!  Thanks!</t>
        </is>
      </c>
    </row>
    <row r="3576">
      <c r="A3576" s="7" t="n">
        <v>123344</v>
      </c>
      <c r="B3576" s="7" t="n">
        <v>810417</v>
      </c>
      <c r="C3576" s="7" t="n">
        <v>382071</v>
      </c>
      <c r="D3576" s="7" t="n">
        <v>265597</v>
      </c>
      <c r="E3576" s="8" t="n">
        <v>39420</v>
      </c>
      <c r="F3576" s="7" t="n">
        <v>4</v>
      </c>
      <c r="G3576" s="7" t="inlineStr">
        <is>
          <t>GREAT HEALTHY COLORFUL TASTY recipe! I only used 2T of olive oil and didn't peel the tomatoes. I also used about 1tsp each of the herbs. This was easy and made a ton! Made for the Photo tag game.</t>
        </is>
      </c>
    </row>
    <row r="3577">
      <c r="A3577" s="7" t="n">
        <v>2696</v>
      </c>
      <c r="B3577" s="7" t="n">
        <v>900359</v>
      </c>
      <c r="C3577" s="7" t="n">
        <v>107583</v>
      </c>
      <c r="D3577" s="7" t="n">
        <v>349368</v>
      </c>
      <c r="E3577" s="8" t="n">
        <v>40828</v>
      </c>
      <c r="F3577" s="7" t="n">
        <v>3</v>
      </c>
      <c r="G3577" s="7" t="inlineStr">
        <is>
          <t>This is moist and rose high, but was lacking flavor.  Perhaps more salt?  Or buttermilk instead of regular milk?  I did the suggested soaking period and I liked the texture that gave it.  Made for Fall 2011 PAC game.</t>
        </is>
      </c>
    </row>
    <row r="3578">
      <c r="A3578" s="7" t="n">
        <v>98752</v>
      </c>
      <c r="B3578" s="7" t="n">
        <v>541829</v>
      </c>
      <c r="C3578" s="7" t="n">
        <v>25792</v>
      </c>
      <c r="D3578" s="7" t="n">
        <v>135101</v>
      </c>
      <c r="E3578" s="8" t="n">
        <v>38615</v>
      </c>
      <c r="F3578" s="7" t="n">
        <v>5</v>
      </c>
      <c r="G3578" s="7" t="inlineStr">
        <is>
          <t>Always room for jello...this is no exception!  Loved the citrus as pineapple and orange are a a fav combo!  Thanx Chad, esp from DD#3!</t>
        </is>
      </c>
    </row>
    <row r="3579">
      <c r="A3579" t="n">
        <v>61636</v>
      </c>
      <c r="B3579" t="n">
        <v>566833</v>
      </c>
      <c r="C3579" t="n">
        <v>359220</v>
      </c>
      <c r="D3579" t="n">
        <v>173691</v>
      </c>
      <c r="E3579" s="1" t="n">
        <v>41181</v>
      </c>
      <c r="F3579" t="n">
        <v>5</v>
      </c>
      <c r="G3579" t="inlineStr">
        <is>
          <t>I've made cinnamon rolls before, but they've always been a bit bland and not soft enough.  I decided to try again with this recipe and it came together very easily.  The rolls baked up nice and uniform and the one I tried fresh out of the oven and topped with the frosting was TO DIE FOR!  Soft, cinnamony and oh-so-sinful...I can't wait to make these again and again!</t>
        </is>
      </c>
    </row>
    <row r="3580">
      <c r="A3580" s="7" t="n">
        <v>29689</v>
      </c>
      <c r="B3580" s="7" t="n">
        <v>748521</v>
      </c>
      <c r="C3580" s="7" t="n">
        <v>997228</v>
      </c>
      <c r="D3580" s="7" t="n">
        <v>99272</v>
      </c>
      <c r="E3580" s="8" t="n">
        <v>39837</v>
      </c>
      <c r="F3580" s="7" t="n">
        <v>5</v>
      </c>
      <c r="G3580" s="7" t="inlineStr">
        <is>
          <t>OMG!  These were soooooo good.  The only thing I did different was I used brown sugar instead of the white sugar in the filling.  These went so fast in my house!</t>
        </is>
      </c>
    </row>
    <row r="3581">
      <c r="A3581" s="7" t="n">
        <v>4691</v>
      </c>
      <c r="B3581" s="7" t="n">
        <v>854832</v>
      </c>
      <c r="C3581" s="7" t="n">
        <v>1072593</v>
      </c>
      <c r="D3581" s="7" t="n">
        <v>394519</v>
      </c>
      <c r="E3581" s="8" t="n">
        <v>40633</v>
      </c>
      <c r="F3581" s="7" t="n">
        <v>5</v>
      </c>
      <c r="G3581" s="7" t="inlineStr">
        <is>
          <t>I'm sending a smoke signal because I don't know how to tweet:  High forks!  Made for Everyday Is A Holiday.</t>
        </is>
      </c>
    </row>
    <row r="3582">
      <c r="A3582" s="7" t="n">
        <v>50648</v>
      </c>
      <c r="B3582" s="7" t="n">
        <v>673250</v>
      </c>
      <c r="C3582" s="7" t="n">
        <v>369715</v>
      </c>
      <c r="D3582" s="7" t="n">
        <v>154926</v>
      </c>
      <c r="E3582" s="8" t="n">
        <v>39368</v>
      </c>
      <c r="F3582" s="7" t="n">
        <v>5</v>
      </c>
      <c r="G3582" s="7" t="inlineStr">
        <is>
          <t>We loved this. It was really good and easy to make. I used blackberry jam. Will make again. Made for Fall PAC 2007.</t>
        </is>
      </c>
    </row>
    <row r="3583">
      <c r="A3583" s="7" t="n">
        <v>7182</v>
      </c>
      <c r="B3583" s="7" t="n">
        <v>376108</v>
      </c>
      <c r="C3583" s="7" t="n">
        <v>1201879</v>
      </c>
      <c r="D3583" s="7" t="n">
        <v>60238</v>
      </c>
      <c r="E3583" s="8" t="n">
        <v>40184</v>
      </c>
      <c r="F3583" s="7" t="n">
        <v>4</v>
      </c>
      <c r="G3583" s="7" t="inlineStr">
        <is>
          <t>This was fabulous.  I split it into two different pans and put one in the freezer....I am glad I read the reviews because....1.  I forgot to reserve bacon for the top  2. someone said it needed a little zip...SO....in my cottage cheese mix I added garlic, parsley and instead of onion salt I used have onion powder(not salt) and 1/2 tsp chicken bouillon.  I added a layer of chicken on top of the potato layer as I wanted more protein to balance it all.  Seriously, this was so good...I may sneak my freezer meal out while my family is out of town this weekend.</t>
        </is>
      </c>
    </row>
    <row r="3584">
      <c r="A3584" s="7" t="n">
        <v>49757</v>
      </c>
      <c r="B3584" s="7" t="n">
        <v>1012793</v>
      </c>
      <c r="C3584" s="7" t="n">
        <v>286702</v>
      </c>
      <c r="D3584" s="7" t="n">
        <v>169360</v>
      </c>
      <c r="E3584" s="8" t="n">
        <v>38885</v>
      </c>
      <c r="F3584" s="7" t="n">
        <v>5</v>
      </c>
      <c r="G3584" s="7" t="inlineStr">
        <is>
          <t>wow, everyone in my family enjoyed this recipe. my dad loved it. very FILLING, i would say a 9x13 pan would be maybe 12 servings. i used flour tortillas because we had some to use up, but it still tasted good. good brunch recipe.</t>
        </is>
      </c>
    </row>
    <row r="3585">
      <c r="A3585" s="7" t="n">
        <v>116785</v>
      </c>
      <c r="B3585" s="7" t="n">
        <v>626333</v>
      </c>
      <c r="C3585" s="7" t="n">
        <v>578914</v>
      </c>
      <c r="D3585" s="7" t="n">
        <v>128100</v>
      </c>
      <c r="E3585" s="8" t="n">
        <v>41130</v>
      </c>
      <c r="F3585" s="7" t="n">
        <v>5</v>
      </c>
      <c r="G3585" s="7" t="inlineStr">
        <is>
          <t>Yup, this was yummy! And easy to put together too! Thanks Kittencal, great recipe!</t>
        </is>
      </c>
    </row>
    <row r="3586">
      <c r="A3586" s="7" t="n">
        <v>69383</v>
      </c>
      <c r="B3586" s="7" t="n">
        <v>834604</v>
      </c>
      <c r="C3586" s="7" t="n">
        <v>177219</v>
      </c>
      <c r="D3586" s="7" t="n">
        <v>62236</v>
      </c>
      <c r="E3586" s="8" t="n">
        <v>38325</v>
      </c>
      <c r="F3586" s="7" t="n">
        <v>4</v>
      </c>
      <c r="G3586" s="7" t="inlineStr">
        <is>
          <t xml:space="preserve">Well... hmmm. I'm not quite sure what to say, I think it was good if you took really small bites, it's just so rich. It also kind of plays with my mind, cocoa powder sugar and cottage cheese? Hm. </t>
        </is>
      </c>
    </row>
    <row r="3587" ht="409.5" customHeight="1">
      <c r="A3587" s="7" t="n">
        <v>99637</v>
      </c>
      <c r="B3587" s="7" t="n">
        <v>417394</v>
      </c>
      <c r="C3587" s="7" t="n">
        <v>40620</v>
      </c>
      <c r="D3587" s="7" t="n">
        <v>350204</v>
      </c>
      <c r="E3587" s="8" t="n">
        <v>40145</v>
      </c>
      <c r="F3587" s="7" t="n">
        <v>2</v>
      </c>
      <c r="G3587" s="9" t="inlineStr">
        <is>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is>
      </c>
    </row>
    <row r="3588">
      <c r="A3588" s="7" t="n">
        <v>26118</v>
      </c>
      <c r="B3588" s="7" t="n">
        <v>946022</v>
      </c>
      <c r="C3588" s="7" t="n">
        <v>464080</v>
      </c>
      <c r="D3588" s="7" t="n">
        <v>302670</v>
      </c>
      <c r="E3588" s="8" t="n">
        <v>40380</v>
      </c>
      <c r="F3588" s="7" t="n">
        <v>5</v>
      </c>
      <c r="G3588" s="7" t="inlineStr">
        <is>
          <t>Very yummy!  I am right there with Mindelicious and love that you used scallions to give it a milder flavor (vs. the typical raw red onion).  My avocado was overly ripe but it worked just fine for this recipe.  I did end up throwing in some cilantro, but only because I have some to use up in the fridge.  I am eating the guac now with a cheese quesadilla and it is a perfect marriage. . .and I am eating it for BREAKFAST!!!  Yum!</t>
        </is>
      </c>
    </row>
    <row r="3589">
      <c r="A3589" s="7" t="n">
        <v>14711</v>
      </c>
      <c r="B3589" s="7" t="n">
        <v>834981</v>
      </c>
      <c r="C3589" s="7" t="n">
        <v>461834</v>
      </c>
      <c r="D3589" s="7" t="n">
        <v>239472</v>
      </c>
      <c r="E3589" s="8" t="n">
        <v>40261</v>
      </c>
      <c r="F3589" s="7" t="n">
        <v>5</v>
      </c>
      <c r="G3589" s="7" t="inlineStr">
        <is>
          <t>I made these this morning for  breakfast and ate one and froze the rest.  I only made 1/2 of the recipe, which gave me 12 muffins.  I didn't have mushrooms or green onions so I subbed green pepper and regular minced onion, but otherwise followed as written.  I checked them after 25 minutes and they were done.  These were very tasty and will be great for quick breakfasts!!!  Thanks for sharing the recipe.  Made for Potluck Tag Game.</t>
        </is>
      </c>
    </row>
    <row r="3590">
      <c r="A3590" s="7" t="n">
        <v>9872</v>
      </c>
      <c r="B3590" s="7" t="n">
        <v>509889</v>
      </c>
      <c r="C3590" s="7" t="n">
        <v>8688</v>
      </c>
      <c r="D3590" s="7" t="n">
        <v>89207</v>
      </c>
      <c r="E3590" s="8" t="n">
        <v>38536</v>
      </c>
      <c r="F3590" s="7" t="n">
        <v>5</v>
      </c>
      <c r="G3590" s="7" t="inlineStr">
        <is>
          <t>Another winning recipe submitted by our gracious Kittencal!  This frosting is the perfect complement for my chocolate cake.  Easy and quick to prepare for a chef in a hurry ; )  Thanks again, Kitten!</t>
        </is>
      </c>
    </row>
    <row r="3591">
      <c r="A3591" s="7" t="n">
        <v>83963</v>
      </c>
      <c r="B3591" s="7" t="n">
        <v>691120</v>
      </c>
      <c r="C3591" s="7" t="n">
        <v>2001417765</v>
      </c>
      <c r="D3591" s="7" t="n">
        <v>431399</v>
      </c>
      <c r="E3591" s="8" t="n">
        <v>42799</v>
      </c>
      <c r="F3591" s="7" t="n">
        <v>5</v>
      </c>
      <c r="G3591" s="7" t="inlineStr">
        <is>
          <t>This was the easiest sugar cookies I ever made</t>
        </is>
      </c>
    </row>
    <row r="3592">
      <c r="A3592" s="7" t="n">
        <v>67707</v>
      </c>
      <c r="B3592" s="7" t="n">
        <v>495031</v>
      </c>
      <c r="C3592" s="7" t="n">
        <v>1783813</v>
      </c>
      <c r="D3592" s="7" t="n">
        <v>202823</v>
      </c>
      <c r="E3592" s="8" t="n">
        <v>40545</v>
      </c>
      <c r="F3592" s="7" t="n">
        <v>0</v>
      </c>
      <c r="G3592" s="7" t="inlineStr">
        <is>
          <t>I have made this a few time and it always its a success.  Being from Puerto Rican descent, this is a most at Christmas time in my house.  However, something that was not mentioned in the recipe is that the rice has to be soaked in water for at least 3 hours before cooking.  When putting in the pot make sure you drain the water.</t>
        </is>
      </c>
    </row>
    <row r="3593" ht="409.5" customHeight="1">
      <c r="A3593" s="7" t="n">
        <v>15558</v>
      </c>
      <c r="B3593" s="7" t="n">
        <v>102731</v>
      </c>
      <c r="C3593" s="7" t="n">
        <v>35193</v>
      </c>
      <c r="D3593" s="7" t="n">
        <v>38089</v>
      </c>
      <c r="E3593" s="8" t="n">
        <v>37514</v>
      </c>
      <c r="F3593" s="7" t="n">
        <v>5</v>
      </c>
      <c r="G3593" s="9" t="inlineStr">
        <is>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is>
      </c>
    </row>
    <row r="3594">
      <c r="A3594" s="7" t="n">
        <v>44118</v>
      </c>
      <c r="B3594" s="7" t="n">
        <v>252218</v>
      </c>
      <c r="C3594" s="7" t="n">
        <v>187070</v>
      </c>
      <c r="D3594" s="7" t="n">
        <v>108065</v>
      </c>
      <c r="E3594" s="8" t="n">
        <v>38367</v>
      </c>
      <c r="F3594" s="7" t="n">
        <v>5</v>
      </c>
      <c r="G3594" s="7" t="inlineStr">
        <is>
          <t xml:space="preserve">best ever soup i cooked </t>
        </is>
      </c>
    </row>
    <row r="3595">
      <c r="A3595" s="7" t="n">
        <v>13565</v>
      </c>
      <c r="B3595" s="7" t="n">
        <v>738601</v>
      </c>
      <c r="C3595" s="7" t="n">
        <v>28177</v>
      </c>
      <c r="D3595" s="7" t="n">
        <v>29365</v>
      </c>
      <c r="E3595" s="8" t="n">
        <v>37604</v>
      </c>
      <c r="F3595" s="7" t="n">
        <v>5</v>
      </c>
      <c r="G3595" s="7" t="inlineStr">
        <is>
          <t>First of all, i have to mention that i get "The Look" every time i say "fried PB&amp;J".  You know the one i'm talking about!  But, after trying it for breakfast myself, i made it for my husband and son.  They both loved it, and in fact my husband was just telling some friends of ours about his new "favorite" sandwich!  LOL  Thanks a bunch for sharing this recipe, it's a regular treat, breakfast, or lunch in our house now!</t>
        </is>
      </c>
    </row>
    <row r="3596" ht="409.5" customHeight="1">
      <c r="A3596" s="7" t="n">
        <v>63658</v>
      </c>
      <c r="B3596" s="7" t="n">
        <v>363006</v>
      </c>
      <c r="C3596" s="7" t="n">
        <v>2000210817</v>
      </c>
      <c r="D3596" s="7" t="n">
        <v>68063</v>
      </c>
      <c r="E3596" s="8" t="n">
        <v>42149</v>
      </c>
      <c r="F3596" s="7" t="n">
        <v>5</v>
      </c>
      <c r="G3596" s="9" t="inlineStr">
        <is>
          <t>Just made this for my family and they absolutely loved it. It was my first time cooking pork chops so I was tentative at first. Not only was the recipe easy to make, but my family thought  it was delicious. (I actually don&amp;#039;t eat pork chops, well didn&amp;#039;t until tonight)
For the sauce, I added a small amount of white wine, butter, basil, and some onion powder (I didn&amp;#039;t do any measuring) and allowed it to simmer for a few minutes. The sauce was delicious.</t>
        </is>
      </c>
    </row>
    <row r="3597">
      <c r="A3597" s="7" t="n">
        <v>2995</v>
      </c>
      <c r="B3597" s="7" t="n">
        <v>859291</v>
      </c>
      <c r="C3597" s="7" t="n">
        <v>138799</v>
      </c>
      <c r="D3597" s="7" t="n">
        <v>27080</v>
      </c>
      <c r="E3597" s="8" t="n">
        <v>38930</v>
      </c>
      <c r="F3597" s="7" t="n">
        <v>5</v>
      </c>
      <c r="G3597" s="7" t="inlineStr">
        <is>
          <t>Yum! Had a few peaches  I wanted to use up so  searched for a smaller serving size recipe and this was perfect for just the two of us!  Very easy to put together and had everything I needed on hand. Delicious! Will definitely make again trying other fruits!</t>
        </is>
      </c>
    </row>
    <row r="3598">
      <c r="A3598" s="7" t="n">
        <v>77431</v>
      </c>
      <c r="B3598" s="7" t="n">
        <v>120694</v>
      </c>
      <c r="C3598" s="7" t="n">
        <v>646593</v>
      </c>
      <c r="D3598" s="7" t="n">
        <v>190061</v>
      </c>
      <c r="E3598" s="8" t="n">
        <v>39777</v>
      </c>
      <c r="F3598" s="7" t="n">
        <v>5</v>
      </c>
      <c r="G3598" s="7" t="inlineStr">
        <is>
          <t>Sounds like it will be great!  Just one question...when do you add the dissolved gelatin?  I would love to make this, but would rather wait until there is a more complete set of directions.</t>
        </is>
      </c>
    </row>
    <row r="3599">
      <c r="A3599" s="7" t="n">
        <v>121234</v>
      </c>
      <c r="B3599" s="7" t="n">
        <v>552563</v>
      </c>
      <c r="C3599" s="7" t="n">
        <v>58104</v>
      </c>
      <c r="D3599" s="7" t="n">
        <v>456173</v>
      </c>
      <c r="E3599" s="8" t="n">
        <v>40694</v>
      </c>
      <c r="F3599" s="7" t="n">
        <v>5</v>
      </c>
      <c r="G3599" s="7" t="inlineStr">
        <is>
          <t>I made for 2 and had half leftover. Used roasted frozen corn. Great for a hot summer day! Thanks!</t>
        </is>
      </c>
    </row>
    <row r="3600">
      <c r="A3600" s="7" t="n">
        <v>363</v>
      </c>
      <c r="B3600" s="7" t="n">
        <v>80653</v>
      </c>
      <c r="C3600" s="7" t="n">
        <v>865936</v>
      </c>
      <c r="D3600" s="7" t="n">
        <v>500575</v>
      </c>
      <c r="E3600" s="8" t="n">
        <v>41475</v>
      </c>
      <c r="F3600" s="7" t="n">
        <v>5</v>
      </c>
      <c r="G3600" s="7" t="inlineStr">
        <is>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is>
      </c>
    </row>
    <row r="3601">
      <c r="A3601" s="7" t="n">
        <v>23242</v>
      </c>
      <c r="B3601" s="7" t="n">
        <v>1066765</v>
      </c>
      <c r="C3601" s="7" t="n">
        <v>133174</v>
      </c>
      <c r="D3601" s="7" t="n">
        <v>63446</v>
      </c>
      <c r="E3601" s="8" t="n">
        <v>41180</v>
      </c>
      <c r="F3601" s="7" t="n">
        <v>5</v>
      </c>
      <c r="G3601" s="7" t="inlineStr">
        <is>
          <t>I made half a recipe for the 2 of us and served it with Recipe #480070.  A delicious combination.  I did not have crystallized ginger but did add in sliced almonds.  Will have to make this one again.</t>
        </is>
      </c>
    </row>
    <row r="3602" ht="409.5" customHeight="1">
      <c r="A3602" s="7" t="n">
        <v>75665</v>
      </c>
      <c r="B3602" s="7" t="n">
        <v>530200</v>
      </c>
      <c r="C3602" s="7" t="n">
        <v>84196</v>
      </c>
      <c r="D3602" s="7" t="n">
        <v>56452</v>
      </c>
      <c r="E3602" s="8" t="n">
        <v>38439</v>
      </c>
      <c r="F3602" s="7" t="n">
        <v>5</v>
      </c>
      <c r="G3602" s="9" t="inlineStr">
        <is>
          <t xml:space="preserve">Burnt my finger frying the peppers prior to removing the skin, but it was soo worth it.Words can not describe how good these peppers are.The sauce puts a whole new spin on it for me, and since I plan  on making them often, I will make a big batch of the sauce and just keep it in the freezer till needed._x000D_
Superb recipe!! </t>
        </is>
      </c>
    </row>
    <row r="3603">
      <c r="A3603" s="7" t="n">
        <v>113809</v>
      </c>
      <c r="B3603" s="7" t="n">
        <v>158852</v>
      </c>
      <c r="C3603" s="7" t="n">
        <v>1105991</v>
      </c>
      <c r="D3603" s="7" t="n">
        <v>70896</v>
      </c>
      <c r="E3603" s="8" t="n">
        <v>39987</v>
      </c>
      <c r="F3603" s="7" t="n">
        <v>5</v>
      </c>
      <c r="G3603" s="7" t="inlineStr">
        <is>
          <t>Heavenly tasting!  We thought this was fantastic!  I used it as a drizzle over I chocolate pound cake and it really "made" the cake.  It was very silky smooth and rich.  Thanks for a keeper!  I'll be using this again.</t>
        </is>
      </c>
    </row>
    <row r="3604">
      <c r="A3604" s="7" t="n">
        <v>22481</v>
      </c>
      <c r="B3604" s="7" t="n">
        <v>700927</v>
      </c>
      <c r="C3604" s="7" t="n">
        <v>213909</v>
      </c>
      <c r="D3604" s="7" t="n">
        <v>91423</v>
      </c>
      <c r="E3604" s="8" t="n">
        <v>39560</v>
      </c>
      <c r="F3604" s="7" t="n">
        <v>4</v>
      </c>
      <c r="G3604" s="7" t="inlineStr">
        <is>
          <t>This was very good. However 1/4 c butter was not enough to make the crums stick together. I had a hard time patting them over the bottom. I will need to use more butter next time! LOL :-) Koechin/Chef</t>
        </is>
      </c>
    </row>
    <row r="3605">
      <c r="A3605" s="7" t="n">
        <v>110633</v>
      </c>
      <c r="B3605" s="7" t="n">
        <v>295968</v>
      </c>
      <c r="C3605" s="7" t="n">
        <v>55523</v>
      </c>
      <c r="D3605" s="7" t="n">
        <v>46922</v>
      </c>
      <c r="E3605" s="8" t="n">
        <v>39917</v>
      </c>
      <c r="F3605" s="7" t="n">
        <v>5</v>
      </c>
      <c r="G3605" s="7" t="inlineStr">
        <is>
          <t>Outstanding ham!  I used your brown sugar/mustard glaze.  Before I slathered the glaze on, I dotted the entire ham with cloves.  I rolled the ham tightly in the foil, molded it to fit and put it into a baking pan.  Every hour, I turned the ham over.  It was perfect.  I have made a lot of hams in my time, but I never wrapped it entirely in foil.  I think it makes all the difference in the world!  Thanks for sharing!</t>
        </is>
      </c>
    </row>
    <row r="3606">
      <c r="A3606" s="7" t="n">
        <v>67639</v>
      </c>
      <c r="B3606" s="7" t="n">
        <v>780464</v>
      </c>
      <c r="C3606" s="7" t="n">
        <v>64682</v>
      </c>
      <c r="D3606" s="7" t="n">
        <v>25140</v>
      </c>
      <c r="E3606" s="8" t="n">
        <v>38013</v>
      </c>
      <c r="F3606" s="7" t="n">
        <v>5</v>
      </c>
      <c r="G3606" s="7" t="inlineStr">
        <is>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is>
      </c>
    </row>
    <row r="3607">
      <c r="A3607" s="7" t="n">
        <v>58442</v>
      </c>
      <c r="B3607" s="7" t="n">
        <v>215714</v>
      </c>
      <c r="C3607" s="7" t="n">
        <v>1040393</v>
      </c>
      <c r="D3607" s="7" t="n">
        <v>199795</v>
      </c>
      <c r="E3607" s="8" t="n">
        <v>39798</v>
      </c>
      <c r="F3607" s="7" t="n">
        <v>5</v>
      </c>
      <c r="G3607" s="7" t="inlineStr">
        <is>
          <t>I can'b believe these are WW friendly, so good , and so full of mexican flavor. Will certainly make again.</t>
        </is>
      </c>
    </row>
    <row r="3608">
      <c r="A3608" s="7" t="n">
        <v>52171</v>
      </c>
      <c r="B3608" s="7" t="n">
        <v>675284</v>
      </c>
      <c r="C3608" s="7" t="n">
        <v>305531</v>
      </c>
      <c r="D3608" s="7" t="n">
        <v>227905</v>
      </c>
      <c r="E3608" s="8" t="n">
        <v>39268</v>
      </c>
      <c r="F3608" s="7" t="n">
        <v>5</v>
      </c>
      <c r="G3608" s="7" t="inlineStr">
        <is>
          <t>Simple and tasty! The ale, star anise and cloves filled the kitchen with a wonderful aroma while the gravy was cooking. Very good comfort food. Thanks English Rose. Made for ZWT3.</t>
        </is>
      </c>
    </row>
    <row r="3609">
      <c r="A3609" s="7" t="n">
        <v>117526</v>
      </c>
      <c r="B3609" s="7" t="n">
        <v>1100499</v>
      </c>
      <c r="C3609" s="7" t="n">
        <v>618715</v>
      </c>
      <c r="D3609" s="7" t="n">
        <v>300565</v>
      </c>
      <c r="E3609" s="8" t="n">
        <v>39957</v>
      </c>
      <c r="F3609" s="7" t="n">
        <v>5</v>
      </c>
      <c r="G3609" s="7" t="inlineStr">
        <is>
          <t>This was fabulous! I used smoked Spanish paprika since this was for steaks. Made for the Epicurean Queens, ZWT5: Mexico/Tex-Mex/Southwest.</t>
        </is>
      </c>
    </row>
    <row r="3610">
      <c r="A3610" s="7" t="n">
        <v>86875</v>
      </c>
      <c r="B3610" s="7" t="n">
        <v>254123</v>
      </c>
      <c r="C3610" s="7" t="n">
        <v>89831</v>
      </c>
      <c r="D3610" s="7" t="n">
        <v>134466</v>
      </c>
      <c r="E3610" s="8" t="n">
        <v>38663</v>
      </c>
      <c r="F3610" s="7" t="n">
        <v>5</v>
      </c>
      <c r="G3610" s="7" t="inlineStr">
        <is>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is>
      </c>
    </row>
    <row r="3611">
      <c r="A3611" s="7" t="n">
        <v>73041</v>
      </c>
      <c r="B3611" s="7" t="n">
        <v>159336</v>
      </c>
      <c r="C3611" s="7" t="n">
        <v>42586</v>
      </c>
      <c r="D3611" s="7" t="n">
        <v>50158</v>
      </c>
      <c r="E3611" s="8" t="n">
        <v>37641</v>
      </c>
      <c r="F3611" s="7" t="n">
        <v>4</v>
      </c>
      <c r="G3611" s="7" t="inlineStr">
        <is>
          <t>This creates a nice orange sweet and sour sauce.  I served with brown rice (good to even out the sweet and sour) and roasted peppers, onions, and mushrooms.  Great meal!</t>
        </is>
      </c>
    </row>
    <row r="3612">
      <c r="A3612" s="7" t="n">
        <v>33162</v>
      </c>
      <c r="B3612" s="7" t="n">
        <v>914592</v>
      </c>
      <c r="C3612" s="7" t="n">
        <v>177933</v>
      </c>
      <c r="D3612" s="7" t="n">
        <v>132352</v>
      </c>
      <c r="E3612" s="8" t="n">
        <v>40336</v>
      </c>
      <c r="F3612" s="7" t="n">
        <v>5</v>
      </c>
      <c r="G3612" s="7" t="inlineStr">
        <is>
          <t>Delicious!  I doubled it and used thyme because I was out of oregano.  I also only used 1/2 tsp of tumeric for the whole doubled amount.  Thanks!!</t>
        </is>
      </c>
    </row>
    <row r="3613">
      <c r="A3613" s="7" t="n">
        <v>29785</v>
      </c>
      <c r="B3613" s="7" t="n">
        <v>445571</v>
      </c>
      <c r="C3613" s="7" t="n">
        <v>69615</v>
      </c>
      <c r="D3613" s="7" t="n">
        <v>104222</v>
      </c>
      <c r="E3613" s="8" t="n">
        <v>39805</v>
      </c>
      <c r="F3613" s="7" t="n">
        <v>4</v>
      </c>
      <c r="G3613" s="7" t="inlineStr">
        <is>
          <t>I finally got brave and tried this recipe. However, I didn't know they were called Martha Washington Balls, my mom always called them bon bons. I tried them with dipping chocolate at first and it was a disaster. I went to the chocolate and parafin and it was wonderful. Shoulda listened to mom. I will make these for years to come.</t>
        </is>
      </c>
    </row>
    <row r="3614">
      <c r="A3614" s="7" t="n">
        <v>57429</v>
      </c>
      <c r="B3614" s="7" t="n">
        <v>43245</v>
      </c>
      <c r="C3614" s="7" t="n">
        <v>339260</v>
      </c>
      <c r="D3614" s="7" t="n">
        <v>339101</v>
      </c>
      <c r="E3614" s="8" t="n">
        <v>40610</v>
      </c>
      <c r="F3614" s="7" t="n">
        <v>5</v>
      </c>
      <c r="G3614" s="7" t="inlineStr">
        <is>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is>
      </c>
    </row>
    <row r="3615">
      <c r="A3615" s="7" t="n">
        <v>71062</v>
      </c>
      <c r="B3615" s="7" t="n">
        <v>242375</v>
      </c>
      <c r="C3615" s="7" t="n">
        <v>131501</v>
      </c>
      <c r="D3615" s="7" t="n">
        <v>52977</v>
      </c>
      <c r="E3615" s="8" t="n">
        <v>38060</v>
      </c>
      <c r="F3615" s="7" t="n">
        <v>4</v>
      </c>
      <c r="G3615" s="7" t="inlineStr">
        <is>
          <t>We LOVED this recipe!  The simplicity of it makes it wonderful for a weeknight dinner, but the simmering sauce is so good that it also makes a wonderful weekend meal.  It smells so good.  Use good quality chicken, or the meat may be too tough.</t>
        </is>
      </c>
    </row>
    <row r="3616">
      <c r="A3616" s="7" t="n">
        <v>42778</v>
      </c>
      <c r="B3616" s="7" t="n">
        <v>1084881</v>
      </c>
      <c r="C3616" s="7" t="n">
        <v>1529208</v>
      </c>
      <c r="D3616" s="7" t="n">
        <v>19666</v>
      </c>
      <c r="E3616" s="8" t="n">
        <v>41867</v>
      </c>
      <c r="F3616" s="7" t="n">
        <v>3</v>
      </c>
      <c r="G3616" s="7" t="inlineStr">
        <is>
          <t>These were just okay.  First off, when they say use a deep pan, use a DEEP pan.  I used a pyrex baking dish, and the sauce bubbled up and over and now I have a huge, burnt mess in the oven to clean up, but that&amp;#039;s partly on me, so I&amp;#039;ll forgive that, although I think perhaps some oil in the sauce may have prevented this to some degree.  Once done, they were sticky and somewhat edible, but they did have a very burnt taste to them, even though I only cooked for 1 hr rather than the 1.5 hrs.  Lots of mess for not that great of wings.  Maybe next time I&amp;#039;ll just try a slow-cooker method of these, but we didn&amp;#039;t love these.  Sorry.</t>
        </is>
      </c>
    </row>
    <row r="3617">
      <c r="A3617" s="7" t="n">
        <v>28263</v>
      </c>
      <c r="B3617" s="7" t="n">
        <v>125296</v>
      </c>
      <c r="C3617" s="7" t="n">
        <v>1522005</v>
      </c>
      <c r="D3617" s="7" t="n">
        <v>20050</v>
      </c>
      <c r="E3617" s="8" t="n">
        <v>40193</v>
      </c>
      <c r="F3617" s="7" t="n">
        <v>5</v>
      </c>
      <c r="G3617" s="7" t="inlineStr">
        <is>
          <t>I joined recipezaar just so I could rave about this recipe. It's been a regular star on our dinner table for a few years now, and I'm about to do it again!</t>
        </is>
      </c>
    </row>
    <row r="3618" ht="409.5" customHeight="1">
      <c r="A3618" s="7" t="n">
        <v>51825</v>
      </c>
      <c r="B3618" s="7" t="n">
        <v>455691</v>
      </c>
      <c r="C3618" s="7" t="n">
        <v>1022259</v>
      </c>
      <c r="D3618" s="7" t="n">
        <v>335933</v>
      </c>
      <c r="E3618" s="8" t="n">
        <v>39833</v>
      </c>
      <c r="F3618" s="7" t="n">
        <v>5</v>
      </c>
      <c r="G3618" s="9" t="inlineStr">
        <is>
          <t>No kidding. The first batch of this chili went so fast I ended up making a second batch 2 days later. It is nearly gone as well. _x000D_
I added a variety of beans on  the second batch. Both versions were excellent. _x000D_
Thanks again._x000D_
~S</t>
        </is>
      </c>
    </row>
    <row r="3619">
      <c r="A3619" s="7" t="n">
        <v>83511</v>
      </c>
      <c r="B3619" s="7" t="n">
        <v>656117</v>
      </c>
      <c r="C3619" s="7" t="n">
        <v>48447</v>
      </c>
      <c r="D3619" s="7" t="n">
        <v>27208</v>
      </c>
      <c r="E3619" s="8" t="n">
        <v>37631</v>
      </c>
      <c r="F3619" s="7" t="n">
        <v>5</v>
      </c>
      <c r="G3619" s="7" t="inlineStr">
        <is>
          <t>GREAT flavor!  This has quickly become a favorite of friends and family and SO easy!  I have made it again and again already.</t>
        </is>
      </c>
    </row>
    <row r="3620" ht="409.5" customHeight="1">
      <c r="A3620" s="7" t="n">
        <v>34330</v>
      </c>
      <c r="B3620" s="7" t="n">
        <v>355893</v>
      </c>
      <c r="C3620" s="7" t="n">
        <v>197023</v>
      </c>
      <c r="D3620" s="7" t="n">
        <v>98056</v>
      </c>
      <c r="E3620" s="8" t="n">
        <v>38818</v>
      </c>
      <c r="F3620" s="7" t="n">
        <v>5</v>
      </c>
      <c r="G3620" s="9" t="inlineStr">
        <is>
          <t xml:space="preserve">A truly gourmet recipe! WOW! My mouth was watering just reading the ingredients for this superb sandwich. Pesto and peppers and prosciutto and olives: YUM! And these sandwiches really were every bit as wonderfully yummy as I'd anticipated! I made them exactly to the recipe - except for using lemon juice instead of water. I also added the (optional) thinly sliced red onion and sliced olives. If you're making these, be warned: anticipate people being keen to eat more than they would have eaten had some more averagely tasty sandwiches been on offer! I'll make these again, not only for others but also for fabulous take-to-work lunches! Thank you so much, KITTENCAL, for another exceptional 5+++++ recipe!_x000D_
_x000D_
</t>
        </is>
      </c>
    </row>
    <row r="3621">
      <c r="A3621" s="7" t="n">
        <v>98204</v>
      </c>
      <c r="B3621" s="7" t="n">
        <v>175107</v>
      </c>
      <c r="C3621" s="7" t="n">
        <v>1552334</v>
      </c>
      <c r="D3621" s="7" t="n">
        <v>321602</v>
      </c>
      <c r="E3621" s="8" t="n">
        <v>40387</v>
      </c>
      <c r="F3621" s="7" t="n">
        <v>0</v>
      </c>
      <c r="G3621" s="7" t="inlineStr">
        <is>
          <t>Made this for dinner last night. Used chopped onion in place of the onion powder, since my girlfriend loves onion, and isn't too keen on my new turkey fetish.&lt;br/&gt;We loved these. I was hesitant of the minimal ingredients at first, but this was GREAT!</t>
        </is>
      </c>
    </row>
    <row r="3622">
      <c r="A3622" s="7" t="n">
        <v>63387</v>
      </c>
      <c r="B3622" s="7" t="n">
        <v>648440</v>
      </c>
      <c r="C3622" s="7" t="n">
        <v>35526</v>
      </c>
      <c r="D3622" s="7" t="n">
        <v>31235</v>
      </c>
      <c r="E3622" s="8" t="n">
        <v>38389</v>
      </c>
      <c r="F3622" s="7" t="n">
        <v>5</v>
      </c>
      <c r="G3622" s="7" t="inlineStr">
        <is>
          <t>Wow.  Crunchy nutty goodness!!  Made it exactly as stated (with extra pecans) and we really love the texture and the flavor.  I may mess around with the nuts a little on the next batch.  This is a keeper!!</t>
        </is>
      </c>
    </row>
    <row r="3623">
      <c r="A3623" s="7" t="n">
        <v>30811</v>
      </c>
      <c r="B3623" s="7" t="n">
        <v>810363</v>
      </c>
      <c r="C3623" s="7" t="n">
        <v>934824</v>
      </c>
      <c r="D3623" s="7" t="n">
        <v>78897</v>
      </c>
      <c r="E3623" s="8" t="n">
        <v>40531</v>
      </c>
      <c r="F3623" s="7" t="n">
        <v>5</v>
      </c>
      <c r="G3623" s="7" t="inlineStr">
        <is>
          <t>Very good!</t>
        </is>
      </c>
    </row>
    <row r="3624">
      <c r="A3624" s="7" t="n">
        <v>71091</v>
      </c>
      <c r="B3624" s="7" t="n">
        <v>946334</v>
      </c>
      <c r="C3624" s="7" t="n">
        <v>472751</v>
      </c>
      <c r="D3624" s="7" t="n">
        <v>48490</v>
      </c>
      <c r="E3624" s="8" t="n">
        <v>39494</v>
      </c>
      <c r="F3624" s="7" t="n">
        <v>5</v>
      </c>
      <c r="G3624" s="7" t="inlineStr">
        <is>
          <t>I love this.  If you enjoy cheese cake you will like this.  I made it into a dip instead of the cheese ball.  I gave the recipe to several guest.</t>
        </is>
      </c>
    </row>
    <row r="3625">
      <c r="A3625" s="7" t="n">
        <v>105478</v>
      </c>
      <c r="B3625" s="7" t="n">
        <v>31040</v>
      </c>
      <c r="C3625" s="7" t="n">
        <v>678857</v>
      </c>
      <c r="D3625" s="7" t="n">
        <v>194758</v>
      </c>
      <c r="E3625" s="8" t="n">
        <v>40895</v>
      </c>
      <c r="F3625" s="7" t="n">
        <v>5</v>
      </c>
      <c r="G3625" s="7" t="inlineStr">
        <is>
          <t>I love this recipe - so easy to make and we love the extra flavor from the pepperjack cheese and Tobasco sauce.  Can't wait to share these at our family Christmas party tonight.  Thanks Kittencal for another great recipe!!!</t>
        </is>
      </c>
    </row>
    <row r="3626">
      <c r="A3626" s="7" t="n">
        <v>53406</v>
      </c>
      <c r="B3626" s="7" t="n">
        <v>34896</v>
      </c>
      <c r="C3626" s="7" t="n">
        <v>786509</v>
      </c>
      <c r="D3626" s="7" t="n">
        <v>33016</v>
      </c>
      <c r="E3626" s="8" t="n">
        <v>39785</v>
      </c>
      <c r="F3626" s="7" t="n">
        <v>5</v>
      </c>
      <c r="G3626" s="7" t="inlineStr">
        <is>
          <t>I have to admit I was nervous about dressing in a crock pot - but since my oven was going to be full on Thanksgiving I decided to give it a try.  I added sage sausage (family requirement) and omitted the eggs and it was GREAT!!</t>
        </is>
      </c>
    </row>
    <row r="3627">
      <c r="A3627" s="7" t="n">
        <v>62079</v>
      </c>
      <c r="B3627" s="7" t="n">
        <v>545176</v>
      </c>
      <c r="C3627" s="7" t="n">
        <v>361931</v>
      </c>
      <c r="D3627" s="7" t="n">
        <v>237420</v>
      </c>
      <c r="E3627" s="8" t="n">
        <v>39670</v>
      </c>
      <c r="F3627" s="7" t="n">
        <v>5</v>
      </c>
      <c r="G3627" s="7" t="inlineStr">
        <is>
          <t>Very good, though no leftovers!  Might go ahead and double next time.  I think that it would be good with some chicken too for a milder taste (with maybe a little taco seasoning or something).  Thanks :)</t>
        </is>
      </c>
    </row>
    <row r="3628">
      <c r="A3628" s="7" t="n">
        <v>5965</v>
      </c>
      <c r="B3628" s="7" t="n">
        <v>228244</v>
      </c>
      <c r="C3628" s="7" t="n">
        <v>217634</v>
      </c>
      <c r="D3628" s="7" t="n">
        <v>21047</v>
      </c>
      <c r="E3628" s="8" t="n">
        <v>38640</v>
      </c>
      <c r="F3628" s="7" t="n">
        <v>5</v>
      </c>
      <c r="G3628" s="7" t="inlineStr">
        <is>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is>
      </c>
    </row>
    <row r="3629">
      <c r="A3629" s="7" t="n">
        <v>86057</v>
      </c>
      <c r="B3629" s="7" t="n">
        <v>394284</v>
      </c>
      <c r="C3629" s="7" t="n">
        <v>2001419638</v>
      </c>
      <c r="D3629" s="7" t="n">
        <v>24308</v>
      </c>
      <c r="E3629" s="8" t="n">
        <v>42800</v>
      </c>
      <c r="F3629" s="7" t="n">
        <v>4</v>
      </c>
      <c r="G3629" s="7" t="inlineStr">
        <is>
          <t>This was easy to make. Great flavor. However, the filling was very runny like it wasn't cooked. I followed the receipe to the t. The middle was really sweet</t>
        </is>
      </c>
    </row>
    <row r="3630">
      <c r="A3630" s="7" t="n">
        <v>67693</v>
      </c>
      <c r="B3630" s="7" t="n">
        <v>52622</v>
      </c>
      <c r="C3630" s="7" t="n">
        <v>682891</v>
      </c>
      <c r="D3630" s="7" t="n">
        <v>247934</v>
      </c>
      <c r="E3630" s="8" t="n">
        <v>39868</v>
      </c>
      <c r="F3630" s="7" t="n">
        <v>5</v>
      </c>
      <c r="G3630" s="7" t="inlineStr">
        <is>
          <t>Wonderful, tasty burger.  My husbands favorite burger is an Angus beef burger.  I made these and he said "a must make again, and again, and again".  I think they are now his favorite, I know they are mine!!</t>
        </is>
      </c>
    </row>
    <row r="3631">
      <c r="A3631" s="7" t="n">
        <v>65403</v>
      </c>
      <c r="B3631" s="7" t="n">
        <v>356905</v>
      </c>
      <c r="C3631" s="7" t="n">
        <v>1230396</v>
      </c>
      <c r="D3631" s="7" t="n">
        <v>42603</v>
      </c>
      <c r="E3631" s="8" t="n">
        <v>41637</v>
      </c>
      <c r="F3631" s="7" t="n">
        <v>4</v>
      </c>
      <c r="G3631" s="7" t="inlineStr">
        <is>
          <t>As with almost all oven-baked breaded chicken I&amp;#039;ve tried, I have a hard time keeping the breaking to stick -- sticks to the pan moreso than the meat. The flavor was good though, so worthy of 4 stars.</t>
        </is>
      </c>
    </row>
    <row r="3632">
      <c r="A3632" t="n">
        <v>26718</v>
      </c>
      <c r="B3632" t="n">
        <v>1104039</v>
      </c>
      <c r="C3632" t="n">
        <v>307214</v>
      </c>
      <c r="D3632" t="n">
        <v>64446</v>
      </c>
      <c r="E3632" s="1" t="n">
        <v>39741</v>
      </c>
      <c r="F3632" t="n">
        <v>4</v>
      </c>
      <c r="G3632" t="inlineStr">
        <is>
          <t>Really good.  When I was making this I assumed that it would serve the 10 people we had for dinner.  Image my surprise when I formed the loaves and each was the size of an large bun!  Thankfully it rose lots, but it only made a slice or two per person.</t>
        </is>
      </c>
    </row>
    <row r="3633">
      <c r="A3633" s="7" t="n">
        <v>83202</v>
      </c>
      <c r="B3633" s="7" t="n">
        <v>80408</v>
      </c>
      <c r="C3633" s="7" t="n">
        <v>540475</v>
      </c>
      <c r="D3633" s="7" t="n">
        <v>193133</v>
      </c>
      <c r="E3633" s="8" t="n">
        <v>39291</v>
      </c>
      <c r="F3633" s="7" t="n">
        <v>5</v>
      </c>
      <c r="G3633" s="7" t="inlineStr">
        <is>
          <t>This is a very tasty dish. It's a good way to use up some of the vegies from the garden. The only change I made was instead of a tomato and chicken broth, I used a can of undrained diced tomatoes because my tomatoes weren't quite ripe enough yet. I also added minced garlic instead of the garlic powder.  Great recipe!</t>
        </is>
      </c>
    </row>
    <row r="3634">
      <c r="A3634" s="7" t="n">
        <v>98947</v>
      </c>
      <c r="B3634" s="7" t="n">
        <v>357934</v>
      </c>
      <c r="C3634" s="7" t="n">
        <v>50053</v>
      </c>
      <c r="D3634" s="7" t="n">
        <v>43706</v>
      </c>
      <c r="E3634" s="8" t="n">
        <v>37554</v>
      </c>
      <c r="F3634" s="7" t="n">
        <v>5</v>
      </c>
      <c r="G3634" s="7" t="inlineStr">
        <is>
          <t>This is fantastic chili.  I didn't use the corn chips or cheese but it is terrific without.  We had it with a nice foccacia bread and I couldn't get enough.  I think I will try it with venison or elk next time.  Thank you so much for this recipe.  I will make it again soon!!!!</t>
        </is>
      </c>
    </row>
    <row r="3635">
      <c r="A3635" t="n">
        <v>97661</v>
      </c>
      <c r="B3635" t="n">
        <v>160151</v>
      </c>
      <c r="C3635" t="n">
        <v>169969</v>
      </c>
      <c r="D3635" t="n">
        <v>83441</v>
      </c>
      <c r="E3635" s="1" t="n">
        <v>38736</v>
      </c>
      <c r="F3635" t="n">
        <v>5</v>
      </c>
      <c r="G3635" t="inlineStr">
        <is>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is>
      </c>
    </row>
    <row r="3636">
      <c r="A3636" s="7" t="n">
        <v>24600</v>
      </c>
      <c r="B3636" s="7" t="n">
        <v>1067395</v>
      </c>
      <c r="C3636" s="7" t="n">
        <v>381180</v>
      </c>
      <c r="D3636" s="7" t="n">
        <v>168981</v>
      </c>
      <c r="E3636" s="8" t="n">
        <v>41251</v>
      </c>
      <c r="F3636" s="7" t="n">
        <v>5</v>
      </c>
      <c r="G3636" s="7" t="inlineStr">
        <is>
          <t>Very refreshing!  I made the mocha variety, but with Coconut Overload ice cream that had swirls of dark chocolate throughout!  Tagged for Photo Tag, December 2012.</t>
        </is>
      </c>
    </row>
    <row r="3637">
      <c r="A3637" s="7" t="n">
        <v>59051</v>
      </c>
      <c r="B3637" s="7" t="n">
        <v>428603</v>
      </c>
      <c r="C3637" s="7" t="n">
        <v>408454</v>
      </c>
      <c r="D3637" s="7" t="n">
        <v>22149</v>
      </c>
      <c r="E3637" s="8" t="n">
        <v>39628</v>
      </c>
      <c r="F3637" s="7" t="n">
        <v>5</v>
      </c>
      <c r="G3637" s="7" t="inlineStr">
        <is>
          <t>I made this recipe for my wife's birthday last night... she raved about it. Said it was just like her mom used to make it. Thanks for a wonder recipe.</t>
        </is>
      </c>
    </row>
    <row r="3638">
      <c r="A3638" s="7" t="n">
        <v>114962</v>
      </c>
      <c r="B3638" s="7" t="n">
        <v>446671</v>
      </c>
      <c r="C3638" s="7" t="n">
        <v>57222</v>
      </c>
      <c r="D3638" s="7" t="n">
        <v>14457</v>
      </c>
      <c r="E3638" s="8" t="n">
        <v>41071</v>
      </c>
      <c r="F3638" s="7" t="n">
        <v>5</v>
      </c>
      <c r="G3638" s="7" t="inlineStr">
        <is>
          <t>Really good cake! I used only 1 tbls of sugar for the topping though and subsituted cinnamon for the nutmeg (personal preference). My cake tested done at 35 minutes and I will check it at 30 mintues the next time. Goes great with vanilla ice cream too! Thank you for sharing!</t>
        </is>
      </c>
    </row>
    <row r="3639">
      <c r="A3639" s="7" t="n">
        <v>16354</v>
      </c>
      <c r="B3639" s="7" t="n">
        <v>683119</v>
      </c>
      <c r="C3639" s="7" t="n">
        <v>47892</v>
      </c>
      <c r="D3639" s="7" t="n">
        <v>461568</v>
      </c>
      <c r="E3639" s="8" t="n">
        <v>41473</v>
      </c>
      <c r="F3639" s="7" t="n">
        <v>5</v>
      </c>
      <c r="G3639" s="7" t="inlineStr">
        <is>
          <t>Fresh, locally made whole grain bread, organic huckleberry jam from Idaho and Recipe #461567: YUM! Would be very interesting to play around with other ingredients: lettuce (arugula comes to mind), sliced of red onion, cheese...? Made for Veg Tag/July.</t>
        </is>
      </c>
    </row>
    <row r="3640">
      <c r="A3640" s="7" t="n">
        <v>122065</v>
      </c>
      <c r="B3640" s="7" t="n">
        <v>858075</v>
      </c>
      <c r="C3640" s="7" t="n">
        <v>499375</v>
      </c>
      <c r="D3640" s="7" t="n">
        <v>228169</v>
      </c>
      <c r="E3640" s="8" t="n">
        <v>39222</v>
      </c>
      <c r="F3640" s="7" t="n">
        <v>5</v>
      </c>
      <c r="G3640" s="7" t="inlineStr">
        <is>
          <t>very good</t>
        </is>
      </c>
    </row>
    <row r="3641">
      <c r="A3641" s="7" t="n">
        <v>123324</v>
      </c>
      <c r="B3641" s="7" t="n">
        <v>420137</v>
      </c>
      <c r="C3641" s="7" t="n">
        <v>2001269524</v>
      </c>
      <c r="D3641" s="7" t="n">
        <v>336374</v>
      </c>
      <c r="E3641" s="8" t="n">
        <v>42699</v>
      </c>
      <c r="F3641" s="7" t="n">
        <v>2</v>
      </c>
      <c r="G3641" s="7" t="inlineStr">
        <is>
          <t>By chocolate cream cheese gave came out dry.This was my first time baking from scratch.Was I suppose to use Hershey's cocoa or baking coca</t>
        </is>
      </c>
    </row>
    <row r="3642">
      <c r="A3642" s="7" t="n">
        <v>3447</v>
      </c>
      <c r="B3642" s="7" t="n">
        <v>995334</v>
      </c>
      <c r="C3642" s="7" t="n">
        <v>424680</v>
      </c>
      <c r="D3642" s="7" t="n">
        <v>267908</v>
      </c>
      <c r="E3642" s="8" t="n">
        <v>40112</v>
      </c>
      <c r="F3642" s="7" t="n">
        <v>5</v>
      </c>
      <c r="G3642" s="7" t="inlineStr">
        <is>
          <t>ABSOLUTELY A GREAT CHOCOLATE FIX that's very nicely presented! I really enjoyed putting this one together! Made it as per the recipe &amp; it was OUTSTANDING! Topped it with shaved dard chocolate AND chopped, toasted almonds! Another time I'd like to try this with a big batch of fudge brownies instead of the devil's food cake, but either way, the recipe is certainly a keeper! [Tagged, made &amp; reviewed for one of my swapmates in the Aus/NZ Recipe Swap #33]</t>
        </is>
      </c>
    </row>
    <row r="3643">
      <c r="A3643" s="7" t="n">
        <v>59414</v>
      </c>
      <c r="B3643" s="7" t="n">
        <v>193263</v>
      </c>
      <c r="C3643" s="7" t="n">
        <v>2003037</v>
      </c>
      <c r="D3643" s="7" t="n">
        <v>383005</v>
      </c>
      <c r="E3643" s="8" t="n">
        <v>40795</v>
      </c>
      <c r="F3643" s="7" t="n">
        <v>5</v>
      </c>
      <c r="G3643" s="7" t="inlineStr">
        <is>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is>
      </c>
    </row>
    <row r="3644">
      <c r="A3644" s="7" t="n">
        <v>57912</v>
      </c>
      <c r="B3644" s="7" t="n">
        <v>72812</v>
      </c>
      <c r="C3644" s="7" t="n">
        <v>48612</v>
      </c>
      <c r="D3644" s="7" t="n">
        <v>54269</v>
      </c>
      <c r="E3644" s="8" t="n">
        <v>37763</v>
      </c>
      <c r="F3644" s="7" t="n">
        <v>5</v>
      </c>
      <c r="G3644" s="7" t="inlineStr">
        <is>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is>
      </c>
    </row>
    <row r="3645">
      <c r="A3645" s="7" t="n">
        <v>1775</v>
      </c>
      <c r="B3645" s="7" t="n">
        <v>623658</v>
      </c>
      <c r="C3645" s="7" t="n">
        <v>597848</v>
      </c>
      <c r="D3645" s="7" t="n">
        <v>17588</v>
      </c>
      <c r="E3645" s="8" t="n">
        <v>39886</v>
      </c>
      <c r="F3645" s="7" t="n">
        <v>3</v>
      </c>
      <c r="G3645" s="7" t="inlineStr">
        <is>
          <t>I did not get as far as putting on the topping.... kinda sad with the way the cake turned out kinda mushy at the bottom.... i guess this is for some but not for our house.. thanx though</t>
        </is>
      </c>
    </row>
    <row r="3646">
      <c r="A3646" s="7" t="n">
        <v>86665</v>
      </c>
      <c r="B3646" s="7" t="n">
        <v>395330</v>
      </c>
      <c r="C3646" s="7" t="n">
        <v>149445</v>
      </c>
      <c r="D3646" s="7" t="n">
        <v>129996</v>
      </c>
      <c r="E3646" s="8" t="n">
        <v>38832</v>
      </c>
      <c r="F3646" s="7" t="n">
        <v>0</v>
      </c>
      <c r="G3646" s="7" t="inlineStr">
        <is>
          <t xml:space="preserve">This is a very good recipe.  I was a bit leary about the dijon, but after reading the reviews, I decided to try it.  My husband does not like to try anything new but compromised, half of the fillets were made using this recipe, the other half were dipped in beaten egg. We loved the tangy flavor of the mustard, it really enhanced the taste of the tilapia.  I will be making this again.  Thanks Caz!   </t>
        </is>
      </c>
    </row>
    <row r="3647">
      <c r="A3647" s="7" t="n">
        <v>76402</v>
      </c>
      <c r="B3647" s="7" t="n">
        <v>1049137</v>
      </c>
      <c r="C3647" s="7" t="n">
        <v>360437</v>
      </c>
      <c r="D3647" s="7" t="n">
        <v>102274</v>
      </c>
      <c r="E3647" s="8" t="n">
        <v>39604</v>
      </c>
      <c r="F3647" s="7" t="n">
        <v>5</v>
      </c>
      <c r="G3647" s="7" t="inlineStr">
        <is>
          <t>Delicious soup and very hearty. I used the liquid smoke and definately recommend it, it added such a nice flavor! Thanks!</t>
        </is>
      </c>
    </row>
    <row r="3648">
      <c r="A3648" s="7" t="n">
        <v>40964</v>
      </c>
      <c r="B3648" s="7" t="n">
        <v>608314</v>
      </c>
      <c r="C3648" s="7" t="n">
        <v>1052873</v>
      </c>
      <c r="D3648" s="7" t="n">
        <v>209723</v>
      </c>
      <c r="E3648" s="8" t="n">
        <v>40580</v>
      </c>
      <c r="F3648" s="7" t="n">
        <v>4</v>
      </c>
      <c r="G3648" s="7" t="inlineStr">
        <is>
          <t>I've never had fondue so I don't know if this is the way it is supposed to be but it seemed like it would have been better on macaroni. It was pretty good cheese sauce but didn't stick to/soak into the bread. I'm going to put the leftovers on broccoli tomorrow. Used chicken boullion instead of beer, 1/2 sharp cheddar and 1/2 velveeta. It was too salty and too thick, so added about 1/2 c milk. No MSG, so no Accent.</t>
        </is>
      </c>
    </row>
    <row r="3649">
      <c r="A3649" s="7" t="n">
        <v>57359</v>
      </c>
      <c r="B3649" s="7" t="n">
        <v>147536</v>
      </c>
      <c r="C3649" s="7" t="n">
        <v>101823</v>
      </c>
      <c r="D3649" s="7" t="n">
        <v>135576</v>
      </c>
      <c r="E3649" s="8" t="n">
        <v>39557</v>
      </c>
      <c r="F3649" s="7" t="n">
        <v>4</v>
      </c>
      <c r="G3649" s="7" t="inlineStr">
        <is>
          <t>I have prepared a similar salad using sliced red onions, and thinly sliced tomatoes. This is very refreshing and great for meals in the upcoming summer heat.</t>
        </is>
      </c>
    </row>
    <row r="3650">
      <c r="A3650" s="7" t="n">
        <v>36514</v>
      </c>
      <c r="B3650" s="7" t="n">
        <v>790576</v>
      </c>
      <c r="C3650" s="7" t="n">
        <v>88099</v>
      </c>
      <c r="D3650" s="7" t="n">
        <v>120767</v>
      </c>
      <c r="E3650" s="8" t="n">
        <v>38844</v>
      </c>
      <c r="F3650" s="7" t="n">
        <v>5</v>
      </c>
      <c r="G3650" s="7" t="inlineStr">
        <is>
          <t>One of my PAC recipes.  I don't usually cook in the microwave, but this was an interesting recipe that I had to try.  Quick, simple and delicious.  I put sliced tomatoes, onions and peppers on mine and loved every bit.  I did use 2 eggs because my tortilla was burrito size.  Thanks BaybeShell.</t>
        </is>
      </c>
    </row>
    <row r="3651">
      <c r="A3651" s="7" t="n">
        <v>70847</v>
      </c>
      <c r="B3651" s="7" t="n">
        <v>550676</v>
      </c>
      <c r="C3651" s="7" t="n">
        <v>725332</v>
      </c>
      <c r="D3651" s="7" t="n">
        <v>19319</v>
      </c>
      <c r="E3651" s="8" t="n">
        <v>39746</v>
      </c>
      <c r="F3651" s="7" t="n">
        <v>5</v>
      </c>
      <c r="G3651" s="7" t="inlineStr">
        <is>
          <t>This is great! I used 6c stock, 4 ribs celery, 4 carrots, and turkey kielbasa. Also, I cooked it on low for 6 hours. (I added the extra veggies just to use them up before they spoiled).</t>
        </is>
      </c>
    </row>
    <row r="3652">
      <c r="A3652" s="7" t="n">
        <v>32576</v>
      </c>
      <c r="B3652" s="7" t="n">
        <v>594052</v>
      </c>
      <c r="C3652" s="7" t="n">
        <v>59064</v>
      </c>
      <c r="D3652" s="7" t="n">
        <v>57995</v>
      </c>
      <c r="E3652" s="8" t="n">
        <v>37989</v>
      </c>
      <c r="F3652" s="7" t="n">
        <v>4</v>
      </c>
      <c r="G3652" s="7" t="inlineStr">
        <is>
          <t>Very nice easy to prepare carrot soup that fed 2 hungry adults and a toddler quite well for a weekend dinner. Worth trying.</t>
        </is>
      </c>
    </row>
    <row r="3653">
      <c r="A3653" s="7" t="n">
        <v>98761</v>
      </c>
      <c r="B3653" s="7" t="n">
        <v>350460</v>
      </c>
      <c r="C3653" s="7" t="n">
        <v>255338</v>
      </c>
      <c r="D3653" s="7" t="n">
        <v>380491</v>
      </c>
      <c r="E3653" s="8" t="n">
        <v>40487</v>
      </c>
      <c r="F3653" s="7" t="n">
        <v>5</v>
      </c>
      <c r="G3653" s="7" t="inlineStr">
        <is>
          <t>This dish is going straight to my favourite folder. I made two thirds of the recipe, and added just a tiny bit of sugar as my beef got a little bit burnt. My children loved it. Thank you so much for posting.</t>
        </is>
      </c>
    </row>
    <row r="3654">
      <c r="A3654" s="7" t="n">
        <v>70531</v>
      </c>
      <c r="B3654" s="7" t="n">
        <v>170511</v>
      </c>
      <c r="C3654" s="7" t="n">
        <v>2000309345</v>
      </c>
      <c r="D3654" s="7" t="n">
        <v>100796</v>
      </c>
      <c r="E3654" s="8" t="n">
        <v>42187</v>
      </c>
      <c r="F3654" s="7" t="n">
        <v>5</v>
      </c>
      <c r="G3654" s="7" t="inlineStr">
        <is>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is>
      </c>
    </row>
    <row r="3655">
      <c r="A3655" s="7" t="n">
        <v>106589</v>
      </c>
      <c r="B3655" s="7" t="n">
        <v>369419</v>
      </c>
      <c r="C3655" s="7" t="n">
        <v>186802</v>
      </c>
      <c r="D3655" s="7" t="n">
        <v>222494</v>
      </c>
      <c r="E3655" s="8" t="n">
        <v>39189</v>
      </c>
      <c r="F3655" s="7" t="n">
        <v>5</v>
      </c>
      <c r="G3655" s="7" t="inlineStr">
        <is>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is>
      </c>
    </row>
    <row r="3656">
      <c r="A3656" s="7" t="n">
        <v>118822</v>
      </c>
      <c r="B3656" s="7" t="n">
        <v>824008</v>
      </c>
      <c r="C3656" s="7" t="n">
        <v>126435</v>
      </c>
      <c r="D3656" s="7" t="n">
        <v>78814</v>
      </c>
      <c r="E3656" s="8" t="n">
        <v>39362</v>
      </c>
      <c r="F3656" s="7" t="n">
        <v>5</v>
      </c>
      <c r="G3656" s="7" t="inlineStr">
        <is>
          <t>Most certainly a winner! I used Pillsbury Big and Buttery Crescents, which are 50% bigger than normal and have 6 to a can, so it made 12 rolls. I used a small amount of sauce to drizzle over before cooking, and served the rest on the side for topping at the end. I divided the chicken mixture into 12 portions before filling, and since the rolls were larger, it held it all. They were crispy on the top and bottom, but were a little doughy where the sides touched. I think next time I will spread them out on a cookie sheet covered with nonstick foil so that they won't be touching even when they rise, so they will crisp on all sides. I also think these would be delicious spread with honey butter instead of the sauce before baking. Kitten, you've made my family very happy once again!</t>
        </is>
      </c>
    </row>
    <row r="3657">
      <c r="A3657" s="7" t="n">
        <v>35456</v>
      </c>
      <c r="B3657" s="7" t="n">
        <v>531981</v>
      </c>
      <c r="C3657" s="7" t="n">
        <v>54678</v>
      </c>
      <c r="D3657" s="7" t="n">
        <v>36548</v>
      </c>
      <c r="E3657" s="8" t="n">
        <v>37753</v>
      </c>
      <c r="F3657" s="7" t="n">
        <v>5</v>
      </c>
      <c r="G3657" s="7" t="inlineStr">
        <is>
          <t>Tasty Tasty Tasty! We cooked two 3 pound chickens. Only made up half the marinade amount (2 cups Italian Dressing - Golden and Zesty combo and 1/2 cup lemon juice) The seasoning was sensational. Would definitely make again.</t>
        </is>
      </c>
    </row>
    <row r="3658">
      <c r="A3658" s="7" t="n">
        <v>22204</v>
      </c>
      <c r="B3658" s="7" t="n">
        <v>859177</v>
      </c>
      <c r="C3658" s="7" t="n">
        <v>373404</v>
      </c>
      <c r="D3658" s="7" t="n">
        <v>72455</v>
      </c>
      <c r="E3658" s="8" t="n">
        <v>41104</v>
      </c>
      <c r="F3658" s="7" t="n">
        <v>3</v>
      </c>
      <c r="G3658" s="7" t="inlineStr">
        <is>
          <t>The kids loved this, but it was too sweet for me.  I'm thinking it might be better with blueberry, but I don't know if I'll try it again or not.  You could barely even taste the cherries at all.</t>
        </is>
      </c>
    </row>
    <row r="3659">
      <c r="A3659" s="7" t="n">
        <v>27924</v>
      </c>
      <c r="B3659" s="7" t="n">
        <v>696234</v>
      </c>
      <c r="C3659" s="7" t="n">
        <v>1983099</v>
      </c>
      <c r="D3659" s="7" t="n">
        <v>275442</v>
      </c>
      <c r="E3659" s="8" t="n">
        <v>40770</v>
      </c>
      <c r="F3659" s="7" t="n">
        <v>5</v>
      </c>
      <c r="G3659" s="7" t="inlineStr">
        <is>
          <t>Wow! Both my sister and I thought these hoagie sandwiches were SO delicious. Thanks for the great recipe PookeyLumLum!</t>
        </is>
      </c>
    </row>
    <row r="3660" ht="375" customHeight="1">
      <c r="A3660" s="7" t="n">
        <v>73124</v>
      </c>
      <c r="B3660" s="7" t="n">
        <v>338913</v>
      </c>
      <c r="C3660" s="7" t="n">
        <v>288218</v>
      </c>
      <c r="D3660" s="7" t="n">
        <v>132359</v>
      </c>
      <c r="E3660" s="8" t="n">
        <v>38893</v>
      </c>
      <c r="F3660" s="7" t="n">
        <v>5</v>
      </c>
      <c r="G3660" s="9" t="inlineStr">
        <is>
          <t>So easy and tasty! I used blueberry jelly and had it for a snack with toasted bread. I kept the rest in my fridge because I plan on making muffins tonight!_x000D_
Great stuff! Thanks Sharon!</t>
        </is>
      </c>
    </row>
    <row r="3661">
      <c r="A3661" s="7" t="n">
        <v>28005</v>
      </c>
      <c r="B3661" s="7" t="n">
        <v>1075443</v>
      </c>
      <c r="C3661" s="7" t="n">
        <v>341634</v>
      </c>
      <c r="D3661" s="7" t="n">
        <v>67502</v>
      </c>
      <c r="E3661" s="8" t="n">
        <v>39329</v>
      </c>
      <c r="F3661" s="7" t="n">
        <v>5</v>
      </c>
      <c r="G3661" s="7" t="inlineStr">
        <is>
          <t>Fabulous!!! My whole family loved it even my picky 2 1/2yr. old.  It was very satisfying and I'm not even a big curry fan. I served it over brown rice.  A++++ Thanks!</t>
        </is>
      </c>
    </row>
    <row r="3662">
      <c r="A3662" s="7" t="n">
        <v>95966</v>
      </c>
      <c r="B3662" s="7" t="n">
        <v>901482</v>
      </c>
      <c r="C3662" s="7" t="n">
        <v>394077</v>
      </c>
      <c r="D3662" s="7" t="n">
        <v>79275</v>
      </c>
      <c r="E3662" s="8" t="n">
        <v>39855</v>
      </c>
      <c r="F3662" s="7" t="n">
        <v>5</v>
      </c>
      <c r="G3662" s="7" t="inlineStr">
        <is>
          <t>SOOO Good!!! and boy is it easy too.  I made it to go with tilapia.  I didn't have the knorr aromat but I didn't miss a thing because it is delicious.  Oh,  watch the bouillon amount.  I cut it in half and it was perfect.  If I had used 1 teaspoon, it would be too salty IMHO. Also,  I substituted 3 Tablespoons of olive oil instead of butter.  Keeper recipe.  Thank you for sharing it.</t>
        </is>
      </c>
    </row>
    <row r="3663">
      <c r="A3663" s="7" t="n">
        <v>51761</v>
      </c>
      <c r="B3663" s="7" t="n">
        <v>982610</v>
      </c>
      <c r="C3663" s="7" t="n">
        <v>296809</v>
      </c>
      <c r="D3663" s="7" t="n">
        <v>190040</v>
      </c>
      <c r="E3663" s="8" t="n">
        <v>39782</v>
      </c>
      <c r="F3663" s="7" t="n">
        <v>5</v>
      </c>
      <c r="G3663" s="7" t="inlineStr">
        <is>
          <t>Made for Spring PAC 2008 ~ We loved this excellent stuffing! I made it exactly as written using half white &amp; whole wheat breads. Judgment &amp; pers pref are factors w/this. All ingredients are pre-cooked, so crockpot cook time may vary based on how hot the pot cooks &amp; the denseness + dryness of the bread used. I ckd at 3 hrs, found it starting to get dry &amp; added 1/2 cup more broth. I shut off the crockpot at 4.5 hrs &amp; left the stuffing to sit in it till dinner was ready. It was still a bit drier than we prefer, so I assume my cp cooks hot &amp; I will need to use extra broth. Great recipe! Thx for sharing it w/us. :-) ~ *Edited to Add* on 11/30/08 ~ A big hit at our annual Post-Thanksgiving dinner party last nite. The recipe was requested &amp; shared. We love this stuffing! :-)</t>
        </is>
      </c>
    </row>
    <row r="3664">
      <c r="A3664" s="7" t="n">
        <v>44621</v>
      </c>
      <c r="B3664" s="7" t="n">
        <v>705093</v>
      </c>
      <c r="C3664" s="7" t="n">
        <v>227607</v>
      </c>
      <c r="D3664" s="7" t="n">
        <v>287950</v>
      </c>
      <c r="E3664" s="8" t="n">
        <v>39595</v>
      </c>
      <c r="F3664" s="7" t="n">
        <v>5</v>
      </c>
      <c r="G3664" s="7" t="inlineStr">
        <is>
          <t>Made for ZWT4  These were really good and easy to make.  I loved them and so did 3 of my kids.  The other 2 did not care for them but they ate them with ranch dressing instead of the sauce that goes with them.  The only thing I will do next time is cut the soy sauce even more(already cut it in half) and leave the salt out.  It was bordering too salty for me.</t>
        </is>
      </c>
    </row>
    <row r="3665">
      <c r="A3665" s="7" t="n">
        <v>98739</v>
      </c>
      <c r="B3665" s="7" t="n">
        <v>641542</v>
      </c>
      <c r="C3665" s="7" t="n">
        <v>27783</v>
      </c>
      <c r="D3665" s="7" t="n">
        <v>82777</v>
      </c>
      <c r="E3665" s="8" t="n">
        <v>39076</v>
      </c>
      <c r="F3665" s="7" t="n">
        <v>5</v>
      </c>
      <c r="G3665" s="7" t="inlineStr">
        <is>
          <t>Delicious! This came out perfectly soft on the inside with a wonderful creamy texture and rich flavor. Easy too.</t>
        </is>
      </c>
    </row>
    <row r="3666">
      <c r="A3666" s="7" t="n">
        <v>3088</v>
      </c>
      <c r="B3666" s="7" t="n">
        <v>541169</v>
      </c>
      <c r="C3666" s="7" t="n">
        <v>171790</v>
      </c>
      <c r="D3666" s="7" t="n">
        <v>99570</v>
      </c>
      <c r="E3666" s="8" t="n">
        <v>39731</v>
      </c>
      <c r="F3666" s="7" t="n">
        <v>5</v>
      </c>
      <c r="G3666" s="7" t="inlineStr">
        <is>
          <t>Yummm. So good. I made 2 batches. One was baked in a casserole dish and the other was divided between a 12 cup muffin tin and a small 500 ml round casserole dish. I also used butter rather than margarine because that was what I had on hand. The muffins took about 25 minutes and the small casserole took about 35 minutes. The large pie took the full 50 minutes. Pie crust has never been one of my favourite things. This crumb top and bottom is so much better. Made for the Aussie/Kiwi Swap 21</t>
        </is>
      </c>
    </row>
    <row r="3667">
      <c r="A3667" s="7" t="n">
        <v>95990</v>
      </c>
      <c r="B3667" s="7" t="n">
        <v>1049211</v>
      </c>
      <c r="C3667" s="7" t="n">
        <v>666829</v>
      </c>
      <c r="D3667" s="7" t="n">
        <v>102274</v>
      </c>
      <c r="E3667" s="8" t="n">
        <v>40239</v>
      </c>
      <c r="F3667" s="7" t="n">
        <v>5</v>
      </c>
      <c r="G3667" s="7" t="inlineStr">
        <is>
          <t>delish!  you do not need to cook vegetables in oil though...lighten it up....just soften them in  chicken broth.......2 percent or fat free cheese and light or fat free sour cream....excellent recipe, thanks for sharing</t>
        </is>
      </c>
    </row>
    <row r="3668">
      <c r="A3668" s="7" t="n">
        <v>42107</v>
      </c>
      <c r="B3668" s="7" t="n">
        <v>1034677</v>
      </c>
      <c r="C3668" s="7" t="n">
        <v>1552503</v>
      </c>
      <c r="D3668" s="7" t="n">
        <v>109283</v>
      </c>
      <c r="E3668" s="8" t="n">
        <v>40223</v>
      </c>
      <c r="F3668" s="7" t="n">
        <v>5</v>
      </c>
      <c r="G3668" s="7" t="inlineStr">
        <is>
          <t>This marinade is so tasty.  I also used it on chicken.  Thanks for sharing it!</t>
        </is>
      </c>
    </row>
    <row r="3669">
      <c r="A3669" s="7" t="n">
        <v>117298</v>
      </c>
      <c r="B3669" s="7" t="n">
        <v>70164</v>
      </c>
      <c r="C3669" s="7" t="n">
        <v>383563</v>
      </c>
      <c r="D3669" s="7" t="n">
        <v>131027</v>
      </c>
      <c r="E3669" s="8" t="n">
        <v>40811</v>
      </c>
      <c r="F3669" s="7" t="n">
        <v>5</v>
      </c>
      <c r="G3669" s="7" t="inlineStr">
        <is>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is>
      </c>
    </row>
    <row r="3670">
      <c r="A3670" s="7" t="n">
        <v>26716</v>
      </c>
      <c r="B3670" s="7" t="n">
        <v>797408</v>
      </c>
      <c r="C3670" s="7" t="n">
        <v>2695</v>
      </c>
      <c r="D3670" s="7" t="n">
        <v>170402</v>
      </c>
      <c r="E3670" s="8" t="n">
        <v>40524</v>
      </c>
      <c r="F3670" s="7" t="n">
        <v>5</v>
      </c>
      <c r="G3670" s="7" t="inlineStr">
        <is>
          <t>This is excellent!</t>
        </is>
      </c>
    </row>
    <row r="3671">
      <c r="A3671" s="7" t="n">
        <v>8740</v>
      </c>
      <c r="B3671" s="7" t="n">
        <v>130565</v>
      </c>
      <c r="C3671" s="7" t="n">
        <v>12076</v>
      </c>
      <c r="D3671" s="7" t="n">
        <v>19565</v>
      </c>
      <c r="E3671" s="8" t="n">
        <v>37315</v>
      </c>
      <c r="F3671" s="7" t="n">
        <v>5</v>
      </c>
      <c r="G3671" s="7" t="inlineStr">
        <is>
          <t>Mark, this is certainly a beautiful cake. Thank you very much for sharing.</t>
        </is>
      </c>
    </row>
    <row r="3672">
      <c r="A3672" s="7" t="n">
        <v>109232</v>
      </c>
      <c r="B3672" s="7" t="n">
        <v>433264</v>
      </c>
      <c r="C3672" s="7" t="n">
        <v>145731</v>
      </c>
      <c r="D3672" s="7" t="n">
        <v>73679</v>
      </c>
      <c r="E3672" s="8" t="n">
        <v>38425</v>
      </c>
      <c r="F3672" s="7" t="n">
        <v>5</v>
      </c>
      <c r="G3672" s="7" t="inlineStr">
        <is>
          <t>Delicious! Quick and easy. What more could a person want? I did use a spicy curry powder with chile, so the finished meal had a little heat, and I used parsley, which seemed fine. I do want to use cilantro next time, and I will add in more ginger because its flavor seemed to get lost a bit. Anyways, this will now be a regular in my cooking repertoire.</t>
        </is>
      </c>
    </row>
    <row r="3673">
      <c r="A3673" s="7" t="n">
        <v>57052</v>
      </c>
      <c r="B3673" s="7" t="n">
        <v>1008335</v>
      </c>
      <c r="C3673" s="7" t="n">
        <v>885596</v>
      </c>
      <c r="D3673" s="7" t="n">
        <v>56366</v>
      </c>
      <c r="E3673" s="8" t="n">
        <v>40976</v>
      </c>
      <c r="F3673" s="7" t="n">
        <v>4</v>
      </c>
      <c r="G3673" s="7" t="inlineStr">
        <is>
          <t>The kiddos loved it!</t>
        </is>
      </c>
    </row>
    <row r="3674" ht="240" customHeight="1">
      <c r="A3674" s="7" t="n">
        <v>44019</v>
      </c>
      <c r="B3674" s="7" t="n">
        <v>916362</v>
      </c>
      <c r="C3674" s="7" t="n">
        <v>408454</v>
      </c>
      <c r="D3674" s="7" t="n">
        <v>207208</v>
      </c>
      <c r="E3674" s="8" t="n">
        <v>39144</v>
      </c>
      <c r="F3674" s="7" t="n">
        <v>4</v>
      </c>
      <c r="G3674" s="9" t="inlineStr">
        <is>
          <t>Loved it! This had almost enough heat for us LOL!_x000D_
Made just as written. Will be making again soon._x000D_
Thanks for the recipe!</t>
        </is>
      </c>
    </row>
    <row r="3675">
      <c r="A3675" s="7" t="n">
        <v>47605</v>
      </c>
      <c r="B3675" s="7" t="n">
        <v>454477</v>
      </c>
      <c r="C3675" s="7" t="n">
        <v>260673</v>
      </c>
      <c r="D3675" s="7" t="n">
        <v>86029</v>
      </c>
      <c r="E3675" s="8" t="n">
        <v>39046</v>
      </c>
      <c r="F3675" s="7" t="n">
        <v>5</v>
      </c>
      <c r="G3675" s="7" t="inlineStr">
        <is>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is>
      </c>
    </row>
    <row r="3676">
      <c r="A3676" s="7" t="n">
        <v>95601</v>
      </c>
      <c r="B3676" s="7" t="n">
        <v>40825</v>
      </c>
      <c r="C3676" s="7" t="n">
        <v>2000507637</v>
      </c>
      <c r="D3676" s="7" t="n">
        <v>158862</v>
      </c>
      <c r="E3676" s="8" t="n">
        <v>42277</v>
      </c>
      <c r="F3676" s="7" t="n">
        <v>5</v>
      </c>
      <c r="G3676" s="7" t="inlineStr">
        <is>
          <t>OMG! This was delicious and easy to prepare. I had to refrain myself from picking up the crumbs once I finished my piece, or the overwhelming desire to revert to my childhood and lick the plate clean.</t>
        </is>
      </c>
    </row>
    <row r="3677">
      <c r="A3677" s="7" t="n">
        <v>3205</v>
      </c>
      <c r="B3677" s="7" t="n">
        <v>193346</v>
      </c>
      <c r="C3677" s="7" t="n">
        <v>137911</v>
      </c>
      <c r="D3677" s="7" t="n">
        <v>38301</v>
      </c>
      <c r="E3677" s="8" t="n">
        <v>38778</v>
      </c>
      <c r="F3677" s="7" t="n">
        <v>5</v>
      </c>
      <c r="G3677" s="7" t="inlineStr">
        <is>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is>
      </c>
    </row>
    <row r="3678">
      <c r="A3678" s="7" t="n">
        <v>104074</v>
      </c>
      <c r="B3678" s="7" t="n">
        <v>654765</v>
      </c>
      <c r="C3678" s="7" t="n">
        <v>2001807856</v>
      </c>
      <c r="D3678" s="7" t="n">
        <v>364628</v>
      </c>
      <c r="E3678" s="8" t="n">
        <v>43059</v>
      </c>
      <c r="F3678" s="7" t="n">
        <v>5</v>
      </c>
      <c r="G3678" s="7" t="inlineStr">
        <is>
          <t>Made this to rave reviews! Only subbed Moscato for the Dry White...so glad I made double recipe :)</t>
        </is>
      </c>
    </row>
    <row r="3679">
      <c r="A3679" s="7" t="n">
        <v>66301</v>
      </c>
      <c r="B3679" s="7" t="n">
        <v>194640</v>
      </c>
      <c r="C3679" s="7" t="n">
        <v>402279</v>
      </c>
      <c r="D3679" s="7" t="n">
        <v>130076</v>
      </c>
      <c r="E3679" s="8" t="n">
        <v>40302</v>
      </c>
      <c r="F3679" s="7" t="n">
        <v>4</v>
      </c>
      <c r="G3679" s="7" t="inlineStr">
        <is>
          <t>I give this 4 out of 5 because I liked them more than my kids did. I had to remind them that they are breakfast cookies and not sweet treats...I added some hemp hearts and mini chocolate chips and while they were baking it dawned on me that there was no spice in the recipe. Next time I will add some cinnamon and nutmeg. I omitted the nuts so the kids could take them to school. My new Kitchenaid mixer made it a whiz to put together. Will make again, thanks!</t>
        </is>
      </c>
    </row>
    <row r="3680" ht="409.5" customHeight="1">
      <c r="A3680" s="7" t="n">
        <v>66867</v>
      </c>
      <c r="B3680" s="7" t="n">
        <v>744142</v>
      </c>
      <c r="C3680" s="7" t="n">
        <v>346798</v>
      </c>
      <c r="D3680" s="7" t="n">
        <v>48635</v>
      </c>
      <c r="E3680" s="8" t="n">
        <v>38957</v>
      </c>
      <c r="F3680" s="7" t="n">
        <v>5</v>
      </c>
      <c r="G3680" s="9" t="inlineStr">
        <is>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is>
      </c>
    </row>
    <row r="3681" ht="409.5" customHeight="1">
      <c r="A3681" s="7" t="n">
        <v>87441</v>
      </c>
      <c r="B3681" s="7" t="n">
        <v>449926</v>
      </c>
      <c r="C3681" s="7" t="n">
        <v>242766</v>
      </c>
      <c r="D3681" s="7" t="n">
        <v>73224</v>
      </c>
      <c r="E3681" s="8" t="n">
        <v>39790</v>
      </c>
      <c r="F3681" s="7" t="n">
        <v>5</v>
      </c>
      <c r="G3681" s="9" t="inlineStr">
        <is>
          <t>Wonderful cookies!  I made these as written except that I used "extra crunchy" peanut butter instead of the creamy.  Also, I used milk chocolate chips for the chocolate chips.  I must have made my cookies a little bit bigger because I got 48 cookies.  These were a big hit on my holiday cookie tray._x000D_
*Made for the Cookathon for Kittencal*</t>
        </is>
      </c>
    </row>
    <row r="3682">
      <c r="A3682" s="7" t="n">
        <v>94624</v>
      </c>
      <c r="B3682" s="7" t="n">
        <v>886735</v>
      </c>
      <c r="C3682" s="7" t="n">
        <v>2001985703</v>
      </c>
      <c r="D3682" s="7" t="n">
        <v>67430</v>
      </c>
      <c r="E3682" s="8" t="n">
        <v>43254</v>
      </c>
      <c r="F3682" s="7" t="n">
        <v>5</v>
      </c>
      <c r="G3682" s="7" t="inlineStr">
        <is>
          <t>Excellent base to work off of. Like any soup, it lends well to tweaking to use up what's in your fridge!</t>
        </is>
      </c>
    </row>
    <row r="3683">
      <c r="A3683" s="7" t="n">
        <v>84310</v>
      </c>
      <c r="B3683" s="7" t="n">
        <v>351008</v>
      </c>
      <c r="C3683" s="7" t="n">
        <v>404333</v>
      </c>
      <c r="D3683" s="7" t="n">
        <v>16531</v>
      </c>
      <c r="E3683" s="8" t="n">
        <v>39224</v>
      </c>
      <c r="F3683" s="7" t="n">
        <v>5</v>
      </c>
      <c r="G3683" s="7" t="inlineStr">
        <is>
          <t>This was great, nice change. Chicken was very tender and very nice flavour, excellent. Thanks for sharing. My wife loved it.</t>
        </is>
      </c>
    </row>
    <row r="3684">
      <c r="A3684" s="7" t="n">
        <v>62148</v>
      </c>
      <c r="B3684" s="7" t="n">
        <v>735070</v>
      </c>
      <c r="C3684" s="7" t="n">
        <v>480195</v>
      </c>
      <c r="D3684" s="7" t="n">
        <v>423203</v>
      </c>
      <c r="E3684" s="8" t="n">
        <v>40342</v>
      </c>
      <c r="F3684" s="7" t="n">
        <v>5</v>
      </c>
      <c r="G3684" s="7" t="inlineStr">
        <is>
          <t>Perfect recipe for a quick and delicious breakfast, or light meal. Had this with some fresh-squeezed grapefruit juice and it was just great. Thanks for sharing the recipe. Made for ZWT6.</t>
        </is>
      </c>
    </row>
    <row r="3685">
      <c r="A3685" s="7" t="n">
        <v>123235</v>
      </c>
      <c r="B3685" s="7" t="n">
        <v>527003</v>
      </c>
      <c r="C3685" s="7" t="n">
        <v>306173</v>
      </c>
      <c r="D3685" s="7" t="n">
        <v>168649</v>
      </c>
      <c r="E3685" s="8" t="n">
        <v>38856</v>
      </c>
      <c r="F3685" s="7" t="n">
        <v>5</v>
      </c>
      <c r="G3685" s="7" t="inlineStr">
        <is>
          <t>Wife made this today for breakfast and did wallfles and they were dreat.This Is very simple and great a keeper you must try this Thanks</t>
        </is>
      </c>
    </row>
    <row r="3686">
      <c r="A3686" t="n">
        <v>5110</v>
      </c>
      <c r="B3686" t="n">
        <v>367090</v>
      </c>
      <c r="C3686" t="n">
        <v>187373</v>
      </c>
      <c r="D3686" t="n">
        <v>22015</v>
      </c>
      <c r="E3686" s="1" t="n">
        <v>41729</v>
      </c>
      <c r="F3686" t="n">
        <v>5</v>
      </c>
      <c r="G3686" t="inlineStr">
        <is>
          <t>Yum! I would add more nuts if I make again. Have eaten way too much of it!</t>
        </is>
      </c>
    </row>
    <row r="3687">
      <c r="A3687" s="7" t="n">
        <v>24503</v>
      </c>
      <c r="B3687" s="7" t="n">
        <v>612032</v>
      </c>
      <c r="C3687" s="7" t="n">
        <v>2001867430</v>
      </c>
      <c r="D3687" s="7" t="n">
        <v>238994</v>
      </c>
      <c r="E3687" s="8" t="n">
        <v>43087</v>
      </c>
      <c r="F3687" s="7" t="n">
        <v>5</v>
      </c>
      <c r="G3687" s="7" t="inlineStr">
        <is>
          <t>This was my 1st time ever making crab legs and they were amazing. So simple yet so full of flavor. I will definitely make these again and again.</t>
        </is>
      </c>
    </row>
    <row r="3688">
      <c r="A3688" s="7" t="n">
        <v>83975</v>
      </c>
      <c r="B3688" s="7" t="n">
        <v>232068</v>
      </c>
      <c r="C3688" s="7" t="n">
        <v>47510</v>
      </c>
      <c r="D3688" s="7" t="n">
        <v>183356</v>
      </c>
      <c r="E3688" s="8" t="n">
        <v>39976</v>
      </c>
      <c r="F3688" s="7" t="n">
        <v>5</v>
      </c>
      <c r="G3688" s="7" t="inlineStr">
        <is>
          <t>I had quite a bit of leftover roast beef and used this recipe to make sandwiches with it. The roast wasn't quite as tender as I wanted it to be, so I popped it in the crockpot and covered it with the bbq sauce. I let it cook for several hours and it shredded easily then. I served the beef on buns as you suggested with onions and pickles. Delicious, easy and almost like having a free meal!</t>
        </is>
      </c>
    </row>
    <row r="3689">
      <c r="A3689" s="7" t="n">
        <v>123924</v>
      </c>
      <c r="B3689" s="7" t="n">
        <v>937055</v>
      </c>
      <c r="C3689" s="7" t="n">
        <v>332820</v>
      </c>
      <c r="D3689" s="7" t="n">
        <v>302674</v>
      </c>
      <c r="E3689" s="8" t="n">
        <v>40624</v>
      </c>
      <c r="F3689" s="7" t="n">
        <v>5</v>
      </c>
      <c r="G3689" s="7" t="inlineStr">
        <is>
          <t>I sauteed some chicken breast chunks, then added frozen peas, carrots and elbows macs. Added this yummy sauce and it was a dinner everyone liked. The sauce has a nice creaminess and great garlic flavor. Thanks for sharing!</t>
        </is>
      </c>
    </row>
    <row r="3690">
      <c r="A3690" s="7" t="n">
        <v>116697</v>
      </c>
      <c r="B3690" s="7" t="n">
        <v>94636</v>
      </c>
      <c r="C3690" s="7" t="n">
        <v>286566</v>
      </c>
      <c r="D3690" s="7" t="n">
        <v>362550</v>
      </c>
      <c r="E3690" s="8" t="n">
        <v>40229</v>
      </c>
      <c r="F3690" s="7" t="n">
        <v>5</v>
      </c>
      <c r="G3690" s="7" t="inlineStr">
        <is>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is>
      </c>
    </row>
    <row r="3691">
      <c r="A3691" s="7" t="n">
        <v>55461</v>
      </c>
      <c r="B3691" s="7" t="n">
        <v>767781</v>
      </c>
      <c r="C3691" s="7" t="n">
        <v>174096</v>
      </c>
      <c r="D3691" s="7" t="n">
        <v>503295</v>
      </c>
      <c r="E3691" s="8" t="n">
        <v>41517</v>
      </c>
      <c r="F3691" s="7" t="n">
        <v>5</v>
      </c>
      <c r="G3691" s="7" t="inlineStr">
        <is>
          <t>Wonderful popcorn - so flavorful!  The tang from the lime juice and the heat from the Cajun seasoning were a great combo.  Thanks for sharing!  ZWT9</t>
        </is>
      </c>
    </row>
    <row r="3692" ht="409.5" customHeight="1">
      <c r="A3692" s="7" t="n">
        <v>116458</v>
      </c>
      <c r="B3692" s="7" t="n">
        <v>116333</v>
      </c>
      <c r="C3692" s="7" t="n">
        <v>985851</v>
      </c>
      <c r="D3692" s="7" t="n">
        <v>8757</v>
      </c>
      <c r="E3692" s="8" t="n">
        <v>39818</v>
      </c>
      <c r="F3692" s="7" t="n">
        <v>3</v>
      </c>
      <c r="G3692" s="9" t="inlineStr">
        <is>
          <t>I had a lot of trouble with this recipe.  My dough was very crumbly and I had a really tough time getting it to be a pile of dough.  I gave up and made little smashed balls.  The only thing I changed was instead of butter I had the baking crisco type sticks.  I don't know enough about cookie baking to know if that caused the problems I had.  They cooked super fast, maybe in 5 minutes.  The bottoms of my cookies are dark.
The end result tastes pretty good though.</t>
        </is>
      </c>
    </row>
    <row r="3693">
      <c r="A3693" s="7" t="n">
        <v>60134</v>
      </c>
      <c r="B3693" s="7" t="n">
        <v>759269</v>
      </c>
      <c r="C3693" s="7" t="n">
        <v>2576827</v>
      </c>
      <c r="D3693" s="7" t="n">
        <v>267218</v>
      </c>
      <c r="E3693" s="8" t="n">
        <v>41367</v>
      </c>
      <c r="F3693" s="7" t="n">
        <v>5</v>
      </c>
      <c r="G3693" s="7" t="inlineStr">
        <is>
          <t>This was very delicious and so simple and quick to make. I made this several hours before dinner and I can&amp;#039;t stop nibbling at it. I know for sure this going to be added to my rotation of meals. I think this is great for dinner or lunch. I hope to add a picture if I don&amp;#039;t eat it all before grabbing my camera.  BTW, I used turkey Italian sausage...so yummy. I don&amp;#039;t eat pork.</t>
        </is>
      </c>
    </row>
    <row r="3694">
      <c r="A3694" s="7" t="n">
        <v>69898</v>
      </c>
      <c r="B3694" s="7" t="n">
        <v>838688</v>
      </c>
      <c r="C3694" s="7" t="n">
        <v>107583</v>
      </c>
      <c r="D3694" s="7" t="n">
        <v>226775</v>
      </c>
      <c r="E3694" s="8" t="n">
        <v>39313</v>
      </c>
      <c r="F3694" s="7" t="n">
        <v>5</v>
      </c>
      <c r="G3694" s="7" t="inlineStr">
        <is>
          <t>Nice flavor and liked the added "chewiness" the whole wheat gives the bread. I will try it as muffins next time.  Thanks for posting this!</t>
        </is>
      </c>
    </row>
    <row r="3695">
      <c r="A3695" s="7" t="n">
        <v>73033</v>
      </c>
      <c r="B3695" s="7" t="n">
        <v>32061</v>
      </c>
      <c r="C3695" s="7" t="n">
        <v>47892</v>
      </c>
      <c r="D3695" s="7" t="n">
        <v>426428</v>
      </c>
      <c r="E3695" s="8" t="n">
        <v>40702</v>
      </c>
      <c r="F3695" s="7" t="n">
        <v>5</v>
      </c>
      <c r="G3695" s="7" t="inlineStr">
        <is>
          <t>I've looked at this recipe probably since it first posted last year.&lt;br/&gt;Today was the day and I regret waiting so long to prepare it.&lt;br/&gt;We prefer dark meat and the breasts were replaced with thighs&lt;br/&gt;which I pounded thinly. Fresh mint from our garden and the&lt;br/&gt;gremolata alone is worth five stars! (We soon discovered it was&lt;br/&gt;good on everything!). To complete the meal: Recipe #452889,&lt;br/&gt;simple steamed broccoli and a basic tossed salad (loose leaf lettuce, white cabbage, &lt;br/&gt;carrots, radishes). A new favorite way to prepare chicken and can we say easy and quick to throw together, too?! Thank you for posting the recipe! It made it into my Best of 2011 cookbook for&lt;br/&gt;next year's recipe tag game! A real winner all around!</t>
        </is>
      </c>
    </row>
    <row r="3696">
      <c r="A3696" s="7" t="n">
        <v>63391</v>
      </c>
      <c r="B3696" s="7" t="n">
        <v>195336</v>
      </c>
      <c r="C3696" s="7" t="n">
        <v>2001451986</v>
      </c>
      <c r="D3696" s="7" t="n">
        <v>89609</v>
      </c>
      <c r="E3696" s="8" t="n">
        <v>42830</v>
      </c>
      <c r="F3696" s="7" t="n">
        <v>5</v>
      </c>
      <c r="G3696" s="7" t="inlineStr">
        <is>
          <t>I've never made crabcakes before, and these were fantastic, not one leftover! I sauteed the bottom, then put them under the broiler for about 5-6 minutes. I made a remoulade with mayo, lemon juice and siracha. Will definitely keep this recipe!</t>
        </is>
      </c>
    </row>
    <row r="3697">
      <c r="A3697" s="7" t="n">
        <v>39610</v>
      </c>
      <c r="B3697" s="7" t="n">
        <v>402417</v>
      </c>
      <c r="C3697" s="7" t="n">
        <v>404043</v>
      </c>
      <c r="D3697" s="7" t="n">
        <v>27084</v>
      </c>
      <c r="E3697" s="8" t="n">
        <v>41371</v>
      </c>
      <c r="F3697" s="7" t="n">
        <v>5</v>
      </c>
      <c r="G3697" s="7" t="inlineStr">
        <is>
          <t>We really liked this! The Tabasco and Cayenne were a very nice surprise as it left just a little kick in our mouths after the first bite. It was not overpowering at all! &amp;lt;br/&amp;gt;I used a cup of Couscous and one and a half cups of water. I was looking for a more starchy side dish, so I used a cup of Couscous and one and a half cups of water. I also put a little salt in the water while cooking the couscous and then again when I added the vegetables. &amp;lt;br/&amp;gt;This was a very pretty dish, an easy dish and very yummy!!&amp;lt;br/&amp;gt;Thank you for sharing it with us!</t>
        </is>
      </c>
    </row>
    <row r="3698">
      <c r="A3698" s="7" t="n">
        <v>109621</v>
      </c>
      <c r="B3698" s="7" t="n">
        <v>50791</v>
      </c>
      <c r="C3698" s="7" t="n">
        <v>54697</v>
      </c>
      <c r="D3698" s="7" t="n">
        <v>80170</v>
      </c>
      <c r="E3698" s="8" t="n">
        <v>38374</v>
      </c>
      <c r="F3698" s="7" t="n">
        <v>5</v>
      </c>
      <c r="G3698" s="7" t="inlineStr">
        <is>
          <t>Wonderful flavor!</t>
        </is>
      </c>
    </row>
    <row r="3699">
      <c r="A3699" s="7" t="n">
        <v>5074</v>
      </c>
      <c r="B3699" s="7" t="n">
        <v>41905</v>
      </c>
      <c r="C3699" s="7" t="n">
        <v>128473</v>
      </c>
      <c r="D3699" s="7" t="n">
        <v>235326</v>
      </c>
      <c r="E3699" s="8" t="n">
        <v>40374</v>
      </c>
      <c r="F3699" s="7" t="n">
        <v>5</v>
      </c>
      <c r="G3699" s="7" t="inlineStr">
        <is>
          <t>I love waffles and these subtley flavored lemon treats did not disappoint.  I really enjoyed the addition of the sour cream in the waffle, it added a nice depth of flavor. A soft, tender, chewy waffle.  It had beautiful flavor and a great texture. I garnished with fresh raspberries and a dusting of icing sugar. I can't wait to make these waffles again.  Thanks for sharing Andi :)</t>
        </is>
      </c>
    </row>
    <row r="3700">
      <c r="A3700" s="7" t="n">
        <v>70796</v>
      </c>
      <c r="B3700" s="7" t="n">
        <v>70016</v>
      </c>
      <c r="C3700" s="7" t="n">
        <v>135566</v>
      </c>
      <c r="D3700" s="7" t="n">
        <v>337644</v>
      </c>
      <c r="E3700" s="8" t="n">
        <v>41022</v>
      </c>
      <c r="F3700" s="7" t="n">
        <v>4</v>
      </c>
      <c r="G3700" s="7" t="inlineStr">
        <is>
          <t>This recipe was easy to assemble.  Loved the addition of the broccoli, cheese and sour cream, but found the tanginess of the sour cream and ranch dressing to be a bit much.  I did use a buttermilk-based ranch and will try this again with a different ranch dressing.</t>
        </is>
      </c>
    </row>
    <row r="3701">
      <c r="A3701" s="7" t="n">
        <v>14787</v>
      </c>
      <c r="B3701" s="7" t="n">
        <v>983755</v>
      </c>
      <c r="C3701" s="7" t="n">
        <v>92886</v>
      </c>
      <c r="D3701" s="7" t="n">
        <v>50575</v>
      </c>
      <c r="E3701" s="8" t="n">
        <v>40983</v>
      </c>
      <c r="F3701" s="7" t="n">
        <v>4</v>
      </c>
      <c r="G3701" s="7" t="inlineStr">
        <is>
          <t>This was easy and since I did the prep work the night before, it was pretty quick.  I used more salsa (just used the whole jar)  and I would actually recommend doubling the sauce recipe.  I did not add the garlic when I first put the chicken in, I did not want it to burn.  I put all over quinoa.  It was an enjoyable dinner and nice leftovers the next day.  I would recommend this one.</t>
        </is>
      </c>
    </row>
    <row r="3702">
      <c r="A3702" s="7" t="n">
        <v>53727</v>
      </c>
      <c r="B3702" s="7" t="n">
        <v>1053422</v>
      </c>
      <c r="C3702" s="7" t="n">
        <v>58104</v>
      </c>
      <c r="D3702" s="7" t="n">
        <v>232903</v>
      </c>
      <c r="E3702" s="8" t="n">
        <v>39244</v>
      </c>
      <c r="F3702" s="7" t="n">
        <v>4</v>
      </c>
      <c r="G3702" s="7" t="inlineStr">
        <is>
          <t>This was good. Strong But good. Surgar is a must! I garnished with a pineapple wedge.</t>
        </is>
      </c>
    </row>
    <row r="3703">
      <c r="A3703" s="7" t="n">
        <v>59220</v>
      </c>
      <c r="B3703" s="7" t="n">
        <v>922305</v>
      </c>
      <c r="C3703" s="7" t="n">
        <v>552052</v>
      </c>
      <c r="D3703" s="7" t="n">
        <v>176016</v>
      </c>
      <c r="E3703" s="8" t="n">
        <v>39585</v>
      </c>
      <c r="F3703" s="7" t="n">
        <v>4</v>
      </c>
      <c r="G3703" s="7" t="inlineStr">
        <is>
          <t>Yum !  Tossed with some Spring Greens and topped with some crumbled Feta. Oh yeah......</t>
        </is>
      </c>
    </row>
    <row r="3704">
      <c r="A3704" s="7" t="n">
        <v>5357</v>
      </c>
      <c r="B3704" s="7" t="n">
        <v>298684</v>
      </c>
      <c r="C3704" s="7" t="n">
        <v>486725</v>
      </c>
      <c r="D3704" s="7" t="n">
        <v>426332</v>
      </c>
      <c r="E3704" s="8" t="n">
        <v>41020</v>
      </c>
      <c r="F3704" s="7" t="n">
        <v>4</v>
      </c>
      <c r="G3704" s="7" t="inlineStr">
        <is>
          <t>This noodle dish was really good. I used a fourth the oil and sugar (for our tastes) and followed other reviewers and halved the noodles (but kept the rest of the ingredients the same for 2 people - and we had a little leftover).</t>
        </is>
      </c>
    </row>
    <row r="3705">
      <c r="A3705" s="7" t="n">
        <v>5717</v>
      </c>
      <c r="B3705" s="7" t="n">
        <v>273665</v>
      </c>
      <c r="C3705" s="7" t="n">
        <v>2609375</v>
      </c>
      <c r="D3705" s="7" t="n">
        <v>321015</v>
      </c>
      <c r="E3705" s="8" t="n">
        <v>41601</v>
      </c>
      <c r="F3705" s="7" t="n">
        <v>4</v>
      </c>
      <c r="G3705" s="7" t="inlineStr">
        <is>
          <t>I made this recipe years ago, for Christmas initially, and so glad to find it again. (yup, put it away and now can&amp;#039;t find my copy.)  It&amp;#039;s so very good that even the mushroom-haters in my family loved it.  I cut down a bit on the cranberry juice concentrate the next time I made it, as I found it to be a bit on the sweet side for my taste.  HOWEVER....Make This Recipe....You Will Not Be Sorry!!</t>
        </is>
      </c>
    </row>
    <row r="3706">
      <c r="A3706" s="7" t="n">
        <v>78161</v>
      </c>
      <c r="B3706" s="7" t="n">
        <v>1040183</v>
      </c>
      <c r="C3706" s="7" t="n">
        <v>17803</v>
      </c>
      <c r="D3706" s="7" t="n">
        <v>476525</v>
      </c>
      <c r="E3706" s="8" t="n">
        <v>41211</v>
      </c>
      <c r="F3706" s="7" t="n">
        <v>5</v>
      </c>
      <c r="G3706" s="7" t="inlineStr">
        <is>
          <t>This is a very easy recipe to make.  The Worcestershire sauce and sauerkraut worked well together.  I used a 6 pound roast and 3 pounds of kraut.  I'm need even more kraut for my family the next time I make this.   Made for Fall PAC 2012</t>
        </is>
      </c>
    </row>
    <row r="3707">
      <c r="A3707" s="7" t="n">
        <v>56637</v>
      </c>
      <c r="B3707" s="7" t="n">
        <v>32037</v>
      </c>
      <c r="C3707" s="7" t="n">
        <v>22015</v>
      </c>
      <c r="D3707" s="7" t="n">
        <v>133639</v>
      </c>
      <c r="E3707" s="8" t="n">
        <v>38958</v>
      </c>
      <c r="F3707" s="7" t="n">
        <v>5</v>
      </c>
      <c r="G3707" s="7" t="inlineStr">
        <is>
          <t>These are so cool.  Kinda like those Girl Scout thin mint cookies.  DD loves those things so now we can have them whenever.  :D</t>
        </is>
      </c>
    </row>
    <row r="3708">
      <c r="A3708" s="7" t="n">
        <v>22812</v>
      </c>
      <c r="B3708" s="7" t="n">
        <v>66975</v>
      </c>
      <c r="C3708" s="7" t="n">
        <v>937635</v>
      </c>
      <c r="D3708" s="7" t="n">
        <v>104703</v>
      </c>
      <c r="E3708" s="8" t="n">
        <v>40277</v>
      </c>
      <c r="F3708" s="7" t="n">
        <v>5</v>
      </c>
      <c r="G3708" s="7" t="inlineStr">
        <is>
          <t>These are really good. I made them exactly as written. I made the dough in my kitchenaid and the dough was a breeze to work with. They're not as buttery as I was hoping, so next time I'll brush butter on the tops. Great texture though - and my 18 month old ate a ton! Thanks, Gwen!</t>
        </is>
      </c>
    </row>
    <row r="3709">
      <c r="A3709" s="7" t="n">
        <v>12346</v>
      </c>
      <c r="B3709" s="7" t="n">
        <v>512821</v>
      </c>
      <c r="C3709" s="7" t="n">
        <v>258226</v>
      </c>
      <c r="D3709" s="7" t="n">
        <v>35329</v>
      </c>
      <c r="E3709" s="8" t="n">
        <v>39909</v>
      </c>
      <c r="F3709" s="7" t="n">
        <v>5</v>
      </c>
      <c r="G3709" s="7" t="inlineStr">
        <is>
          <t>These WERE yummy! I forgot to add the sour cream and the sauce was still great-we just spooned it over some mashed potatoes.  Thanks for posting, I will be making this dish again.</t>
        </is>
      </c>
    </row>
    <row r="3710">
      <c r="A3710" s="7" t="n">
        <v>125810</v>
      </c>
      <c r="B3710" s="7" t="n">
        <v>1003741</v>
      </c>
      <c r="C3710" s="7" t="n">
        <v>37779</v>
      </c>
      <c r="D3710" s="7" t="n">
        <v>63122</v>
      </c>
      <c r="E3710" s="8" t="n">
        <v>39860</v>
      </c>
      <c r="F3710" s="7" t="n">
        <v>4</v>
      </c>
      <c r="G3710" s="7" t="inlineStr">
        <is>
          <t>My step-daughter made this for dinner. We all thought it made a great quick meal. Added a little shredded mozzarella on top. Super cheap eats. Thanks OzMan.</t>
        </is>
      </c>
    </row>
    <row r="3711">
      <c r="A3711" s="7" t="n">
        <v>8423</v>
      </c>
      <c r="B3711" s="7" t="n">
        <v>522031</v>
      </c>
      <c r="C3711" s="7" t="n">
        <v>841895</v>
      </c>
      <c r="D3711" s="7" t="n">
        <v>191501</v>
      </c>
      <c r="E3711" s="8" t="n">
        <v>40204</v>
      </c>
      <c r="F3711" s="7" t="n">
        <v>4</v>
      </c>
      <c r="G3711" s="7" t="inlineStr">
        <is>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is>
      </c>
    </row>
    <row r="3712">
      <c r="A3712" s="7" t="n">
        <v>90904</v>
      </c>
      <c r="B3712" s="7" t="n">
        <v>36784</v>
      </c>
      <c r="C3712" s="7" t="n">
        <v>330505</v>
      </c>
      <c r="D3712" s="7" t="n">
        <v>392654</v>
      </c>
      <c r="E3712" s="8" t="n">
        <v>40218</v>
      </c>
      <c r="F3712" s="7" t="n">
        <v>5</v>
      </c>
      <c r="G3712" s="7" t="inlineStr">
        <is>
          <t>Surprisingly this is pretty good.  I was a little concerned on what it would be like with the oatmeal.  Sydney is right though -- it needs more of a chill.  Next time I may make it and then chill it for a little while or add a few crushed ice cubes.  I didn't add any strawberries, as the banana I used was huge.  I also used fat free milk, and fat free yogurt to cut back on the calories, plus I added a packet of Splenda to add a bit of sweetness since I didn't put in the strawberry.  Still - very good and filling!  Made for I Recommend Tag Game.</t>
        </is>
      </c>
    </row>
    <row r="3713" ht="409.5" customHeight="1">
      <c r="A3713" s="7" t="n">
        <v>85238</v>
      </c>
      <c r="B3713" s="7" t="n">
        <v>1022538</v>
      </c>
      <c r="C3713" s="7" t="n">
        <v>2000555010</v>
      </c>
      <c r="D3713" s="7" t="n">
        <v>98680</v>
      </c>
      <c r="E3713" s="8" t="n">
        <v>42289</v>
      </c>
      <c r="F3713" s="7" t="n">
        <v>4</v>
      </c>
      <c r="G3713" s="9" t="inlineStr">
        <is>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is>
      </c>
    </row>
    <row r="3714">
      <c r="A3714" s="7" t="n">
        <v>47957</v>
      </c>
      <c r="B3714" s="7" t="n">
        <v>656415</v>
      </c>
      <c r="C3714" s="7" t="n">
        <v>242503</v>
      </c>
      <c r="D3714" s="7" t="n">
        <v>27208</v>
      </c>
      <c r="E3714" s="8" t="n">
        <v>38690</v>
      </c>
      <c r="F3714" s="7" t="n">
        <v>4</v>
      </c>
      <c r="G3714" s="7" t="inlineStr">
        <is>
          <t>I cooked this two nights ago, we thought the overall dish was good. I really liked the gravy but the roast did not have as much flavor as i would have liked. I will try again and make a few personal changes.Thanks.</t>
        </is>
      </c>
    </row>
    <row r="3715">
      <c r="A3715" s="7" t="n">
        <v>126560</v>
      </c>
      <c r="B3715" s="7" t="n">
        <v>672341</v>
      </c>
      <c r="C3715" s="7" t="n">
        <v>55000</v>
      </c>
      <c r="D3715" s="7" t="n">
        <v>19380</v>
      </c>
      <c r="E3715" s="8" t="n">
        <v>37514</v>
      </c>
      <c r="F3715" s="7" t="n">
        <v>5</v>
      </c>
      <c r="G3715" s="7" t="inlineStr">
        <is>
          <t>Excellent loaf.  I used bread flour and when using bread flour, you need to reduce the yeast.  My loaf over-flowith.  It did get bigger than it was supposed to, but it was very good.  Very easy, really does only take 5 minutes. 5 stars!</t>
        </is>
      </c>
    </row>
    <row r="3716">
      <c r="A3716" s="7" t="n">
        <v>73954</v>
      </c>
      <c r="B3716" s="7" t="n">
        <v>1044393</v>
      </c>
      <c r="C3716" s="7" t="n">
        <v>1010338</v>
      </c>
      <c r="D3716" s="7" t="n">
        <v>337001</v>
      </c>
      <c r="E3716" s="8" t="n">
        <v>40166</v>
      </c>
      <c r="F3716" s="7" t="n">
        <v>5</v>
      </c>
      <c r="G3716" s="7" t="inlineStr">
        <is>
          <t>Made for P-A-R-T-Y December, 09 Event.  I haven't had this much fun since my mud-pie making days.  Haven't even SEEN let alone EATEN a popcorn ball since Halloween about 47 years ago.  Corralled my 8 yr. old grand-daughter, and we scurried off to the kitchen for one sticky, gooey, ooo-ey good time.  Sooo easy to make.  So CUTE with the M&amp;M's, too.  Will definitely be making these again.  Heck, I might even make some mud-pies, too.  Thanks so much for the recipe, Marsha AND the good time Haley Rose and I had making them.</t>
        </is>
      </c>
    </row>
    <row r="3717">
      <c r="A3717" s="7" t="n">
        <v>61477</v>
      </c>
      <c r="B3717" s="7" t="n">
        <v>247976</v>
      </c>
      <c r="C3717" s="7" t="n">
        <v>219865</v>
      </c>
      <c r="D3717" s="7" t="n">
        <v>215414</v>
      </c>
      <c r="E3717" s="8" t="n">
        <v>40207</v>
      </c>
      <c r="F3717" s="7" t="n">
        <v>5</v>
      </c>
      <c r="G3717" s="7" t="inlineStr">
        <is>
          <t>Mmm this was yummy! It was bit runny so i'll add less liquid next time</t>
        </is>
      </c>
    </row>
    <row r="3718">
      <c r="A3718" s="7" t="n">
        <v>115584</v>
      </c>
      <c r="B3718" s="7" t="n">
        <v>884422</v>
      </c>
      <c r="C3718" s="7" t="n">
        <v>611273</v>
      </c>
      <c r="D3718" s="7" t="n">
        <v>121935</v>
      </c>
      <c r="E3718" s="8" t="n">
        <v>39365</v>
      </c>
      <c r="F3718" s="7" t="n">
        <v>5</v>
      </c>
      <c r="G3718" s="7" t="inlineStr">
        <is>
          <t>Me and my friends had just came back from school to have a little get together, so we deicided to make a drink. I seen this on the web when i was scanning for smoothies so i tried it and me and my friends loved it thanks!</t>
        </is>
      </c>
    </row>
    <row r="3719" ht="409.5" customHeight="1">
      <c r="A3719" s="7" t="n">
        <v>88199</v>
      </c>
      <c r="B3719" s="7" t="n">
        <v>884785</v>
      </c>
      <c r="C3719" s="7" t="n">
        <v>384041</v>
      </c>
      <c r="D3719" s="7" t="n">
        <v>295685</v>
      </c>
      <c r="E3719" s="8" t="n">
        <v>39574</v>
      </c>
      <c r="F3719" s="7" t="n">
        <v>3</v>
      </c>
      <c r="G3719" s="9" t="inlineStr">
        <is>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is>
      </c>
    </row>
    <row r="3720">
      <c r="A3720" s="7" t="n">
        <v>77329</v>
      </c>
      <c r="B3720" s="7" t="n">
        <v>415261</v>
      </c>
      <c r="C3720" s="7" t="n">
        <v>198962</v>
      </c>
      <c r="D3720" s="7" t="n">
        <v>92058</v>
      </c>
      <c r="E3720" s="8" t="n">
        <v>39330</v>
      </c>
      <c r="F3720" s="7" t="n">
        <v>4</v>
      </c>
      <c r="G3720" s="7" t="inlineStr">
        <is>
          <t>This just couldn't be easier.  We used our rice cooker to steam the fish, and we ate it without the butter dipping sauce.  The fish was extra tender, and the lemon and beer steam gave it a nice light flavor.  It took about 10 minutes to cook.</t>
        </is>
      </c>
    </row>
    <row r="3721">
      <c r="A3721" s="7" t="n">
        <v>82835</v>
      </c>
      <c r="B3721" s="7" t="n">
        <v>32614</v>
      </c>
      <c r="C3721" s="7" t="n">
        <v>142367</v>
      </c>
      <c r="D3721" s="7" t="n">
        <v>208437</v>
      </c>
      <c r="E3721" s="8" t="n">
        <v>39770</v>
      </c>
      <c r="F3721" s="7" t="n">
        <v>5</v>
      </c>
      <c r="G3721" s="7" t="inlineStr">
        <is>
          <t>We all thought these were delicious &amp; they were easy enough for my kid to prepare.  We cooked these in pie pans.  Thanks for sharing.</t>
        </is>
      </c>
    </row>
    <row r="3722">
      <c r="A3722" s="7" t="n">
        <v>88246</v>
      </c>
      <c r="B3722" s="7" t="n">
        <v>385060</v>
      </c>
      <c r="C3722" s="7" t="n">
        <v>264440</v>
      </c>
      <c r="D3722" s="7" t="n">
        <v>152379</v>
      </c>
      <c r="E3722" s="8" t="n">
        <v>38804</v>
      </c>
      <c r="F3722" s="7" t="n">
        <v>5</v>
      </c>
      <c r="G3722" s="7" t="inlineStr">
        <is>
          <t>We absolutely love this bread!  The dough is so incredibly easy to work with. The first rise took about 1 hour, and the loaves rose  for about 45 minutes. The seeds give it such a nice crunchy texture. I didn't have any black sesame seeds so just doubled the plain ones. I also doubled the sunflower seeds and the millet as you suggested. I used rye flakes instead of oats, and whole wheat bread flour. I will be making this bread again, and again.</t>
        </is>
      </c>
    </row>
    <row r="3723">
      <c r="A3723" s="7" t="n">
        <v>117155</v>
      </c>
      <c r="B3723" s="7" t="n">
        <v>924893</v>
      </c>
      <c r="C3723" s="7" t="n">
        <v>233491</v>
      </c>
      <c r="D3723" s="7" t="n">
        <v>186672</v>
      </c>
      <c r="E3723" s="8" t="n">
        <v>40110</v>
      </c>
      <c r="F3723" s="7" t="n">
        <v>5</v>
      </c>
      <c r="G3723" s="7" t="inlineStr">
        <is>
          <t>I followed the recipe exactly and these turned out perfectly!  I skipped the glaze--I didn't think they needed it.  Delightful!</t>
        </is>
      </c>
    </row>
    <row r="3724">
      <c r="A3724" s="7" t="n">
        <v>56914</v>
      </c>
      <c r="B3724" s="7" t="n">
        <v>463290</v>
      </c>
      <c r="C3724" s="7" t="n">
        <v>37456</v>
      </c>
      <c r="D3724" s="7" t="n">
        <v>124388</v>
      </c>
      <c r="E3724" s="8" t="n">
        <v>38813</v>
      </c>
      <c r="F3724" s="7" t="n">
        <v>4</v>
      </c>
      <c r="G3724" s="7" t="inlineStr">
        <is>
          <t>My DH really liked this combo. It's a nice change from everyday brocoli. Thanks for sharing this recipe.</t>
        </is>
      </c>
    </row>
    <row r="3725">
      <c r="A3725" s="7" t="n">
        <v>91949</v>
      </c>
      <c r="B3725" s="7" t="n">
        <v>837587</v>
      </c>
      <c r="C3725" s="7" t="n">
        <v>176615</v>
      </c>
      <c r="D3725" s="7" t="n">
        <v>110683</v>
      </c>
      <c r="E3725" s="8" t="n">
        <v>39069</v>
      </c>
      <c r="F3725" s="7" t="n">
        <v>5</v>
      </c>
      <c r="G3725" s="7" t="inlineStr">
        <is>
          <t>Very yummy and loved by all. I wouldn't change a thing. Thanks for sharing the recipe!</t>
        </is>
      </c>
    </row>
    <row r="3726">
      <c r="A3726" s="7" t="n">
        <v>86531</v>
      </c>
      <c r="B3726" s="7" t="n">
        <v>439334</v>
      </c>
      <c r="C3726" s="7" t="n">
        <v>39420</v>
      </c>
      <c r="D3726" s="7" t="n">
        <v>24638</v>
      </c>
      <c r="E3726" s="8" t="n">
        <v>37533</v>
      </c>
      <c r="F3726" s="7" t="n">
        <v>5</v>
      </c>
      <c r="G3726" s="7" t="inlineStr">
        <is>
          <t>I used your Rescued Turkey Stock # 24576 and this was the best soup ever.  The next day when the soup was a little thicker we had it over rice.  Wonderful recipe</t>
        </is>
      </c>
    </row>
    <row r="3727">
      <c r="A3727" t="n">
        <v>89263</v>
      </c>
      <c r="B3727" t="n">
        <v>87476</v>
      </c>
      <c r="C3727" t="n">
        <v>140132</v>
      </c>
      <c r="D3727" t="n">
        <v>19859</v>
      </c>
      <c r="E3727" s="1" t="n">
        <v>40256</v>
      </c>
      <c r="F3727" t="n">
        <v>5</v>
      </c>
      <c r="G3727" t="inlineStr">
        <is>
          <t>This is so good.  I could have drank the sauce....??!!??  I made this with recipe#240456 and we loved our meal.  The seasonings in this chicken is fantastic.  I will make again, love the crockpot for those meals during the week.  I am so happy for finding this recipe.</t>
        </is>
      </c>
    </row>
    <row r="3728">
      <c r="A3728" s="7" t="n">
        <v>123532</v>
      </c>
      <c r="B3728" s="7" t="n">
        <v>289447</v>
      </c>
      <c r="C3728" s="7" t="n">
        <v>17803</v>
      </c>
      <c r="D3728" s="7" t="n">
        <v>324617</v>
      </c>
      <c r="E3728" s="8" t="n">
        <v>39922</v>
      </c>
      <c r="F3728" s="7" t="n">
        <v>5</v>
      </c>
      <c r="G3728" s="7" t="inlineStr">
        <is>
          <t>I made these on Friday for lunch.  When I grill mine, I usually just use American cheese.  But I loved the taste the additional provolone gives this sandwich!  I'll be making mine like this from now on.  I did not use any butter as I put them on my George Foreman Grill.  Made for *Zaar Chef Alphabet Soup  2009* game</t>
        </is>
      </c>
    </row>
    <row r="3729">
      <c r="A3729" s="7" t="n">
        <v>12014</v>
      </c>
      <c r="B3729" s="7" t="n">
        <v>356863</v>
      </c>
      <c r="C3729" s="7" t="n">
        <v>6651</v>
      </c>
      <c r="D3729" s="7" t="n">
        <v>42603</v>
      </c>
      <c r="E3729" s="8" t="n">
        <v>39975</v>
      </c>
      <c r="F3729" s="7" t="n">
        <v>4</v>
      </c>
      <c r="G3729" s="7" t="inlineStr">
        <is>
          <t>Very nice!  Thanks for a quick, easy recipe.</t>
        </is>
      </c>
    </row>
    <row r="3730">
      <c r="A3730" s="7" t="n">
        <v>76840</v>
      </c>
      <c r="B3730" s="7" t="n">
        <v>1088137</v>
      </c>
      <c r="C3730" s="7" t="n">
        <v>17803</v>
      </c>
      <c r="D3730" s="7" t="n">
        <v>171677</v>
      </c>
      <c r="E3730" s="8" t="n">
        <v>38882</v>
      </c>
      <c r="F3730" s="7" t="n">
        <v>5</v>
      </c>
      <c r="G3730" s="7" t="inlineStr">
        <is>
          <t xml:space="preserve">Sylvie was correct, saying it really is not that quick of a recipe to make.  But boy, was it worth the time!!! The flavors went so well together and no one ingredient over powered the other. I used good quality sauerkraut when I made this and drained off most of the juice.  Also used 1/2 teaspoon mustard powder.  I served it over baked potatoes.  I well be making this one over and over! Thank you for a great recipe and sharing it with us.  (I found my mustard seed ;-) after we ate.)  Made for Zaar World Tour 2006  </t>
        </is>
      </c>
    </row>
    <row r="3731">
      <c r="A3731" s="7" t="n">
        <v>100010</v>
      </c>
      <c r="B3731" s="7" t="n">
        <v>580174</v>
      </c>
      <c r="C3731" s="7" t="n">
        <v>11461</v>
      </c>
      <c r="D3731" s="7" t="n">
        <v>45069</v>
      </c>
      <c r="E3731" s="8" t="n">
        <v>40005</v>
      </c>
      <c r="F3731" s="7" t="n">
        <v>5</v>
      </c>
      <c r="G3731" s="7" t="inlineStr">
        <is>
          <t>This tasted fabulous!  DH was particularly smitten with it.  The spices were perfect.  I used two pounds of beef, so the chili was extra filling.  It was easy to put together early in the morning, and we had it for lunch.  We added a little grated cheddar, some black olive slices, and some crumbled corn chips for condiments.  Thank you Debbie for advising me that I didn't need to drain or rinse the beans.  This is certainly a keeper!</t>
        </is>
      </c>
    </row>
    <row r="3732">
      <c r="A3732" s="7" t="n">
        <v>28613</v>
      </c>
      <c r="B3732" s="7" t="n">
        <v>356800</v>
      </c>
      <c r="C3732" s="7" t="n">
        <v>666723</v>
      </c>
      <c r="D3732" s="7" t="n">
        <v>42603</v>
      </c>
      <c r="E3732" s="8" t="n">
        <v>39439</v>
      </c>
      <c r="F3732" s="7" t="n">
        <v>4</v>
      </c>
      <c r="G3732" s="7" t="inlineStr">
        <is>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is>
      </c>
    </row>
    <row r="3733" ht="409.5" customHeight="1">
      <c r="A3733" s="7" t="n">
        <v>60913</v>
      </c>
      <c r="B3733" s="7" t="n">
        <v>1009595</v>
      </c>
      <c r="C3733" s="7" t="n">
        <v>65197</v>
      </c>
      <c r="D3733" s="7" t="n">
        <v>251114</v>
      </c>
      <c r="E3733" s="8" t="n">
        <v>39341</v>
      </c>
      <c r="F3733" s="7" t="n">
        <v>5</v>
      </c>
      <c r="G3733" s="9" t="inlineStr">
        <is>
          <t>Cooking Light is one of my favorite resources for recipes! (of course Zaar being #1) :)_x000D_
This recipe deserves 10 STARS!_x000D_
This is going to be this 'season's'_x000D_
potluck dish!  Fabulous looking and tastes even better!_x000D_
Thank you for posting!</t>
        </is>
      </c>
    </row>
    <row r="3734">
      <c r="A3734" s="7" t="n">
        <v>51223</v>
      </c>
      <c r="B3734" s="7" t="n">
        <v>576775</v>
      </c>
      <c r="C3734" s="7" t="n">
        <v>1109368</v>
      </c>
      <c r="D3734" s="7" t="n">
        <v>106405</v>
      </c>
      <c r="E3734" s="8" t="n">
        <v>39815</v>
      </c>
      <c r="F3734" s="7" t="n">
        <v>4</v>
      </c>
      <c r="G3734" s="7" t="inlineStr">
        <is>
          <t>We just bought Cranberry Bliss from Starbuck's and we compared it side-by-side with this recipe which we baked two days ago.  The cake portion tastes EXACTLY like the Starbuck's version, but this recipe's frosting is much sweeter and not as cream cheese flavored as the Starbuck's version.  Even the Starbuck's frosting is textured almost like cream cheese, not sugary.  So I would recommend trying about 1 cup of powdered sugar with 8 ounces of cream cheese, and perhaps a little vanilla extract.  We like the less sweeter, original Starbuck's version better.</t>
        </is>
      </c>
    </row>
    <row r="3735">
      <c r="A3735" s="7" t="n">
        <v>657</v>
      </c>
      <c r="B3735" s="7" t="n">
        <v>130155</v>
      </c>
      <c r="C3735" s="7" t="n">
        <v>174096</v>
      </c>
      <c r="D3735" s="7" t="n">
        <v>30141</v>
      </c>
      <c r="E3735" s="8" t="n">
        <v>39097</v>
      </c>
      <c r="F3735" s="7" t="n">
        <v>4</v>
      </c>
      <c r="G3735" s="7" t="inlineStr">
        <is>
          <t>Great taste!  Like another reviewer, I used cooking spray instead of butter, and it worked nicely!</t>
        </is>
      </c>
    </row>
    <row r="3736">
      <c r="A3736" s="7" t="n">
        <v>58400</v>
      </c>
      <c r="B3736" s="7" t="n">
        <v>39239</v>
      </c>
      <c r="C3736" s="7" t="n">
        <v>1063765</v>
      </c>
      <c r="D3736" s="7" t="n">
        <v>11281</v>
      </c>
      <c r="E3736" s="8" t="n">
        <v>39790</v>
      </c>
      <c r="F3736" s="7" t="n">
        <v>5</v>
      </c>
      <c r="G3736" s="7" t="inlineStr">
        <is>
          <t>This soup was very good. Only the flour was omitted in the ingredients and doesn't give an amount. In the directions it says to blend the flour in with the butter. I used 3 tablespoons of flour and it turned out good.</t>
        </is>
      </c>
    </row>
    <row r="3737">
      <c r="A3737" s="7" t="n">
        <v>48049</v>
      </c>
      <c r="B3737" s="7" t="n">
        <v>482215</v>
      </c>
      <c r="C3737" s="7" t="n">
        <v>65634</v>
      </c>
      <c r="D3737" s="7" t="n">
        <v>10853</v>
      </c>
      <c r="E3737" s="8" t="n">
        <v>37770</v>
      </c>
      <c r="F3737" s="7" t="n">
        <v>0</v>
      </c>
      <c r="G3737" s="7" t="inlineStr">
        <is>
          <t>Wonderful AND easy.  Thanks much. TJ</t>
        </is>
      </c>
    </row>
    <row r="3738">
      <c r="A3738" s="7" t="n">
        <v>91905</v>
      </c>
      <c r="B3738" s="7" t="n">
        <v>510397</v>
      </c>
      <c r="C3738" s="7" t="n">
        <v>2023681</v>
      </c>
      <c r="D3738" s="7" t="n">
        <v>89207</v>
      </c>
      <c r="E3738" s="8" t="n">
        <v>40964</v>
      </c>
      <c r="F3738" s="7" t="n">
        <v>5</v>
      </c>
      <c r="G3738" s="7" t="inlineStr">
        <is>
          <t>This recipe went excellent with my vanilla cupcakes. It took the shape of my piping tip very well but wasn't too thick. I used the 1/2 cup cocoa powder and the frosting wasn't to rich but had the perfect disposition. Overall, I REALLY liked this recipe.</t>
        </is>
      </c>
    </row>
    <row r="3739">
      <c r="A3739" s="7" t="n">
        <v>2985</v>
      </c>
      <c r="B3739" s="7" t="n">
        <v>295466</v>
      </c>
      <c r="C3739" s="7" t="n">
        <v>383346</v>
      </c>
      <c r="D3739" s="7" t="n">
        <v>154179</v>
      </c>
      <c r="E3739" s="8" t="n">
        <v>40817</v>
      </c>
      <c r="F3739" s="7" t="n">
        <v>5</v>
      </c>
      <c r="G3739" s="7" t="inlineStr">
        <is>
          <t>This is so yummy.  Perfect blend of flavor.  Thanks SouthernBell :)  Made for Cookbook tag game</t>
        </is>
      </c>
    </row>
    <row r="3740">
      <c r="A3740" s="7" t="n">
        <v>57380</v>
      </c>
      <c r="B3740" s="7" t="n">
        <v>958267</v>
      </c>
      <c r="C3740" s="7" t="n">
        <v>2000059939</v>
      </c>
      <c r="D3740" s="7" t="n">
        <v>329292</v>
      </c>
      <c r="E3740" s="8" t="n">
        <v>42076</v>
      </c>
      <c r="F3740" s="7" t="n">
        <v>5</v>
      </c>
      <c r="G3740" s="7" t="inlineStr">
        <is>
          <t>I mixed up the cookies exactly as specified and diverted from there.  I did not chill or roll out the dough.  I preheated the oven to 400F.  I have Calphalon baking sheets (14x17, dark, heavy aluminum) and lined it with parchment paper.  I used a disher (2 teaspoon size) and dropped the dough onto the cookie sheet with spacing of about an inch.  The cookies expanded a little bit but did not flatten out thinner than pancakes. I did not care how the finished product looked because I was using the recipe to get chocolate wafer crumbs.  I ate a bit of dough before baked and a couple of cookies after baked (nice refreshing flavor without being overly sweet.  I let the cookies cool and let them sit overnight in a covered and sealed container.  I dumped the entire batch into a food processor and processed until fine crumbs.  Measuring the mixture (minus my taste testing), I got approximately 2 cups of crumbs from a single recipe.  The recipe is a keeper in my opinion and will probably use it again for the &amp;quot;chocolate wafer crumbs&amp;quot;.  As for any leftover crumbs, they are definitely going on top of a bowl of ice cream when that urge comes up.</t>
        </is>
      </c>
    </row>
    <row r="3741" ht="390" customHeight="1">
      <c r="A3741" s="7" t="n">
        <v>38089</v>
      </c>
      <c r="B3741" s="7" t="n">
        <v>797403</v>
      </c>
      <c r="C3741" s="7" t="n">
        <v>356609</v>
      </c>
      <c r="D3741" s="7" t="n">
        <v>170402</v>
      </c>
      <c r="E3741" s="8" t="n">
        <v>39384</v>
      </c>
      <c r="F3741" s="7" t="n">
        <v>4</v>
      </c>
      <c r="G3741" s="9" t="inlineStr">
        <is>
          <t>This sauce is great!  The anchovy adds a salty not fishy taste.  Very good I made it with whole wheat Fedicinni because we like a thicker noodle. _x000D_
_x000D_
Thanks for posting this recipe.</t>
        </is>
      </c>
    </row>
    <row r="3742">
      <c r="A3742" s="7" t="n">
        <v>57673</v>
      </c>
      <c r="B3742" s="7" t="n">
        <v>1017787</v>
      </c>
      <c r="C3742" s="7" t="n">
        <v>47559</v>
      </c>
      <c r="D3742" s="7" t="n">
        <v>224487</v>
      </c>
      <c r="E3742" s="8" t="n">
        <v>39271</v>
      </c>
      <c r="F3742" s="7" t="n">
        <v>4</v>
      </c>
      <c r="G3742" s="7" t="inlineStr">
        <is>
          <t>There are a lot of great things to say about these nuggets - really quick and easy to make, few ingredients and healthy, too. The chicken was surprisingly moist.  DH thought the coating was a little "gritty" from the corn meal, but I thought it worked fine. Next time I'll work on the seasoning to bring the flavor up a some.  I only used sea salt and freshly ground pepper today.  Thanks for sharing this recipe.</t>
        </is>
      </c>
    </row>
    <row r="3743">
      <c r="A3743" s="7" t="n">
        <v>73846</v>
      </c>
      <c r="B3743" s="7" t="n">
        <v>348851</v>
      </c>
      <c r="C3743" s="7" t="n">
        <v>314785</v>
      </c>
      <c r="D3743" s="7" t="n">
        <v>50719</v>
      </c>
      <c r="E3743" s="8" t="n">
        <v>40120</v>
      </c>
      <c r="F3743" s="7" t="n">
        <v>5</v>
      </c>
      <c r="G3743" s="7" t="inlineStr">
        <is>
          <t>I was going to post my recipe, but this is close enough.  My differences are: use buttermilk rather than just milk and omit nutmeg on the top (because I don't like nutmeg).  Nothing beats fresh blueberries when making these.  I tried a few other blueberry muffin recipes in the years past, but this was the best.  I call them "Best of the Best Blueberry Muffins".</t>
        </is>
      </c>
    </row>
    <row r="3744">
      <c r="A3744" s="7" t="n">
        <v>120252</v>
      </c>
      <c r="B3744" s="7" t="n">
        <v>704502</v>
      </c>
      <c r="C3744" s="7" t="n">
        <v>129652</v>
      </c>
      <c r="D3744" s="7" t="n">
        <v>135850</v>
      </c>
      <c r="E3744" s="8" t="n">
        <v>41210</v>
      </c>
      <c r="F3744" s="7" t="n">
        <v>4</v>
      </c>
      <c r="G3744" s="7" t="inlineStr">
        <is>
          <t>These were cute! We made them for a class project after studying the 5 Senses.  We added almond extract.  We didn't use red dye for the fingers.  A sliced almond worked perfectly for the fingernail.  We also added 1 drop each of red and yellow food dye to the batter.  These cookies do spread.  Our first batch didn't look especially realistic.  We made the cookies in the second batch significantly thinner, and they really did look like fingers! The taste is okay, but the novelty of the "finger" shape is lots of fun!</t>
        </is>
      </c>
    </row>
    <row r="3745">
      <c r="A3745" s="7" t="n">
        <v>56058</v>
      </c>
      <c r="B3745" s="7" t="n">
        <v>799639</v>
      </c>
      <c r="C3745" s="7" t="n">
        <v>39835</v>
      </c>
      <c r="D3745" s="7" t="n">
        <v>116426</v>
      </c>
      <c r="E3745" s="8" t="n">
        <v>38402</v>
      </c>
      <c r="F3745" s="7" t="n">
        <v>4</v>
      </c>
      <c r="G3745" s="7" t="inlineStr">
        <is>
          <t>Very good and fun to make! I wish I doubled the recipe to make more though. Thanks for sharing!</t>
        </is>
      </c>
    </row>
    <row r="3746">
      <c r="A3746" s="7" t="n">
        <v>119315</v>
      </c>
      <c r="B3746" s="7" t="n">
        <v>959502</v>
      </c>
      <c r="C3746" s="7" t="n">
        <v>1165172</v>
      </c>
      <c r="D3746" s="7" t="n">
        <v>271164</v>
      </c>
      <c r="E3746" s="8" t="n">
        <v>40279</v>
      </c>
      <c r="F3746" s="7" t="n">
        <v>5</v>
      </c>
      <c r="G3746" s="7" t="inlineStr">
        <is>
          <t>this is a wonderful citrus salad.  We grilled salmon to go with this and it is a perfect summer meal!!!  thank you for the recipe!</t>
        </is>
      </c>
    </row>
    <row r="3747">
      <c r="A3747" s="7" t="n">
        <v>55318</v>
      </c>
      <c r="B3747" s="7" t="n">
        <v>282591</v>
      </c>
      <c r="C3747" s="7" t="n">
        <v>228458</v>
      </c>
      <c r="D3747" s="7" t="n">
        <v>503235</v>
      </c>
      <c r="E3747" s="8" t="n">
        <v>41516</v>
      </c>
      <c r="F3747" s="7" t="n">
        <v>5</v>
      </c>
      <c r="G3747" s="7" t="inlineStr">
        <is>
          <t>This is SO. GOOD. I might be twitching a little as I type this because I can&amp;#039;t seem to stop drinking it LOL. Good thing I made it half caf! I cut the recipe down to 2 oz of coffee and I really wish I hadn&amp;#039;t. I will definitely make this again, in fact I&amp;#039;m pretty sure this is on its way to my Best of 2013 cookbook :). Made for ZWT 9, Gourmet Goddesses.</t>
        </is>
      </c>
    </row>
    <row r="3748">
      <c r="A3748" s="7" t="n">
        <v>38019</v>
      </c>
      <c r="B3748" s="7" t="n">
        <v>389037</v>
      </c>
      <c r="C3748" s="7" t="n">
        <v>1064211</v>
      </c>
      <c r="D3748" s="7" t="n">
        <v>302657</v>
      </c>
      <c r="E3748" s="8" t="n">
        <v>39803</v>
      </c>
      <c r="F3748" s="7" t="n">
        <v>0</v>
      </c>
      <c r="G3748" s="7" t="inlineStr">
        <is>
          <t>Gobbled up quickly the first time I made it...loved it!</t>
        </is>
      </c>
    </row>
    <row r="3749">
      <c r="A3749" s="7" t="n">
        <v>80331</v>
      </c>
      <c r="B3749" s="7" t="n">
        <v>705904</v>
      </c>
      <c r="C3749" s="7" t="n">
        <v>428060</v>
      </c>
      <c r="D3749" s="7" t="n">
        <v>293168</v>
      </c>
      <c r="E3749" s="8" t="n">
        <v>40196</v>
      </c>
      <c r="F3749" s="7" t="n">
        <v>5</v>
      </c>
      <c r="G3749" s="7" t="inlineStr">
        <is>
          <t>Really super tasty. The basil gives it that sweet pizza taste. Next time I will make my wheat biscuit dough and add cheese and herbs, no need to buy the biscuits.</t>
        </is>
      </c>
    </row>
    <row r="3750">
      <c r="A3750" s="7" t="n">
        <v>23300</v>
      </c>
      <c r="B3750" s="7" t="n">
        <v>338771</v>
      </c>
      <c r="C3750" s="7" t="n">
        <v>101275</v>
      </c>
      <c r="D3750" s="7" t="n">
        <v>64048</v>
      </c>
      <c r="E3750" s="8" t="n">
        <v>38070</v>
      </c>
      <c r="F3750" s="7" t="n">
        <v>5</v>
      </c>
      <c r="G3750" s="7" t="inlineStr">
        <is>
          <t>Lovely variation of a family favourite. I increased the garlic to 8 flakes, added a little ginger (by force of habit) and used homemade feta cheese. Confess to having used a little chopped green chilli too :(.  Very Very nice Pets!! Will be making it again. :) Fay</t>
        </is>
      </c>
    </row>
    <row r="3751" ht="409.5" customHeight="1">
      <c r="A3751" s="7" t="n">
        <v>46755</v>
      </c>
      <c r="B3751" s="7" t="n">
        <v>608999</v>
      </c>
      <c r="C3751" s="7" t="n">
        <v>40211</v>
      </c>
      <c r="D3751" s="7" t="n">
        <v>97196</v>
      </c>
      <c r="E3751" s="8" t="n">
        <v>38305</v>
      </c>
      <c r="F3751" s="7" t="n">
        <v>4</v>
      </c>
      <c r="G3751" s="9" t="inlineStr">
        <is>
          <t xml:space="preserve">This is pretty good salsa. I made a half-batch, followed the instructions pretty much exactly. When i first put the mixture into the jars with the salt and lime, i had an "uh oh moment", as it seemed to be too salty... but i perservered and canned it up anyways. Seems the processing and storage allowed the flavours to blend and mellow, because when we opened our first jar a few weeks later, it didn't seem excessively salty after all. I quite like the lime flavour in this, and would say it's about as close to a "fresh salsa" taste as you're going to get in a home-canned product. Good job!_x000D_
</t>
        </is>
      </c>
    </row>
    <row r="3752">
      <c r="A3752" s="7" t="n">
        <v>42924</v>
      </c>
      <c r="B3752" s="7" t="n">
        <v>259008</v>
      </c>
      <c r="C3752" s="7" t="n">
        <v>1187622</v>
      </c>
      <c r="D3752" s="7" t="n">
        <v>107474</v>
      </c>
      <c r="E3752" s="8" t="n">
        <v>39951</v>
      </c>
      <c r="F3752" s="7" t="n">
        <v>4</v>
      </c>
      <c r="G3752" s="7" t="inlineStr">
        <is>
          <t>Made this with 1/3 jar apricot jam like another poster mentioned, then I froze it.   Turned out great.  Serve with a little rice and veg and dinner is ready in minutes.   Will make it with the jam again for freezing, but also want to try it with frozen peaches also.</t>
        </is>
      </c>
    </row>
    <row r="3753" ht="409.5" customHeight="1">
      <c r="A3753" s="7" t="n">
        <v>115879</v>
      </c>
      <c r="B3753" s="7" t="n">
        <v>302521</v>
      </c>
      <c r="C3753" s="7" t="n">
        <v>537937</v>
      </c>
      <c r="D3753" s="7" t="n">
        <v>298867</v>
      </c>
      <c r="E3753" s="8" t="n">
        <v>39780</v>
      </c>
      <c r="F3753" s="7" t="n">
        <v>5</v>
      </c>
      <c r="G3753" s="9" t="inlineStr">
        <is>
          <t>5 stars for being an original.  I never would have thought of these flavor combinations on my own.  They really do work and I love the taste.  I toasted a piece of multi-grain bread and spread it with the pumpkin/p.b. combo.  Then sliced u p 1/2 banana and sprinkled with a blend of flaxseed, cinnamon, and brownsugar that I keep on hand.  Perfect.  Thanks vitalev._x000D_
Made for I Recommend Tag Game~</t>
        </is>
      </c>
    </row>
    <row r="3754">
      <c r="A3754" s="7" t="n">
        <v>93955</v>
      </c>
      <c r="B3754" s="7" t="n">
        <v>587853</v>
      </c>
      <c r="C3754" s="7" t="n">
        <v>440519</v>
      </c>
      <c r="D3754" s="7" t="n">
        <v>73062</v>
      </c>
      <c r="E3754" s="8" t="n">
        <v>40863</v>
      </c>
      <c r="F3754" s="7" t="n">
        <v>5</v>
      </c>
      <c r="G3754" s="7" t="inlineStr">
        <is>
          <t>Great recipe.  I used panko bread crumbs.  The chops were flavorful and juicy with a crispy crust.  I've found my go to recipe for pork chops.  I will be making this again and again.</t>
        </is>
      </c>
    </row>
    <row r="3755">
      <c r="A3755" s="7" t="n">
        <v>87258</v>
      </c>
      <c r="B3755" s="7" t="n">
        <v>961302</v>
      </c>
      <c r="C3755" s="7" t="n">
        <v>539977</v>
      </c>
      <c r="D3755" s="7" t="n">
        <v>101068</v>
      </c>
      <c r="E3755" s="8" t="n">
        <v>40340</v>
      </c>
      <c r="F3755" s="7" t="n">
        <v>2</v>
      </c>
      <c r="G3755" s="7" t="inlineStr">
        <is>
          <t>TOOO sweet. TOOO much spices. This would have been better without the added spices to the cake mix. Second, store bought cake mix is salty to us. We prefer homemade cake mix with out all the added chemicals and junk. Usually desserts disappear around here, this one has lingered on the counter for 3 days! I say that makes a fail. I followed this recipe exactly!</t>
        </is>
      </c>
    </row>
    <row r="3756">
      <c r="A3756" s="7" t="n">
        <v>35925</v>
      </c>
      <c r="B3756" s="7" t="n">
        <v>1065015</v>
      </c>
      <c r="C3756" s="7" t="n">
        <v>13483</v>
      </c>
      <c r="D3756" s="7" t="n">
        <v>55600</v>
      </c>
      <c r="E3756" s="8" t="n">
        <v>39586</v>
      </c>
      <c r="F3756" s="7" t="n">
        <v>3</v>
      </c>
      <c r="G3756" s="7" t="inlineStr">
        <is>
          <t>This just did not do it for me at all.  I did not get that lovely lamb flavour and the sauce was bland tasting to me.  I felt the meat was "boiled" and this left it bland. I felt there was too much salt as well.  Sorry Geema.  It is just how this one turned out for me!!!</t>
        </is>
      </c>
    </row>
    <row r="3757">
      <c r="A3757" t="n">
        <v>24661</v>
      </c>
      <c r="B3757" t="n">
        <v>491136</v>
      </c>
      <c r="C3757" t="n">
        <v>196819</v>
      </c>
      <c r="D3757" t="n">
        <v>118116</v>
      </c>
      <c r="E3757" s="1" t="n">
        <v>39012</v>
      </c>
      <c r="F3757" t="n">
        <v>5</v>
      </c>
      <c r="G3757" t="inlineStr">
        <is>
          <t>These were my favorites as a kid. I love them now as an adult to, but I now like strawberry &amp; raspberry jams also. Its a classic, thanks for posting it.</t>
        </is>
      </c>
    </row>
    <row r="3758">
      <c r="A3758" s="7" t="n">
        <v>96821</v>
      </c>
      <c r="B3758" s="7" t="n">
        <v>210704</v>
      </c>
      <c r="C3758" s="7" t="n">
        <v>190709</v>
      </c>
      <c r="D3758" s="7" t="n">
        <v>108605</v>
      </c>
      <c r="E3758" s="8" t="n">
        <v>38397</v>
      </c>
      <c r="F3758" s="7" t="n">
        <v>5</v>
      </c>
      <c r="G3758" s="7" t="inlineStr">
        <is>
          <t>Very easy to make.  To me it kind of tasted like Pork and Beans, but hubby LOVES it</t>
        </is>
      </c>
    </row>
    <row r="3759">
      <c r="A3759" s="7" t="n">
        <v>64276</v>
      </c>
      <c r="B3759" s="7" t="n">
        <v>205760</v>
      </c>
      <c r="C3759" s="7" t="n">
        <v>1287956</v>
      </c>
      <c r="D3759" s="7" t="n">
        <v>446481</v>
      </c>
      <c r="E3759" s="8" t="n">
        <v>40560</v>
      </c>
      <c r="F3759" s="7" t="n">
        <v>5</v>
      </c>
      <c r="G3759" s="7" t="inlineStr">
        <is>
          <t>I made this for my family because it sounded yummy, and to them, it was.  Perfect blend of sweet and savory, and the grilling just seemed to make it moist.  I tried a little bit of the meat, and it was quite good -- just too fattening for me.</t>
        </is>
      </c>
    </row>
    <row r="3760">
      <c r="A3760" s="7" t="n">
        <v>24765</v>
      </c>
      <c r="B3760" s="7" t="n">
        <v>339191</v>
      </c>
      <c r="C3760" s="7" t="n">
        <v>477972</v>
      </c>
      <c r="D3760" s="7" t="n">
        <v>191547</v>
      </c>
      <c r="E3760" s="8" t="n">
        <v>39616</v>
      </c>
      <c r="F3760" s="7" t="n">
        <v>4</v>
      </c>
      <c r="G3760" s="7" t="inlineStr">
        <is>
          <t>A good basic recipe. I did make some changes. I used 1 lb. of extra lean ground beef instead of turkey. I then added 1 clove of garlic, 1 t. worcestershire and 1 t. oregano. I also put in 3/4 c. additional water. It could have used a bit more spice but it was a nice dinner. Thanks!</t>
        </is>
      </c>
    </row>
    <row r="3761">
      <c r="A3761" s="7" t="n">
        <v>50712</v>
      </c>
      <c r="B3761" s="7" t="n">
        <v>853047</v>
      </c>
      <c r="C3761" s="7" t="n">
        <v>4141</v>
      </c>
      <c r="D3761" s="7" t="n">
        <v>4717</v>
      </c>
      <c r="E3761" s="8" t="n">
        <v>36887</v>
      </c>
      <c r="F3761" s="7" t="n">
        <v>5</v>
      </c>
      <c r="G3761" s="7" t="inlineStr">
        <is>
          <t>I've fixed this pie before and lost receipe thank you for reprinting it...</t>
        </is>
      </c>
    </row>
    <row r="3762">
      <c r="A3762" s="7" t="n">
        <v>68143</v>
      </c>
      <c r="B3762" s="7" t="n">
        <v>184968</v>
      </c>
      <c r="C3762" s="7" t="n">
        <v>66549</v>
      </c>
      <c r="D3762" s="7" t="n">
        <v>141104</v>
      </c>
      <c r="E3762" s="8" t="n">
        <v>39366</v>
      </c>
      <c r="F3762" s="7" t="n">
        <v>5</v>
      </c>
      <c r="G3762" s="7" t="inlineStr">
        <is>
          <t>Great flavor and very easy to make.  I made them into a calzone instead of leaving them open. My 2 yr old loves them as well.  Thanks for a great recipe.</t>
        </is>
      </c>
    </row>
    <row r="3763">
      <c r="A3763" s="7" t="n">
        <v>48801</v>
      </c>
      <c r="B3763" s="7" t="n">
        <v>295921</v>
      </c>
      <c r="C3763" s="7" t="n">
        <v>607820</v>
      </c>
      <c r="D3763" s="7" t="n">
        <v>46922</v>
      </c>
      <c r="E3763" s="8" t="n">
        <v>39540</v>
      </c>
      <c r="F3763" s="7" t="n">
        <v>5</v>
      </c>
      <c r="G3763" s="7" t="inlineStr">
        <is>
          <t>I was skeptical about this being the best ham ever.  I made it just like the recipe and it was awsome.  This is my new ham recipe.  Made it for Easter.  Thank You!!</t>
        </is>
      </c>
    </row>
    <row r="3764">
      <c r="A3764" s="7" t="n">
        <v>88577</v>
      </c>
      <c r="B3764" s="7" t="n">
        <v>817216</v>
      </c>
      <c r="C3764" s="7" t="n">
        <v>128473</v>
      </c>
      <c r="D3764" s="7" t="n">
        <v>317072</v>
      </c>
      <c r="E3764" s="8" t="n">
        <v>39679</v>
      </c>
      <c r="F3764" s="7" t="n">
        <v>5</v>
      </c>
      <c r="G3764" s="7" t="inlineStr">
        <is>
          <t>These potatoes were enjoyed very much. Served with rare steak they were the bomb. What a great combination of flavors. They complimented the meat beautifully. Quick and easy to make, thick, rich, creamy and a little tangy. We loved them. Thanks so much for sharing this tasty recipe.</t>
        </is>
      </c>
    </row>
    <row r="3765">
      <c r="A3765" s="7" t="n">
        <v>55947</v>
      </c>
      <c r="B3765" s="7" t="n">
        <v>733311</v>
      </c>
      <c r="C3765" s="7" t="n">
        <v>298981</v>
      </c>
      <c r="D3765" s="7" t="n">
        <v>41168</v>
      </c>
      <c r="E3765" s="8" t="n">
        <v>40948</v>
      </c>
      <c r="F3765" s="7" t="n">
        <v>5</v>
      </c>
      <c r="G3765" s="7" t="inlineStr">
        <is>
          <t>This is a GREAT way to dress up canned refried beans!  I will be doing this alot!!  I never thought they tasted right when they were just out of  the can!  Thanks again for posting!</t>
        </is>
      </c>
    </row>
    <row r="3766">
      <c r="A3766" s="7" t="n">
        <v>32291</v>
      </c>
      <c r="B3766" s="7" t="n">
        <v>648524</v>
      </c>
      <c r="C3766" s="7" t="n">
        <v>778262</v>
      </c>
      <c r="D3766" s="7" t="n">
        <v>31235</v>
      </c>
      <c r="E3766" s="8" t="n">
        <v>39868</v>
      </c>
      <c r="F3766" s="7" t="n">
        <v>5</v>
      </c>
      <c r="G3766" s="7" t="inlineStr">
        <is>
          <t>Very yummy and easy to make. I used walnuts instead of pecans because that is what I had on hand and didn't use any dried fruit but I will try that in the future. I didn't have any parchment paper so I baked it in 2 greased 9x13 glass pans. My husband and I ate it dry as a snack and also with milk for breakfast.</t>
        </is>
      </c>
    </row>
    <row r="3767">
      <c r="A3767" s="7" t="n">
        <v>11498</v>
      </c>
      <c r="B3767" s="7" t="n">
        <v>175921</v>
      </c>
      <c r="C3767" s="7" t="n">
        <v>453872</v>
      </c>
      <c r="D3767" s="7" t="n">
        <v>227569</v>
      </c>
      <c r="E3767" s="8" t="n">
        <v>39215</v>
      </c>
      <c r="F3767" s="7" t="n">
        <v>3</v>
      </c>
      <c r="G3767" s="7" t="inlineStr">
        <is>
          <t>Liked this very much.  I made mine with skim milk since that's what I had on hand.  Sauce still came out pretty good, but a little thin.  Much healthier though!  I will make this again.</t>
        </is>
      </c>
    </row>
    <row r="3768">
      <c r="A3768" s="7" t="n">
        <v>19974</v>
      </c>
      <c r="B3768" s="7" t="n">
        <v>881802</v>
      </c>
      <c r="C3768" s="7" t="n">
        <v>666829</v>
      </c>
      <c r="D3768" s="7" t="n">
        <v>99152</v>
      </c>
      <c r="E3768" s="8" t="n">
        <v>40542</v>
      </c>
      <c r="F3768" s="7" t="n">
        <v>5</v>
      </c>
      <c r="G3768" s="7" t="inlineStr">
        <is>
          <t>Great recipe - the entire family loved it!  I am lucky to have a convection oven so the chicken was not dry - it was moist and tender - I had fresh asparagus so I threw it in during the last half hour - I will defintely be making this again!  We easily fed 6 with leftovers!  Thanks for sharing - could easily add different squash, turnips, parsnips, radishes - the variations are endless!</t>
        </is>
      </c>
    </row>
    <row r="3769">
      <c r="A3769" s="7" t="n">
        <v>115616</v>
      </c>
      <c r="B3769" s="7" t="n">
        <v>1077808</v>
      </c>
      <c r="C3769" s="7" t="n">
        <v>176615</v>
      </c>
      <c r="D3769" s="7" t="n">
        <v>401283</v>
      </c>
      <c r="E3769" s="8" t="n">
        <v>41446</v>
      </c>
      <c r="F3769" s="7" t="n">
        <v>5</v>
      </c>
      <c r="G3769" s="7" t="inlineStr">
        <is>
          <t>Good and super easy! Made exactly as directed and this soft crust deep dish pizza was super cheesy, the kind you have to eat with a fork. Next time I&amp;#039;ll try some Italian sausage, too. Thanks for sharing the recipe!</t>
        </is>
      </c>
    </row>
    <row r="3770">
      <c r="A3770" s="7" t="n">
        <v>92513</v>
      </c>
      <c r="B3770" s="7" t="n">
        <v>933229</v>
      </c>
      <c r="C3770" s="7" t="n">
        <v>1048945</v>
      </c>
      <c r="D3770" s="7" t="n">
        <v>228981</v>
      </c>
      <c r="E3770" s="8" t="n">
        <v>40011</v>
      </c>
      <c r="F3770" s="7" t="n">
        <v>5</v>
      </c>
      <c r="G3770" s="7" t="inlineStr">
        <is>
          <t>A nice change from the same old tacos I am always making.  One recipe we will have again!</t>
        </is>
      </c>
    </row>
    <row r="3771">
      <c r="A3771" s="7" t="n">
        <v>31898</v>
      </c>
      <c r="B3771" s="7" t="n">
        <v>834251</v>
      </c>
      <c r="C3771" s="7" t="n">
        <v>211184</v>
      </c>
      <c r="D3771" s="7" t="n">
        <v>173190</v>
      </c>
      <c r="E3771" s="8" t="n">
        <v>38888</v>
      </c>
      <c r="F3771" s="7" t="n">
        <v>5</v>
      </c>
      <c r="G3771" s="7" t="inlineStr">
        <is>
          <t>OUTSTANDING Janet! Wow, talk about a flavor explosion in every bite. I was heavy handed on the spices (especially the curry), and I did use buttermilk in place of the yogurt. I was extremely pleased with the results. Thanks so much for sharing this wonderful recipe- Nick's Mom</t>
        </is>
      </c>
    </row>
    <row r="3772">
      <c r="A3772" t="n">
        <v>33203</v>
      </c>
      <c r="B3772" t="n">
        <v>82301</v>
      </c>
      <c r="C3772" t="n">
        <v>55380</v>
      </c>
      <c r="D3772" t="n">
        <v>59083</v>
      </c>
      <c r="E3772" s="1" t="n">
        <v>38329</v>
      </c>
      <c r="F3772" t="n">
        <v>5</v>
      </c>
      <c r="G3772" t="inlineStr">
        <is>
          <t>I made this for dh to take to a faculty party; it was a big hit (and the house smelled soooo good while it was baking)! The zucchini didn't look so great this time of year, so I replaced some of it with yellow squash. I also threw in some mushrooms I had on hand. I was going to add baby carrots, too, but forgot...something for next time! The authentic Greek oregano and mint lent a wonderful flair to the dish, although I was unable to find mizithra and had to use parmesan. The largest pan I had was 9x13 which filled up after 6 or 7 zukes/squash, 2 potatoes, and the other ingredients the same; it was heaped well up over the top but you're right, Ev, it did 'melt down' enough that I think I could have gotten more veggies in there (although I would have had to mix them in a separate bowl). This is going into our permanent recipe rotation ~ thanks so much!!! :o)</t>
        </is>
      </c>
    </row>
    <row r="3773">
      <c r="A3773" s="7" t="n">
        <v>88049</v>
      </c>
      <c r="B3773" s="7" t="n">
        <v>385069</v>
      </c>
      <c r="C3773" s="7" t="n">
        <v>537617</v>
      </c>
      <c r="D3773" s="7" t="n">
        <v>276236</v>
      </c>
      <c r="E3773" s="8" t="n">
        <v>39585</v>
      </c>
      <c r="F3773" s="7" t="n">
        <v>5</v>
      </c>
      <c r="G3773" s="7" t="inlineStr">
        <is>
          <t>Really good!  I chopped up my chicken and put it in a casserole dish and doubled the sauce to go over rice.  (Glad I did!)  We ate it so fast, I forgot to take a picture.  Oh btw...it goes really good with Kimchee!   Yum!</t>
        </is>
      </c>
    </row>
    <row r="3774">
      <c r="A3774" s="7" t="n">
        <v>109025</v>
      </c>
      <c r="B3774" s="7" t="n">
        <v>1049269</v>
      </c>
      <c r="C3774" s="7" t="n">
        <v>491970</v>
      </c>
      <c r="D3774" s="7" t="n">
        <v>102274</v>
      </c>
      <c r="E3774" s="8" t="n">
        <v>41520</v>
      </c>
      <c r="F3774" s="7" t="n">
        <v>5</v>
      </c>
      <c r="G3774" s="7" t="inlineStr">
        <is>
          <t>I&amp;#039;ve never had Friday&amp;#039;s soup, but this recipe was over-the-top delicious! I followed to a T, using dry beans instead of canned. The only change I made was the addition of an ear of corn, and a little smoked pulled pork (left overs that needed to be used up!). This is the sort of soup that warms you all the way through, and fills you up. I will make this again, and again! Thanks for sharing a wonderful recipe.</t>
        </is>
      </c>
    </row>
    <row r="3775">
      <c r="A3775" s="7" t="n">
        <v>66122</v>
      </c>
      <c r="B3775" s="7" t="n">
        <v>513636</v>
      </c>
      <c r="C3775" s="7" t="n">
        <v>537937</v>
      </c>
      <c r="D3775" s="7" t="n">
        <v>36139</v>
      </c>
      <c r="E3775" s="8" t="n">
        <v>39931</v>
      </c>
      <c r="F3775" s="7" t="n">
        <v>4</v>
      </c>
      <c r="G3775" s="7" t="inlineStr">
        <is>
          <t>Thank you so much for sharing this recipe.  I needed 1 cup of teriyaki sauce for recipe#312374 and once I got started, noticed that I only had 1/4 cup.  What to do???  yogi to the rescue.  I took the advice of previous reviewers and added a bit of cornstarch to the mix.  It turned out perfectly. :-)</t>
        </is>
      </c>
    </row>
    <row r="3776">
      <c r="A3776" t="n">
        <v>103224</v>
      </c>
      <c r="B3776" t="n">
        <v>11605</v>
      </c>
      <c r="C3776" t="n">
        <v>934824</v>
      </c>
      <c r="D3776" t="n">
        <v>86868</v>
      </c>
      <c r="E3776" s="1" t="n">
        <v>40618</v>
      </c>
      <c r="F3776" t="n">
        <v>5</v>
      </c>
      <c r="G3776" t="inlineStr">
        <is>
          <t>This was sooooo good! Will be making this again! Thanks!</t>
        </is>
      </c>
    </row>
    <row r="3777">
      <c r="A3777" s="7" t="n">
        <v>118840</v>
      </c>
      <c r="B3777" s="7" t="n">
        <v>134702</v>
      </c>
      <c r="C3777" s="7" t="n">
        <v>1128362</v>
      </c>
      <c r="D3777" s="7" t="n">
        <v>58687</v>
      </c>
      <c r="E3777" s="8" t="n">
        <v>39858</v>
      </c>
      <c r="F3777" s="7" t="n">
        <v>5</v>
      </c>
      <c r="G3777" s="7" t="inlineStr">
        <is>
          <t>Great and easy! I changed it a bit,I used butter to melt with the chocolate chips,yummy. I made some with bananas as well for my 1 yr old,big hit!</t>
        </is>
      </c>
    </row>
    <row r="3778">
      <c r="A3778" s="7" t="n">
        <v>86591</v>
      </c>
      <c r="B3778" s="7" t="n">
        <v>169141</v>
      </c>
      <c r="C3778" s="7" t="n">
        <v>742802</v>
      </c>
      <c r="D3778" s="7" t="n">
        <v>56190</v>
      </c>
      <c r="E3778" s="8" t="n">
        <v>39530</v>
      </c>
      <c r="F3778" s="7" t="n">
        <v>5</v>
      </c>
      <c r="G3778" s="7" t="inlineStr">
        <is>
          <t>As a newbie to crab cakes I too used the recipe off the back of a Phillips container. Delicious! I personally prefer the claw meat, but that's just me. I highly recommend this recipe!</t>
        </is>
      </c>
    </row>
    <row r="3779">
      <c r="A3779" s="7" t="n">
        <v>115256</v>
      </c>
      <c r="B3779" s="7" t="n">
        <v>554763</v>
      </c>
      <c r="C3779" s="7" t="n">
        <v>427184</v>
      </c>
      <c r="D3779" s="7" t="n">
        <v>48907</v>
      </c>
      <c r="E3779" s="8" t="n">
        <v>40272</v>
      </c>
      <c r="F3779" s="7" t="n">
        <v>5</v>
      </c>
      <c r="G3779" s="7" t="inlineStr">
        <is>
          <t>Delicious! We made the apricot preserves ourselves by boiling down diced apricot pieces and a little sugar then giving it a quick blend. This was fantastic, thank you.</t>
        </is>
      </c>
    </row>
    <row r="3780">
      <c r="A3780" s="7" t="n">
        <v>12665</v>
      </c>
      <c r="B3780" s="7" t="n">
        <v>497220</v>
      </c>
      <c r="C3780" s="7" t="n">
        <v>978310</v>
      </c>
      <c r="D3780" s="7" t="n">
        <v>127172</v>
      </c>
      <c r="E3780" s="8" t="n">
        <v>39745</v>
      </c>
      <c r="F3780" s="7" t="n">
        <v>0</v>
      </c>
      <c r="G3780" s="7" t="inlineStr">
        <is>
          <t>Made these for a party...everyone raved.  I used the scooped out part of potato and mixed it with the sour cream and cheese and added a bacon bit into potato.  Everyone loved them and I am making them for a nightclub opening party...perfect finger food.</t>
        </is>
      </c>
    </row>
    <row r="3781">
      <c r="A3781" s="7" t="n">
        <v>65935</v>
      </c>
      <c r="B3781" s="7" t="n">
        <v>780840</v>
      </c>
      <c r="C3781" s="7" t="n">
        <v>176615</v>
      </c>
      <c r="D3781" s="7" t="n">
        <v>388381</v>
      </c>
      <c r="E3781" s="8" t="n">
        <v>41718</v>
      </c>
      <c r="F3781" s="7" t="n">
        <v>5</v>
      </c>
      <c r="G3781" s="7" t="inlineStr">
        <is>
          <t>Good! And a fairly healthy snack. I used all honey and natural peanut butter. The result was pretty crumbly the next day but still tasty. Will make again. Thanks for sharing the recipe!</t>
        </is>
      </c>
    </row>
    <row r="3782">
      <c r="A3782" s="7" t="n">
        <v>114457</v>
      </c>
      <c r="B3782" s="7" t="n">
        <v>465060</v>
      </c>
      <c r="C3782" s="7" t="n">
        <v>2001674349</v>
      </c>
      <c r="D3782" s="7" t="n">
        <v>301741</v>
      </c>
      <c r="E3782" s="8" t="n">
        <v>42963</v>
      </c>
      <c r="F3782" s="7" t="n">
        <v>0</v>
      </c>
      <c r="G3782" s="7" t="inlineStr">
        <is>
          <t>I saw and made this tonight for dinner and it was great but I did substitute the chicken breast for leg quarters as it's what I had on hand and it worked out just fine. Thanks for sharing.</t>
        </is>
      </c>
    </row>
    <row r="3783">
      <c r="A3783" s="7" t="n">
        <v>93019</v>
      </c>
      <c r="B3783" s="7" t="n">
        <v>786981</v>
      </c>
      <c r="C3783" s="7" t="n">
        <v>296729</v>
      </c>
      <c r="D3783" s="7" t="n">
        <v>383550</v>
      </c>
      <c r="E3783" s="8" t="n">
        <v>40182</v>
      </c>
      <c r="F3783" s="7" t="n">
        <v>5</v>
      </c>
      <c r="G3783" s="7" t="inlineStr">
        <is>
          <t>Great recipe, best tomato based pasta sauce I've come across!</t>
        </is>
      </c>
    </row>
    <row r="3784" ht="409.5" customHeight="1">
      <c r="A3784" s="7" t="n">
        <v>5961</v>
      </c>
      <c r="B3784" s="7" t="n">
        <v>332957</v>
      </c>
      <c r="C3784" s="7" t="n">
        <v>209747</v>
      </c>
      <c r="D3784" s="7" t="n">
        <v>135210</v>
      </c>
      <c r="E3784" s="8" t="n">
        <v>38610</v>
      </c>
      <c r="F3784" s="7" t="n">
        <v>4</v>
      </c>
      <c r="G3784" s="9" t="inlineStr">
        <is>
          <t xml:space="preserve">Same here. The seasoning overpower the fabulous taste the mushrooms had after browning in the olive oil. I use butter normally and the olive oil was a wonderful change. I will make them again but with about 1/2 the herbs. _x000D_
</t>
        </is>
      </c>
    </row>
    <row r="3785">
      <c r="A3785" s="7" t="n">
        <v>90964</v>
      </c>
      <c r="B3785" s="7" t="n">
        <v>191548</v>
      </c>
      <c r="C3785" s="7" t="n">
        <v>537179</v>
      </c>
      <c r="D3785" s="7" t="n">
        <v>226161</v>
      </c>
      <c r="E3785" s="8" t="n">
        <v>39768</v>
      </c>
      <c r="F3785" s="7" t="n">
        <v>4</v>
      </c>
      <c r="G3785" s="7" t="inlineStr">
        <is>
          <t>This was good. But, DH found it necessary to add some spices and hot sauce and who knows what else when I wasn't looking. I seriously don't think it was necessary to add all that water. I added only about 4 cups, still to much in my book. I got to try it before DH started adding things it was good but not the best. We will make again but with our changes. Thanks for posting. Made for My 3 Chefs Nov 2008</t>
        </is>
      </c>
    </row>
    <row r="3786">
      <c r="A3786" s="7" t="n">
        <v>52563</v>
      </c>
      <c r="B3786" s="7" t="n">
        <v>748543</v>
      </c>
      <c r="C3786" s="7" t="n">
        <v>1343376</v>
      </c>
      <c r="D3786" s="7" t="n">
        <v>99272</v>
      </c>
      <c r="E3786" s="8" t="n">
        <v>40670</v>
      </c>
      <c r="F3786" s="7" t="n">
        <v>5</v>
      </c>
      <c r="G3786" s="7" t="inlineStr">
        <is>
          <t>Omigawd! I made these for some kind of special occasion (I can't remember what) and they were phenomenal! (Yes, THAT'S the part I remember) So easy, too... THANX A BILLION!!!!! I'm making them for Mother's Day! YAY!</t>
        </is>
      </c>
    </row>
    <row r="3787">
      <c r="A3787" s="7" t="n">
        <v>46787</v>
      </c>
      <c r="B3787" s="7" t="n">
        <v>285487</v>
      </c>
      <c r="C3787" s="7" t="n">
        <v>140028</v>
      </c>
      <c r="D3787" s="7" t="n">
        <v>99342</v>
      </c>
      <c r="E3787" s="8" t="n">
        <v>38869</v>
      </c>
      <c r="F3787" s="7" t="n">
        <v>5</v>
      </c>
      <c r="G3787" s="7" t="inlineStr">
        <is>
          <t>My Bergy sourdough starter is two weeks old and I wanted pancakes. These were some of the tastiest, fluffiest pancakes I've ever made! Sometime I might have to try them with berries :D Thanks!</t>
        </is>
      </c>
    </row>
    <row r="3788">
      <c r="A3788" s="7" t="n">
        <v>50322</v>
      </c>
      <c r="B3788" s="7" t="n">
        <v>282371</v>
      </c>
      <c r="C3788" s="7" t="n">
        <v>653438</v>
      </c>
      <c r="D3788" s="7" t="n">
        <v>230232</v>
      </c>
      <c r="E3788" s="8" t="n">
        <v>40139</v>
      </c>
      <c r="F3788" s="7" t="n">
        <v>5</v>
      </c>
      <c r="G3788" s="7" t="inlineStr">
        <is>
          <t>This was a delicious and easy soup to make...I would recommend it to everyone!!  I cut the recipe in half for DH and I, followed the directions to a tee and served it with some garlic bread.   Next time I might add some cayenne pepper for a little zip and try some wine like a previous cook posted (but you really don't need it).   Took it down to the coast and totally enjoyed our lunch.  Thank you.  Made for Zaar Alphabet Soup Tag game 2009.</t>
        </is>
      </c>
    </row>
    <row r="3789">
      <c r="A3789" s="7" t="n">
        <v>44946</v>
      </c>
      <c r="B3789" s="7" t="n">
        <v>239944</v>
      </c>
      <c r="C3789" s="7" t="n">
        <v>1021800</v>
      </c>
      <c r="D3789" s="7" t="n">
        <v>462127</v>
      </c>
      <c r="E3789" s="8" t="n">
        <v>40845</v>
      </c>
      <c r="F3789" s="7" t="n">
        <v>5</v>
      </c>
      <c r="G3789" s="7" t="inlineStr">
        <is>
          <t>These were very good! Perfect if you don't like things that are very rich. These are not super sweet, either. There is a very, very slight taste of coconut, so I'm not sure if I would serve them to someone who doesn't like coconut. Overall, these were delicious!</t>
        </is>
      </c>
    </row>
    <row r="3790">
      <c r="A3790" s="7" t="n">
        <v>19986</v>
      </c>
      <c r="B3790" s="7" t="n">
        <v>561516</v>
      </c>
      <c r="C3790" s="7" t="n">
        <v>185926</v>
      </c>
      <c r="D3790" s="7" t="n">
        <v>42257</v>
      </c>
      <c r="E3790" s="8" t="n">
        <v>39610</v>
      </c>
      <c r="F3790" s="7" t="n">
        <v>3</v>
      </c>
      <c r="G3790" s="7" t="inlineStr">
        <is>
          <t>I am sorry to give this a 3 stars but we really did not care for it much.  Just OK.  Followed the recipe as directed.  The only thing different was I had regular, not seedless rasberry jam.  Thank you.</t>
        </is>
      </c>
    </row>
    <row r="3791">
      <c r="A3791" s="7" t="n">
        <v>94301</v>
      </c>
      <c r="B3791" s="7" t="n">
        <v>190599</v>
      </c>
      <c r="C3791" s="7" t="n">
        <v>67899</v>
      </c>
      <c r="D3791" s="7" t="n">
        <v>86959</v>
      </c>
      <c r="E3791" s="8" t="n">
        <v>38077</v>
      </c>
      <c r="F3791" s="7" t="n">
        <v>5</v>
      </c>
      <c r="G3791" s="7" t="inlineStr">
        <is>
          <t>This tea is so comforting! It reminds me of drinking a warm mug of wassail! The spices are just right. I used Rooibos tea and only used half as much honey and lemon juice and it was perfect. I can't wait to have this again.</t>
        </is>
      </c>
    </row>
    <row r="3792">
      <c r="A3792" s="7" t="n">
        <v>24687</v>
      </c>
      <c r="B3792" s="7" t="n">
        <v>352476</v>
      </c>
      <c r="C3792" s="7" t="n">
        <v>599450</v>
      </c>
      <c r="D3792" s="7" t="n">
        <v>271379</v>
      </c>
      <c r="E3792" s="8" t="n">
        <v>41133</v>
      </c>
      <c r="F3792" s="7" t="n">
        <v>5</v>
      </c>
      <c r="G3792" s="7" t="inlineStr">
        <is>
          <t>What a great and simple dip! Or pizza/pasta topping! This will be a go-to recipe for board meetings where I only have moments to prepare something really wonderful to satisfy members who've already spent all day at our day jobs. Thanks, mummamills! Made for Aussie Kiwi Recipe Swap #66.</t>
        </is>
      </c>
    </row>
    <row r="3793">
      <c r="A3793" s="7" t="n">
        <v>27415</v>
      </c>
      <c r="B3793" s="7" t="n">
        <v>14763</v>
      </c>
      <c r="C3793" s="7" t="n">
        <v>37036</v>
      </c>
      <c r="D3793" s="7" t="n">
        <v>37413</v>
      </c>
      <c r="E3793" s="8" t="n">
        <v>38614</v>
      </c>
      <c r="F3793" s="7" t="n">
        <v>5</v>
      </c>
      <c r="G3793" s="7" t="inlineStr">
        <is>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is>
      </c>
    </row>
    <row r="3794">
      <c r="A3794" s="7" t="n">
        <v>105489</v>
      </c>
      <c r="B3794" s="7" t="n">
        <v>256712</v>
      </c>
      <c r="C3794" s="7" t="n">
        <v>80079</v>
      </c>
      <c r="D3794" s="7" t="n">
        <v>26205</v>
      </c>
      <c r="E3794" s="8" t="n">
        <v>38681</v>
      </c>
      <c r="F3794" s="7" t="n">
        <v>5</v>
      </c>
      <c r="G3794" s="7" t="inlineStr">
        <is>
          <t xml:space="preserve">yum......super easy instructions to follow, and very tasty, very flakey pie crust.  </t>
        </is>
      </c>
    </row>
    <row r="3795" ht="300" customHeight="1">
      <c r="A3795" s="7" t="n">
        <v>107461</v>
      </c>
      <c r="B3795" s="7" t="n">
        <v>791457</v>
      </c>
      <c r="C3795" s="7" t="n">
        <v>263211</v>
      </c>
      <c r="D3795" s="7" t="n">
        <v>4205</v>
      </c>
      <c r="E3795" s="8" t="n">
        <v>38692</v>
      </c>
      <c r="F3795" s="7" t="n">
        <v>5</v>
      </c>
      <c r="G3795" s="9" t="inlineStr">
        <is>
          <t>Awsume,  Its a keeper._x000D_
_x000D_
With Shrimp, Used Garlic Cream Cheese. Sauce got a little to thick next time add more olive oil &amp; or milk or both.</t>
        </is>
      </c>
    </row>
    <row r="3796" ht="409.5" customHeight="1">
      <c r="A3796" s="7" t="n">
        <v>19193</v>
      </c>
      <c r="B3796" s="7" t="n">
        <v>463097</v>
      </c>
      <c r="C3796" s="7" t="n">
        <v>254614</v>
      </c>
      <c r="D3796" s="7" t="n">
        <v>255496</v>
      </c>
      <c r="E3796" s="8" t="n">
        <v>39617</v>
      </c>
      <c r="F3796" s="7" t="n">
        <v>5</v>
      </c>
      <c r="G3796" s="9" t="inlineStr">
        <is>
          <t>Great!! Class A taste! I was on a pie baking marathon the other day. I had a case of fresh rhubarb to process. I did not have fresh apples so used canned Luck's fried apples  which are thick sliced and firm, so all I did was drain the juice and save, slice the apples a little more. I mix the flour sugar and cinnamon  together before adding to the rhubarb &amp; apples._x000D_
I did add a little more butter and cinnamon.</t>
        </is>
      </c>
    </row>
    <row r="3797">
      <c r="A3797" s="7" t="n">
        <v>70182</v>
      </c>
      <c r="B3797" s="7" t="n">
        <v>580141</v>
      </c>
      <c r="C3797" s="7" t="n">
        <v>332108</v>
      </c>
      <c r="D3797" s="7" t="n">
        <v>45069</v>
      </c>
      <c r="E3797" s="8" t="n">
        <v>38990</v>
      </c>
      <c r="F3797" s="7" t="n">
        <v>5</v>
      </c>
      <c r="G3797" s="7" t="inlineStr">
        <is>
          <t xml:space="preserve">This is the only chili I will cook.  The best chili with kidney beans there is.  Simple to prepare and let cook all day.  One thing I leave out is the pureed beans.  </t>
        </is>
      </c>
    </row>
    <row r="3798">
      <c r="A3798" s="7" t="n">
        <v>49255</v>
      </c>
      <c r="B3798" s="7" t="n">
        <v>653571</v>
      </c>
      <c r="C3798" s="7" t="n">
        <v>190857</v>
      </c>
      <c r="D3798" s="7" t="n">
        <v>236658</v>
      </c>
      <c r="E3798" s="8" t="n">
        <v>41269</v>
      </c>
      <c r="F3798" s="7" t="n">
        <v>5</v>
      </c>
      <c r="G3798" s="7" t="inlineStr">
        <is>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is>
      </c>
    </row>
    <row r="3799">
      <c r="A3799" s="7" t="n">
        <v>89804</v>
      </c>
      <c r="B3799" s="7" t="n">
        <v>226325</v>
      </c>
      <c r="C3799" s="7" t="n">
        <v>804550</v>
      </c>
      <c r="D3799" s="7" t="n">
        <v>230195</v>
      </c>
      <c r="E3799" s="8" t="n">
        <v>41119</v>
      </c>
      <c r="F3799" s="7" t="n">
        <v>5</v>
      </c>
      <c r="G3799" s="7" t="inlineStr">
        <is>
          <t>Delicious! I used chocolate Toffuti and almond milk and it was very tasty! Made for Veg 'n Swap VIP!</t>
        </is>
      </c>
    </row>
    <row r="3800">
      <c r="A3800" t="n">
        <v>6926</v>
      </c>
      <c r="B3800" t="n">
        <v>893945</v>
      </c>
      <c r="C3800" t="n">
        <v>55370</v>
      </c>
      <c r="D3800" t="n">
        <v>29671</v>
      </c>
      <c r="E3800" s="1" t="n">
        <v>37578</v>
      </c>
      <c r="F3800" t="n">
        <v>5</v>
      </c>
      <c r="G3800" t="inlineStr">
        <is>
          <t>I didn,t have pecans, so used almonds and they worked fine.I'm always looking for new ways to cook with tofu so thanks for the recipe</t>
        </is>
      </c>
    </row>
    <row r="3801">
      <c r="A3801" t="n">
        <v>14857</v>
      </c>
      <c r="B3801" t="n">
        <v>937827</v>
      </c>
      <c r="C3801" t="n">
        <v>42504</v>
      </c>
      <c r="D3801" t="n">
        <v>82102</v>
      </c>
      <c r="E3801" s="1" t="n">
        <v>38209</v>
      </c>
      <c r="F3801" t="n">
        <v>5</v>
      </c>
      <c r="G3801" t="inlineStr">
        <is>
          <t>Easy and delicious.  What more can you ask for in a recipe?</t>
        </is>
      </c>
    </row>
    <row r="3802">
      <c r="A3802" s="7" t="n">
        <v>115817</v>
      </c>
      <c r="B3802" s="7" t="n">
        <v>567127</v>
      </c>
      <c r="C3802" s="7" t="n">
        <v>8377</v>
      </c>
      <c r="D3802" s="7" t="n">
        <v>360551</v>
      </c>
      <c r="E3802" s="8" t="n">
        <v>41013</v>
      </c>
      <c r="F3802" s="7" t="n">
        <v>5</v>
      </c>
      <c r="G3802" s="7" t="inlineStr">
        <is>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is>
      </c>
    </row>
    <row r="3803">
      <c r="A3803" s="7" t="n">
        <v>15156</v>
      </c>
      <c r="B3803" s="7" t="n">
        <v>464203</v>
      </c>
      <c r="C3803" s="7" t="n">
        <v>485728</v>
      </c>
      <c r="D3803" s="7" t="n">
        <v>7636</v>
      </c>
      <c r="E3803" s="8" t="n">
        <v>39914</v>
      </c>
      <c r="F3803" s="7" t="n">
        <v>5</v>
      </c>
      <c r="G3803" s="7" t="inlineStr">
        <is>
          <t>This is a pretty good salad.  I did use some mixed greens instead of just spinach.  The dressing is good, and a bit different from the usual blue cheese dressing that I have had before because it was very peppery.  It made for a tasty, simple lunch with a bit of a different take on the blue cheese dressing.  Thanks for the recipe.</t>
        </is>
      </c>
    </row>
    <row r="3804">
      <c r="A3804" s="7" t="n">
        <v>40287</v>
      </c>
      <c r="B3804" s="7" t="n">
        <v>1034728</v>
      </c>
      <c r="C3804" s="7" t="n">
        <v>2000542373</v>
      </c>
      <c r="D3804" s="7" t="n">
        <v>109283</v>
      </c>
      <c r="E3804" s="8" t="n">
        <v>42737</v>
      </c>
      <c r="F3804" s="7" t="n">
        <v>5</v>
      </c>
      <c r="G3804" s="7" t="inlineStr">
        <is>
          <t>Me and my family loved this!! Even my kids ate it really well. I did the same suggestion and baked it first, then broiled and it was amazing!! Thanks for the recipe!!</t>
        </is>
      </c>
    </row>
    <row r="3805">
      <c r="A3805" s="7" t="n">
        <v>32630</v>
      </c>
      <c r="B3805" s="7" t="n">
        <v>493935</v>
      </c>
      <c r="C3805" s="7" t="n">
        <v>589761</v>
      </c>
      <c r="D3805" s="7" t="n">
        <v>224817</v>
      </c>
      <c r="E3805" s="8" t="n">
        <v>39772</v>
      </c>
      <c r="F3805" s="7" t="n">
        <v>5</v>
      </c>
      <c r="G3805" s="7" t="inlineStr">
        <is>
          <t>This recipe was AMAZING and I'm making it for dinner for the 2nd time tonight! I skipped the whole apple/yogurt side dish and just used the yogurt to marinate the chicken. (I marinated in the fridge overnight). I cubed my chicken and put it on skewers and bbq'd it on the outside grill. Served along with long grain rice, grilled vegetables and Naan. So SOOOOO Yummy and one of my favorite recipes. Thanks!</t>
        </is>
      </c>
    </row>
    <row r="3806">
      <c r="A3806" s="7" t="n">
        <v>78741</v>
      </c>
      <c r="B3806" s="7" t="n">
        <v>248428</v>
      </c>
      <c r="C3806" s="7" t="n">
        <v>706608</v>
      </c>
      <c r="D3806" s="7" t="n">
        <v>205336</v>
      </c>
      <c r="E3806" s="8" t="n">
        <v>40679</v>
      </c>
      <c r="F3806" s="7" t="n">
        <v>3</v>
      </c>
      <c r="G3806" s="7" t="inlineStr">
        <is>
          <t>I just thought this ended up very bland. I made it omitting the chicken, and using the specified roasted cauliflower recipe, I sauteed half the onion and added it closer to the end but that was the only change. In the end I threw in 2 cups of peas, a heap of salt and pepper, a little poultry seasoning, and onion powder. It was all right, but not a make again for us.</t>
        </is>
      </c>
    </row>
    <row r="3807">
      <c r="A3807" s="7" t="n">
        <v>36138</v>
      </c>
      <c r="B3807" s="7" t="n">
        <v>433293</v>
      </c>
      <c r="C3807" s="7" t="n">
        <v>318262</v>
      </c>
      <c r="D3807" s="7" t="n">
        <v>73679</v>
      </c>
      <c r="E3807" s="8" t="n">
        <v>40488</v>
      </c>
      <c r="F3807" s="7" t="n">
        <v>5</v>
      </c>
      <c r="G3807" s="7" t="inlineStr">
        <is>
          <t>Great recipe, lot's of good flavor! I do feel like it makes way more than the suggested serving size though.</t>
        </is>
      </c>
    </row>
    <row r="3808">
      <c r="A3808" s="7" t="n">
        <v>111081</v>
      </c>
      <c r="B3808" s="7" t="n">
        <v>834340</v>
      </c>
      <c r="C3808" s="7" t="n">
        <v>177435</v>
      </c>
      <c r="D3808" s="7" t="n">
        <v>262327</v>
      </c>
      <c r="E3808" s="8" t="n">
        <v>39601</v>
      </c>
      <c r="F3808" s="7" t="n">
        <v>5</v>
      </c>
      <c r="G3808" s="7" t="inlineStr">
        <is>
          <t>Very easy and so good. My picture does not do this justice. I used peeled granny smith apples and can't wait to try other fruit. Made fdor ZWT 4. Thank you.</t>
        </is>
      </c>
    </row>
    <row r="3809">
      <c r="A3809" s="7" t="n">
        <v>100467</v>
      </c>
      <c r="B3809" s="7" t="n">
        <v>757501</v>
      </c>
      <c r="C3809" s="7" t="n">
        <v>461634</v>
      </c>
      <c r="D3809" s="7" t="n">
        <v>140047</v>
      </c>
      <c r="E3809" s="8" t="n">
        <v>39262</v>
      </c>
      <c r="F3809" s="7" t="n">
        <v>5</v>
      </c>
      <c r="G3809" s="7" t="inlineStr">
        <is>
          <t>I, too, was skeptical about the mayo, but this recipe was AWESOME!  Everyone loved it!  I didn't use the exact measurements, but eye-balled everything instead and it turned out perfect!  Definitely a keeper!</t>
        </is>
      </c>
    </row>
    <row r="3810">
      <c r="A3810" t="n">
        <v>39587</v>
      </c>
      <c r="B3810" t="n">
        <v>1104073</v>
      </c>
      <c r="C3810" t="n">
        <v>1272994</v>
      </c>
      <c r="D3810" t="n">
        <v>64446</v>
      </c>
      <c r="E3810" s="1" t="n">
        <v>39953</v>
      </c>
      <c r="F3810" t="n">
        <v>5</v>
      </c>
      <c r="G3810" t="inlineStr">
        <is>
          <t>This bread was fantastic.  My family loves going to MG and devouring their bread.  I made this last night and they said that it was awesome!  It was so easy to make.  I know that I will be making this recipe a lot!!!</t>
        </is>
      </c>
    </row>
    <row r="3811">
      <c r="A3811" s="7" t="n">
        <v>30434</v>
      </c>
      <c r="B3811" s="7" t="n">
        <v>796823</v>
      </c>
      <c r="C3811" s="7" t="n">
        <v>1186060</v>
      </c>
      <c r="D3811" s="7" t="n">
        <v>264839</v>
      </c>
      <c r="E3811" s="8" t="n">
        <v>39922</v>
      </c>
      <c r="F3811" s="7" t="n">
        <v>5</v>
      </c>
      <c r="G3811" s="7" t="inlineStr">
        <is>
          <t>I have this cookbook, and this is by far my favorite recipe!  It's sooo good!!!  I put half the red pepper b/c I'm a wimp.  Still wonderful!</t>
        </is>
      </c>
    </row>
    <row r="3812">
      <c r="A3812" s="7" t="n">
        <v>62714</v>
      </c>
      <c r="B3812" s="7" t="n">
        <v>1110321</v>
      </c>
      <c r="C3812" s="7" t="n">
        <v>95743</v>
      </c>
      <c r="D3812" s="7" t="n">
        <v>139317</v>
      </c>
      <c r="E3812" s="8" t="n">
        <v>38666</v>
      </c>
      <c r="F3812" s="7" t="n">
        <v>5</v>
      </c>
      <c r="G3812" s="7" t="inlineStr">
        <is>
          <t>I thought this was perfection even before adding the mizithra.  I had a feeling this was going to be one of those love it or hate it recipes.  We both loved it.  We'll be doing this healthy and delicious combination again, philocrates.</t>
        </is>
      </c>
    </row>
    <row r="3813">
      <c r="A3813" t="n">
        <v>42290</v>
      </c>
      <c r="B3813" t="n">
        <v>831424</v>
      </c>
      <c r="C3813" t="n">
        <v>37449</v>
      </c>
      <c r="D3813" t="n">
        <v>191134</v>
      </c>
      <c r="E3813" s="1" t="n">
        <v>39033</v>
      </c>
      <c r="F3813" t="n">
        <v>4</v>
      </c>
      <c r="G3813" t="inlineStr">
        <is>
          <t>This made a yummy, comforting casserole that  I enjoyed. The first time I bought my cheese, it accidently got dropped outside and my dog ate it, so back to the store I went. I finally got to make it and glad I did. Thanks Rita!</t>
        </is>
      </c>
    </row>
    <row r="3814" ht="409.5" customHeight="1">
      <c r="A3814" s="7" t="n">
        <v>15575</v>
      </c>
      <c r="B3814" s="7" t="n">
        <v>208277</v>
      </c>
      <c r="C3814" s="7" t="n">
        <v>92385</v>
      </c>
      <c r="D3814" s="7" t="n">
        <v>111735</v>
      </c>
      <c r="E3814" s="8" t="n">
        <v>38411</v>
      </c>
      <c r="F3814" s="7" t="n">
        <v>4</v>
      </c>
      <c r="G3814" s="9" t="inlineStr">
        <is>
          <t xml:space="preserve">Very dense, very dark, very rich . . . and yummy! I made this for a birthday gathering, and we all especially liked the raspberry filling. No seedless raspberry preserves available here, but I discovered a trick: I warmed them slightly on the stovetop, then passed them with the aid of the stamper (from a mortar and pestle-- is that the mortar or the pestle?) through a fine wiremesh sieve. Slighlty time-consuming, but did the trick. With this method, I found that half the jar of preserves is actually seeds :(  Something to remember when comparing the prices of regular versus seedless preserves! This made it easy to add the vanilla, and to spread between the layers because the seedless preserves remained more fluid. Thanks for posting._x000D_
</t>
        </is>
      </c>
    </row>
    <row r="3815">
      <c r="A3815" s="7" t="n">
        <v>46235</v>
      </c>
      <c r="B3815" s="7" t="n">
        <v>198791</v>
      </c>
      <c r="C3815" s="7" t="n">
        <v>27643</v>
      </c>
      <c r="D3815" s="7" t="n">
        <v>11717</v>
      </c>
      <c r="E3815" s="8" t="n">
        <v>37348</v>
      </c>
      <c r="F3815" s="7" t="n">
        <v>4</v>
      </c>
      <c r="G3815" s="7" t="inlineStr">
        <is>
          <t>The sausage in this dip is a very tasty alternative to ground beef. It gave it a more pronounced flavor that was delicious. We had this with plain tortilla chips and spicy Doritos and both were very good. This one is definitely a keeper!</t>
        </is>
      </c>
    </row>
    <row r="3816">
      <c r="A3816" s="7" t="n">
        <v>83019</v>
      </c>
      <c r="B3816" s="7" t="n">
        <v>1055436</v>
      </c>
      <c r="C3816" s="7" t="n">
        <v>199020</v>
      </c>
      <c r="D3816" s="7" t="n">
        <v>274515</v>
      </c>
      <c r="E3816" s="8" t="n">
        <v>40560</v>
      </c>
      <c r="F3816" s="7" t="n">
        <v>5</v>
      </c>
      <c r="G3816" s="7" t="inlineStr">
        <is>
          <t>I love chicken tortilla soups, and I'm always looking for different twists on it to spice things up. I had a package of fresh pre-cut fajita peppers and onions, so this recipe was a perfect fit. I added a little taco seasoning and some garlic powder and cumin to season the soup and a couple pinches of sugar to balance the acidity of the tomatoes. Don't substitute anything for the fire-roasted tomatoes! They make a huge difference! And don't skimp on the toppings! Cheddar cheese, green onion, avocado, sour cream, tortilla chips..yum! Delicious soup!</t>
        </is>
      </c>
    </row>
    <row r="3817">
      <c r="A3817" s="7" t="n">
        <v>32218</v>
      </c>
      <c r="B3817" s="7" t="n">
        <v>922348</v>
      </c>
      <c r="C3817" s="7" t="n">
        <v>879716</v>
      </c>
      <c r="D3817" s="7" t="n">
        <v>176016</v>
      </c>
      <c r="E3817" s="8" t="n">
        <v>40531</v>
      </c>
      <c r="F3817" s="7" t="n">
        <v>0</v>
      </c>
      <c r="G3817" s="7" t="inlineStr">
        <is>
          <t>I can't give this one a star rating yet because I quadrupled the recipe and I'm not sure it increased well.  As is, it was too pungent with vinegar and pepper.  I ended up adding a lot more brown sugar and some canola oil to balance the flavors.  To the total recipe I only added 1 large garlic clove because I didn't want that to be too overpowering.  I served the altered dressing to guests and it had rave reviews.  I'll have to try this again and not increase the recipe to see how I like it.</t>
        </is>
      </c>
    </row>
    <row r="3818">
      <c r="A3818" s="7" t="n">
        <v>16330</v>
      </c>
      <c r="B3818" s="7" t="n">
        <v>876340</v>
      </c>
      <c r="C3818" s="7" t="n">
        <v>179133</v>
      </c>
      <c r="D3818" s="7" t="n">
        <v>242235</v>
      </c>
      <c r="E3818" s="8" t="n">
        <v>39560</v>
      </c>
      <c r="F3818" s="7" t="n">
        <v>4</v>
      </c>
      <c r="G3818" s="7" t="inlineStr">
        <is>
          <t>This is really nice and not like anything I've had before. I used cranberry vodka. Thanks for the recipe!</t>
        </is>
      </c>
    </row>
    <row r="3819">
      <c r="A3819" s="7" t="n">
        <v>65584</v>
      </c>
      <c r="B3819" s="7" t="n">
        <v>873670</v>
      </c>
      <c r="C3819" s="7" t="n">
        <v>212145</v>
      </c>
      <c r="D3819" s="7" t="n">
        <v>183784</v>
      </c>
      <c r="E3819" s="8" t="n">
        <v>40306</v>
      </c>
      <c r="F3819" s="7" t="n">
        <v>5</v>
      </c>
      <c r="G3819" s="7" t="inlineStr">
        <is>
          <t>Muy bueno!  Perfect ingredients and amounts.  Spot on instructions.  I did this for a Teacher Appreciation Luncheon "Cinco de Mayo"  It was well loved!  Thanks for posting :O)</t>
        </is>
      </c>
    </row>
    <row r="3820">
      <c r="A3820" s="7" t="n">
        <v>102877</v>
      </c>
      <c r="B3820" s="7" t="n">
        <v>975579</v>
      </c>
      <c r="C3820" s="7" t="n">
        <v>203823</v>
      </c>
      <c r="D3820" s="7" t="n">
        <v>129906</v>
      </c>
      <c r="E3820" s="8" t="n">
        <v>38701</v>
      </c>
      <c r="F3820" s="7" t="n">
        <v>5</v>
      </c>
      <c r="G3820" s="7" t="inlineStr">
        <is>
          <t xml:space="preserve">I was a little disappointed in these, because I was expecting a chewy oatmeal-raisin type cookie.  Instead these are more cake-like and very sweet.  That being said, they are pretty good cookies.  I got about 25 using a cookie scoop.  </t>
        </is>
      </c>
    </row>
    <row r="3821">
      <c r="A3821" s="7" t="n">
        <v>73618</v>
      </c>
      <c r="B3821" s="7" t="n">
        <v>124042</v>
      </c>
      <c r="C3821" s="7" t="n">
        <v>194886</v>
      </c>
      <c r="D3821" s="7" t="n">
        <v>294446</v>
      </c>
      <c r="E3821" s="8" t="n">
        <v>40026</v>
      </c>
      <c r="F3821" s="7" t="n">
        <v>5</v>
      </c>
      <c r="G3821" s="7" t="inlineStr">
        <is>
          <t>I really liked the flavor of this drink, and great even blended. Thanks this was made for the summer comfort cafe 09.</t>
        </is>
      </c>
    </row>
    <row r="3822">
      <c r="A3822" s="7" t="n">
        <v>49603</v>
      </c>
      <c r="B3822" s="7" t="n">
        <v>47256</v>
      </c>
      <c r="C3822" s="7" t="n">
        <v>101823</v>
      </c>
      <c r="D3822" s="7" t="n">
        <v>58199</v>
      </c>
      <c r="E3822" s="8" t="n">
        <v>38404</v>
      </c>
      <c r="F3822" s="7" t="n">
        <v>4</v>
      </c>
      <c r="G3822" s="7" t="inlineStr">
        <is>
          <t>An interesting sandwich.  I have had grilled PB&amp;J sandwiches in the past, but hadn't considered the addition of apples.  I used a multi-grain bread, an all natural peanut butter, homemade chokecherry jelly (not sugar-free, but soooo good), and a Granny Smith apple.  I cut the cinnamon back to just a sprinkle and omitted the allspice and ginger.  A full teaspoon of the cinnamon would have been far to bitter for my taste, and I feared that the other spices would have also seemed overpowering.  I slathered the outside of the sandwich with butter and grilled.  I like the crispy bread, the creamy, melted peanut butter and the contrast of tart apples and sweet jelly.  I would omit the spices in the future.</t>
        </is>
      </c>
    </row>
    <row r="3823">
      <c r="A3823" s="7" t="n">
        <v>72282</v>
      </c>
      <c r="B3823" s="7" t="n">
        <v>310876</v>
      </c>
      <c r="C3823" s="7" t="n">
        <v>771965</v>
      </c>
      <c r="D3823" s="7" t="n">
        <v>113385</v>
      </c>
      <c r="E3823" s="8" t="n">
        <v>40326</v>
      </c>
      <c r="F3823" s="7" t="n">
        <v>2</v>
      </c>
      <c r="G3823" s="7" t="inlineStr">
        <is>
          <t>Didn't like this much.</t>
        </is>
      </c>
    </row>
    <row r="3824">
      <c r="A3824" s="7" t="n">
        <v>56444</v>
      </c>
      <c r="B3824" s="7" t="n">
        <v>67876</v>
      </c>
      <c r="C3824" s="7" t="n">
        <v>673444</v>
      </c>
      <c r="D3824" s="7" t="n">
        <v>341506</v>
      </c>
      <c r="E3824" s="8" t="n">
        <v>39972</v>
      </c>
      <c r="F3824" s="7" t="n">
        <v>5</v>
      </c>
      <c r="G3824" s="7" t="inlineStr">
        <is>
          <t>Super delicious and easy! Thanks for posting.</t>
        </is>
      </c>
    </row>
    <row r="3825">
      <c r="A3825" s="7" t="n">
        <v>120922</v>
      </c>
      <c r="B3825" s="7" t="n">
        <v>417514</v>
      </c>
      <c r="C3825" s="7" t="n">
        <v>1764291</v>
      </c>
      <c r="D3825" s="7" t="n">
        <v>85874</v>
      </c>
      <c r="E3825" s="8" t="n">
        <v>40529</v>
      </c>
      <c r="F3825" s="7" t="n">
        <v>5</v>
      </c>
      <c r="G3825" s="7" t="inlineStr">
        <is>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is>
      </c>
    </row>
    <row r="3826">
      <c r="A3826" s="7" t="n">
        <v>115721</v>
      </c>
      <c r="B3826" s="7" t="n">
        <v>798227</v>
      </c>
      <c r="C3826" s="7" t="n">
        <v>86072</v>
      </c>
      <c r="D3826" s="7" t="n">
        <v>33833</v>
      </c>
      <c r="E3826" s="8" t="n">
        <v>39013</v>
      </c>
      <c r="F3826" s="7" t="n">
        <v>5</v>
      </c>
      <c r="G3826" s="7" t="inlineStr">
        <is>
          <t xml:space="preserve">What else can I say but "AWESOME"?! These were loved by all of my Thanksgiving guests!! </t>
        </is>
      </c>
    </row>
    <row r="3827">
      <c r="A3827" s="7" t="n">
        <v>81109</v>
      </c>
      <c r="B3827" s="7" t="n">
        <v>605739</v>
      </c>
      <c r="C3827" s="7" t="n">
        <v>284180</v>
      </c>
      <c r="D3827" s="7" t="n">
        <v>264276</v>
      </c>
      <c r="E3827" s="8" t="n">
        <v>39719</v>
      </c>
      <c r="F3827" s="7" t="n">
        <v>5</v>
      </c>
      <c r="G3827" s="7" t="inlineStr">
        <is>
          <t>This was addictive!  I didn't add the extra candy either; it was great without it - I'm not sure if I'd have liked it with a fruity candy.  I used light corn syrup and light brown sugar and it looked exactly like the photo.</t>
        </is>
      </c>
    </row>
    <row r="3828">
      <c r="A3828" s="7" t="n">
        <v>98558</v>
      </c>
      <c r="B3828" s="7" t="n">
        <v>871937</v>
      </c>
      <c r="C3828" s="7" t="n">
        <v>253185</v>
      </c>
      <c r="D3828" s="7" t="n">
        <v>36013</v>
      </c>
      <c r="E3828" s="8" t="n">
        <v>38651</v>
      </c>
      <c r="F3828" s="7" t="n">
        <v>5</v>
      </c>
      <c r="G3828" s="7" t="inlineStr">
        <is>
          <t xml:space="preserve">Made this dish again last night and it rocked.  The key is to keep the temp as low a possible while browning the chicken.  This way the butter does not cook out. </t>
        </is>
      </c>
    </row>
    <row r="3829">
      <c r="A3829" s="7" t="n">
        <v>25158</v>
      </c>
      <c r="B3829" s="7" t="n">
        <v>832730</v>
      </c>
      <c r="C3829" s="7" t="n">
        <v>310518</v>
      </c>
      <c r="D3829" s="7" t="n">
        <v>218466</v>
      </c>
      <c r="E3829" s="8" t="n">
        <v>39541</v>
      </c>
      <c r="F3829" s="7" t="n">
        <v>5</v>
      </c>
      <c r="G3829" s="7" t="inlineStr">
        <is>
          <t>Well, I felt confident just from reading the ingredients that this would be a 4 star soup, but I was wrong:  It's a 5 star soup!  Wow, is this flavorful and satisfying, not to mention easy to make! I made it exactly as written, using hot Italian sausage.  Fresh grated parmesan is the perfect complement.  Made for PAC Spring 2008.  Thanks, Chef Romie!</t>
        </is>
      </c>
    </row>
    <row r="3830">
      <c r="A3830" s="7" t="n">
        <v>96630</v>
      </c>
      <c r="B3830" s="7" t="n">
        <v>525557</v>
      </c>
      <c r="C3830" s="7" t="n">
        <v>2223376</v>
      </c>
      <c r="D3830" s="7" t="n">
        <v>107281</v>
      </c>
      <c r="E3830" s="8" t="n">
        <v>41643</v>
      </c>
      <c r="F3830" s="7" t="n">
        <v>5</v>
      </c>
      <c r="G3830" s="7" t="inlineStr">
        <is>
          <t>BEST SOUP EVER! Made exactly as recipe says.  Used homemade broth &amp;amp; the flavor was out of this world.</t>
        </is>
      </c>
    </row>
    <row r="3831">
      <c r="A3831" s="7" t="n">
        <v>102591</v>
      </c>
      <c r="B3831" s="7" t="n">
        <v>453986</v>
      </c>
      <c r="C3831" s="7" t="n">
        <v>296027</v>
      </c>
      <c r="D3831" s="7" t="n">
        <v>291695</v>
      </c>
      <c r="E3831" s="8" t="n">
        <v>39572</v>
      </c>
      <c r="F3831" s="7" t="n">
        <v>5</v>
      </c>
      <c r="G3831" s="7" t="inlineStr">
        <is>
          <t>Tasty little coffee nightcap!   I enjoyed this greatly - it maybe a new favorite on a chilly day! **Made for PAC 2008**</t>
        </is>
      </c>
    </row>
    <row r="3832">
      <c r="A3832" s="7" t="n">
        <v>16440</v>
      </c>
      <c r="B3832" s="7" t="n">
        <v>316073</v>
      </c>
      <c r="C3832" s="7" t="n">
        <v>269161</v>
      </c>
      <c r="D3832" s="7" t="n">
        <v>328936</v>
      </c>
      <c r="E3832" s="8" t="n">
        <v>40514</v>
      </c>
      <c r="F3832" s="7" t="n">
        <v>5</v>
      </c>
      <c r="G3832" s="7" t="inlineStr">
        <is>
          <t>I made these one day on a whim, even subing gluten free flour they turned out womderfully! So good that when I shared them at work everyone asked about how to make them!</t>
        </is>
      </c>
    </row>
    <row r="3833">
      <c r="A3833" s="7" t="n">
        <v>13791</v>
      </c>
      <c r="B3833" s="7" t="n">
        <v>320566</v>
      </c>
      <c r="C3833" s="7" t="n">
        <v>52282</v>
      </c>
      <c r="D3833" s="7" t="n">
        <v>63092</v>
      </c>
      <c r="E3833" s="8" t="n">
        <v>38123</v>
      </c>
      <c r="F3833" s="7" t="n">
        <v>2</v>
      </c>
      <c r="G3833" s="7" t="inlineStr">
        <is>
          <t>rita, this is not like your usual wonderful recipes. i was dissapointed with this dish. i use canned clam sauce on occasion but i doctor it with white whine and garlic. this dish was very liquidy. i tried to reduce it, but no go , so i wound up adding come arrowroot to thicken it. i served it over pasta, but it was bland, red pepper flakes helped a bit. sorry we didn't enjoy this .</t>
        </is>
      </c>
    </row>
    <row r="3834">
      <c r="A3834" s="7" t="n">
        <v>30539</v>
      </c>
      <c r="B3834" s="7" t="n">
        <v>690791</v>
      </c>
      <c r="C3834" s="7" t="n">
        <v>210117</v>
      </c>
      <c r="D3834" s="7" t="n">
        <v>130687</v>
      </c>
      <c r="E3834" s="8" t="n">
        <v>40771</v>
      </c>
      <c r="F3834" s="7" t="n">
        <v>5</v>
      </c>
      <c r="G3834" s="7" t="inlineStr">
        <is>
          <t>5 Stars for easy and tasty!  I used swiss cheese instead of cheddar and it was good, it will be great with cheddar...loved how fast it was to prepare, thank you!</t>
        </is>
      </c>
    </row>
    <row r="3835">
      <c r="A3835" s="7" t="n">
        <v>57082</v>
      </c>
      <c r="B3835" s="7" t="n">
        <v>348943</v>
      </c>
      <c r="C3835" s="7" t="n">
        <v>1507386</v>
      </c>
      <c r="D3835" s="7" t="n">
        <v>50719</v>
      </c>
      <c r="E3835" s="8" t="n">
        <v>41225</v>
      </c>
      <c r="F3835" s="7" t="n">
        <v>4</v>
      </c>
      <c r="G3835" s="7" t="inlineStr">
        <is>
          <t>Mine taste awesome but I used frozen, so they were all blue and didnt rise much and the berries sunk....next time I will thaw them first. Still tasty :) Recipe should say thawed blueberries.</t>
        </is>
      </c>
    </row>
    <row r="3836">
      <c r="A3836" s="7" t="n">
        <v>22218</v>
      </c>
      <c r="B3836" s="7" t="n">
        <v>125088</v>
      </c>
      <c r="C3836" s="7" t="n">
        <v>101823</v>
      </c>
      <c r="D3836" s="7" t="n">
        <v>36009</v>
      </c>
      <c r="E3836" s="8" t="n">
        <v>38147</v>
      </c>
      <c r="F3836" s="7" t="n">
        <v>4</v>
      </c>
      <c r="G3836" s="7" t="inlineStr">
        <is>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is>
      </c>
    </row>
    <row r="3837" ht="409.5" customHeight="1">
      <c r="A3837" s="7" t="n">
        <v>1623</v>
      </c>
      <c r="B3837" s="7" t="n">
        <v>286333</v>
      </c>
      <c r="C3837" s="7" t="n">
        <v>312760</v>
      </c>
      <c r="D3837" s="7" t="n">
        <v>22179</v>
      </c>
      <c r="E3837" s="8" t="n">
        <v>38942</v>
      </c>
      <c r="F3837" s="7" t="n">
        <v>5</v>
      </c>
      <c r="G3837" s="9" t="inlineStr">
        <is>
          <t>Great recipe. By far the best raisin bread that I have every made. I didn't do the egg wash or sugar before putting it in the oven. The other thing I did was double the amount of raisins. _x000D_
One thing I will do differently next time is use less butter. I thought the amount was too much. I think I cut cut it by one third .</t>
        </is>
      </c>
    </row>
    <row r="3838">
      <c r="A3838" s="7" t="n">
        <v>66804</v>
      </c>
      <c r="B3838" s="7" t="n">
        <v>747516</v>
      </c>
      <c r="C3838" s="7" t="n">
        <v>31663</v>
      </c>
      <c r="D3838" s="7" t="n">
        <v>49200</v>
      </c>
      <c r="E3838" s="8" t="n">
        <v>37635</v>
      </c>
      <c r="F3838" s="7" t="n">
        <v>4</v>
      </c>
      <c r="G3838" s="7" t="inlineStr">
        <is>
          <t>These are very tasty.  I was cooking chicken strips with them so after about 40 minutes I kranked the oven to 450.  These came out crispy on the outside and tender inside.  It takes a lot to impress my boys and this did it.</t>
        </is>
      </c>
    </row>
    <row r="3839">
      <c r="A3839" t="n">
        <v>91951</v>
      </c>
      <c r="B3839" t="n">
        <v>153744</v>
      </c>
      <c r="C3839" t="n">
        <v>727055</v>
      </c>
      <c r="D3839" t="n">
        <v>93223</v>
      </c>
      <c r="E3839" s="1" t="n">
        <v>39577</v>
      </c>
      <c r="F3839" t="n">
        <v>5</v>
      </c>
      <c r="G3839" t="inlineStr">
        <is>
          <t>Easy and tasty! What a nice addition to my salad. Thank you for sharing!</t>
        </is>
      </c>
    </row>
    <row r="3840">
      <c r="A3840" s="7" t="n">
        <v>68231</v>
      </c>
      <c r="B3840" s="7" t="n">
        <v>68116</v>
      </c>
      <c r="C3840" s="7" t="n">
        <v>1803755426</v>
      </c>
      <c r="D3840" s="7" t="n">
        <v>280743</v>
      </c>
      <c r="E3840" s="8" t="n">
        <v>42042</v>
      </c>
      <c r="F3840" s="7" t="n">
        <v>5</v>
      </c>
      <c r="G3840" s="7" t="inlineStr">
        <is>
          <t>Very tasty, and easy to make. I baked at 400 degress a little longer than 30 min, but not much longer. I guess oven temps vary so had to add a few min. I tried adding a little shredded cheddar cheese &amp;amp; some bacon bits (as someone suggested) on top after cooked all the way. Then put back in oven for a min or two just the melt the cheese. Yummy. Husband took seconds right away.</t>
        </is>
      </c>
    </row>
    <row r="3841">
      <c r="A3841" s="7" t="n">
        <v>102262</v>
      </c>
      <c r="B3841" s="7" t="n">
        <v>289665</v>
      </c>
      <c r="C3841" s="7" t="n">
        <v>742873</v>
      </c>
      <c r="D3841" s="7" t="n">
        <v>83890</v>
      </c>
      <c r="E3841" s="8" t="n">
        <v>40682</v>
      </c>
      <c r="F3841" s="7" t="n">
        <v>5</v>
      </c>
      <c r="G3841" s="7" t="inlineStr">
        <is>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is>
      </c>
    </row>
    <row r="3842">
      <c r="A3842" s="7" t="n">
        <v>103440</v>
      </c>
      <c r="B3842" s="7" t="n">
        <v>894697</v>
      </c>
      <c r="C3842" s="7" t="n">
        <v>32772</v>
      </c>
      <c r="D3842" s="7" t="n">
        <v>136577</v>
      </c>
      <c r="E3842" s="8" t="n">
        <v>38603</v>
      </c>
      <c r="F3842" s="7" t="n">
        <v>5</v>
      </c>
      <c r="G3842" s="7" t="inlineStr">
        <is>
          <t>Quick, Easy and Makes a nice Side Dish.  Served it with My Ultimate Meatloaf and Scallope Potatoes. Thanks for posting.</t>
        </is>
      </c>
    </row>
    <row r="3843">
      <c r="A3843" s="7" t="n">
        <v>118780</v>
      </c>
      <c r="B3843" s="7" t="n">
        <v>297804</v>
      </c>
      <c r="C3843" s="7" t="n">
        <v>22642</v>
      </c>
      <c r="D3843" s="7" t="n">
        <v>64468</v>
      </c>
      <c r="E3843" s="8" t="n">
        <v>38412</v>
      </c>
      <c r="F3843" s="7" t="n">
        <v>4</v>
      </c>
      <c r="G3843" s="7" t="inlineStr">
        <is>
          <t xml:space="preserve">I halved this recipe for one loaf. This is a very moist quickbread similar to a banana nut bread. It has a sweet, thick crust and a very moist inside. I felt the walnuts overpowdered the delicate, fragrant melon taste so I think the next time I make this, I will use a more mild flavoured nut like almonds or macadamia nuts, or just leave out the nuts all together. Do not try to cut it while it's still steaming hot or warm because it doesn't cut well when hot. </t>
        </is>
      </c>
    </row>
    <row r="3844" ht="409.5" customHeight="1">
      <c r="A3844" s="7" t="n">
        <v>114521</v>
      </c>
      <c r="B3844" s="7" t="n">
        <v>971494</v>
      </c>
      <c r="C3844" s="7" t="n">
        <v>41578</v>
      </c>
      <c r="D3844" s="7" t="n">
        <v>63127</v>
      </c>
      <c r="E3844" s="8" t="n">
        <v>37791</v>
      </c>
      <c r="F3844" s="7" t="n">
        <v>5</v>
      </c>
      <c r="G3844" s="9" t="inlineStr">
        <is>
          <t xml:space="preserve">This is a great tasting casserole! I made it the day before and refrigerated it.  The next day, I just popped it in the oven.  Everyone loved it.  I followed you instructions exactly using cooked cubed chicken.  Thank you so much AuntWoofie for sharing a great dish.  :-)_x000D_
</t>
        </is>
      </c>
    </row>
    <row r="3845">
      <c r="A3845" s="7" t="n">
        <v>61626</v>
      </c>
      <c r="B3845" s="7" t="n">
        <v>76480</v>
      </c>
      <c r="C3845" s="7" t="n">
        <v>131126</v>
      </c>
      <c r="D3845" s="7" t="n">
        <v>131044</v>
      </c>
      <c r="E3845" s="8" t="n">
        <v>38702</v>
      </c>
      <c r="F3845" s="7" t="n">
        <v>5</v>
      </c>
      <c r="G3845" s="7" t="inlineStr">
        <is>
          <t xml:space="preserve">I found this recipe to be easy to use and the result worth the trouble of making.  I found the resting time an important step. It gives the dough time to become pliable and helped with the rolling of the tortillas. Thank you Charmie!  =) </t>
        </is>
      </c>
    </row>
    <row r="3846">
      <c r="A3846" s="7" t="n">
        <v>42934</v>
      </c>
      <c r="B3846" s="7" t="n">
        <v>369167</v>
      </c>
      <c r="C3846" s="7" t="n">
        <v>172169</v>
      </c>
      <c r="D3846" s="7" t="n">
        <v>26078</v>
      </c>
      <c r="E3846" s="8" t="n">
        <v>38330</v>
      </c>
      <c r="F3846" s="7" t="n">
        <v>3</v>
      </c>
      <c r="G3846" s="7" t="inlineStr">
        <is>
          <t>Intriguing combination. Not liked unanimously by my family, but an interesting change from the usual. Thanks.</t>
        </is>
      </c>
    </row>
    <row r="3847">
      <c r="A3847" s="7" t="n">
        <v>8309</v>
      </c>
      <c r="B3847" s="7" t="n">
        <v>1068354</v>
      </c>
      <c r="C3847" s="7" t="n">
        <v>2002078839</v>
      </c>
      <c r="D3847" s="7" t="n">
        <v>32142</v>
      </c>
      <c r="E3847" s="8" t="n">
        <v>43186</v>
      </c>
      <c r="F3847" s="7" t="n">
        <v>0</v>
      </c>
      <c r="G3847" s="7" t="inlineStr">
        <is>
          <t>While I appreciated the simplicity of the recipe, I found it way too bland and watery. I adjusted by adding more salt, pepper and incorporated dill.</t>
        </is>
      </c>
    </row>
    <row r="3848">
      <c r="A3848" s="7" t="n">
        <v>52264</v>
      </c>
      <c r="B3848" s="7" t="n">
        <v>969956</v>
      </c>
      <c r="C3848" s="7" t="n">
        <v>3205</v>
      </c>
      <c r="D3848" s="7" t="n">
        <v>245387</v>
      </c>
      <c r="E3848" s="8" t="n">
        <v>39339</v>
      </c>
      <c r="F3848" s="7" t="n">
        <v>4</v>
      </c>
      <c r="G3848" s="7" t="inlineStr">
        <is>
          <t>This was easy to prepare and I enjoyed it.  I used the chicken broth and the peas.  The flavor was really good and I didn't change or add anything!  Made for Fall PAC 2007</t>
        </is>
      </c>
    </row>
    <row r="3849">
      <c r="A3849" s="7" t="n">
        <v>118032</v>
      </c>
      <c r="B3849" s="7" t="n">
        <v>239621</v>
      </c>
      <c r="C3849" s="7" t="n">
        <v>430765</v>
      </c>
      <c r="D3849" s="7" t="n">
        <v>194297</v>
      </c>
      <c r="E3849" s="8" t="n">
        <v>39909</v>
      </c>
      <c r="F3849" s="7" t="n">
        <v>5</v>
      </c>
      <c r="G3849" s="7" t="inlineStr">
        <is>
          <t>The garlic-parmesan breading is very tasty!  My pork chops came out a little dry, not because of your recipe- but I can not seem to prepare good moist pork chops.  My husband and I agreed that the breading would make an awesome chicken parmesan.  Thank you for sharing your recipe!</t>
        </is>
      </c>
    </row>
    <row r="3850">
      <c r="A3850" s="7" t="n">
        <v>69329</v>
      </c>
      <c r="B3850" s="7" t="n">
        <v>774326</v>
      </c>
      <c r="C3850" s="7" t="n">
        <v>2001397975</v>
      </c>
      <c r="D3850" s="7" t="n">
        <v>128956</v>
      </c>
      <c r="E3850" s="8" t="n">
        <v>42844</v>
      </c>
      <c r="F3850" s="7" t="n">
        <v>0</v>
      </c>
      <c r="G3850" s="7" t="inlineStr">
        <is>
          <t>Sounds delicious but lacking protein. Any comments on that. I guess I would have to add some lentils or other beans....as I am not weight watcher.</t>
        </is>
      </c>
    </row>
    <row r="3851">
      <c r="A3851" s="7" t="n">
        <v>30935</v>
      </c>
      <c r="B3851" s="7" t="n">
        <v>579110</v>
      </c>
      <c r="C3851" s="7" t="n">
        <v>855206</v>
      </c>
      <c r="D3851" s="7" t="n">
        <v>48606</v>
      </c>
      <c r="E3851" s="8" t="n">
        <v>39702</v>
      </c>
      <c r="F3851" s="7" t="n">
        <v>5</v>
      </c>
      <c r="G3851" s="7" t="inlineStr">
        <is>
          <t>This was awesome.  Didn't expect it to be THAT good.  Wow!  It was!  Everyone loved it, including my 5-year-old.  He usually won't eat anything.</t>
        </is>
      </c>
    </row>
    <row r="3852">
      <c r="A3852" s="7" t="n">
        <v>45647</v>
      </c>
      <c r="B3852" s="7" t="n">
        <v>453496</v>
      </c>
      <c r="C3852" s="7" t="n">
        <v>542159</v>
      </c>
      <c r="D3852" s="7" t="n">
        <v>372563</v>
      </c>
      <c r="E3852" s="8" t="n">
        <v>41504</v>
      </c>
      <c r="F3852" s="7" t="n">
        <v>5</v>
      </c>
      <c r="G3852" s="7" t="inlineStr">
        <is>
          <t>So tasty and healthy not to mention easy, we thought this had a great balance of flavors and the cool bell pepper worked so well with the warmth of the spices. I made using red and yellow bell pepper, note to self can skip the parsley but do not skip the cilantro. Thanks for the post.</t>
        </is>
      </c>
    </row>
    <row r="3853">
      <c r="A3853" s="7" t="n">
        <v>97615</v>
      </c>
      <c r="B3853" s="7" t="n">
        <v>197019</v>
      </c>
      <c r="C3853" s="7" t="n">
        <v>62494</v>
      </c>
      <c r="D3853" s="7" t="n">
        <v>50307</v>
      </c>
      <c r="E3853" s="8" t="n">
        <v>37748</v>
      </c>
      <c r="F3853" s="7" t="n">
        <v>5</v>
      </c>
      <c r="G3853" s="7" t="inlineStr">
        <is>
          <t>I misread the directions and blended in the blueberries so they were pretty much pureed.  I guess what you meant was to leave them whole.  Oh well, that was my fault.  Still turned out very good.  I mixed it in a blender because I don't have a food processor and that seemed to work fine.  I added some chopped bananas to it to make up for the pureed blueberries.  Very good.  Will make this again because I am curious to find out how it is supposed to taste and because it was really good and healthy.</t>
        </is>
      </c>
    </row>
    <row r="3854">
      <c r="A3854" s="7" t="n">
        <v>44154</v>
      </c>
      <c r="B3854" s="7" t="n">
        <v>1088994</v>
      </c>
      <c r="C3854" s="7" t="n">
        <v>375244</v>
      </c>
      <c r="D3854" s="7" t="n">
        <v>25348</v>
      </c>
      <c r="E3854" s="8" t="n">
        <v>39070</v>
      </c>
      <c r="F3854" s="7" t="n">
        <v>5</v>
      </c>
      <c r="G3854" s="7" t="inlineStr">
        <is>
          <t>WOW!!! I want to give this recipe a zillion stars..this was my first attempt at Palak Paneer and it was a hit with my hubby (a man who is in love with Punjabi food). I tweeked the recipe by adding the cinnamon stick (instead of powder), added whole cardamom pieces and used half &amp; half instead of cream..otherwise everything stayed the same..thanks again for a yummy recipe. Note: make this 1 day before you intend on serving it..the flavors come together beautifully the next day!!</t>
        </is>
      </c>
    </row>
    <row r="3855">
      <c r="A3855" s="7" t="n">
        <v>32664</v>
      </c>
      <c r="B3855" s="7" t="n">
        <v>588811</v>
      </c>
      <c r="C3855" s="7" t="n">
        <v>929901</v>
      </c>
      <c r="D3855" s="7" t="n">
        <v>33006</v>
      </c>
      <c r="E3855" s="8" t="n">
        <v>40352</v>
      </c>
      <c r="F3855" s="7" t="n">
        <v>5</v>
      </c>
      <c r="G3855" s="7" t="inlineStr">
        <is>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is>
      </c>
    </row>
    <row r="3856">
      <c r="A3856" s="7" t="n">
        <v>110723</v>
      </c>
      <c r="B3856" s="7" t="n">
        <v>268902</v>
      </c>
      <c r="C3856" s="7" t="n">
        <v>37449</v>
      </c>
      <c r="D3856" s="7" t="n">
        <v>33260</v>
      </c>
      <c r="E3856" s="8" t="n">
        <v>37534</v>
      </c>
      <c r="F3856" s="7" t="n">
        <v>5</v>
      </c>
      <c r="G3856" s="7" t="inlineStr">
        <is>
          <t>A definate 5 stars! This was delish! I didn't have cilantro so I substituted parsley(cilantro would make it even better) and didn't have chilli sauce so I substituted szchwan peanut sauce...and I didn't have lemongrass, so I squeezed some lime juice. My whole family loved it! Thanks!</t>
        </is>
      </c>
    </row>
    <row r="3857">
      <c r="A3857" s="7" t="n">
        <v>63167</v>
      </c>
      <c r="B3857" s="7" t="n">
        <v>1060210</v>
      </c>
      <c r="C3857" s="7" t="n">
        <v>322381</v>
      </c>
      <c r="D3857" s="7" t="n">
        <v>112566</v>
      </c>
      <c r="E3857" s="8" t="n">
        <v>39309</v>
      </c>
      <c r="F3857" s="7" t="n">
        <v>2</v>
      </c>
      <c r="G3857" s="7" t="inlineStr">
        <is>
          <t>I thought this was ok, but DH and MIL did not. It was easy to prepare, and the directions were fine....I had to add cornstarch to thicken as well....but, overall, it's kind of unappealingly sweet. MAYBE I'd consider making lemon curd myself, and thus controlling the sweetness, but it's not worth it to me to try to make this again. Spent a lot on the lemon curd jar with high hopes, but came away rather disappointed.</t>
        </is>
      </c>
    </row>
    <row r="3858">
      <c r="A3858" s="7" t="n">
        <v>44023</v>
      </c>
      <c r="B3858" s="7" t="n">
        <v>295866</v>
      </c>
      <c r="C3858" s="7" t="n">
        <v>76074</v>
      </c>
      <c r="D3858" s="7" t="n">
        <v>46922</v>
      </c>
      <c r="E3858" s="8" t="n">
        <v>39118</v>
      </c>
      <c r="F3858" s="7" t="n">
        <v>5</v>
      </c>
      <c r="G3858" s="7" t="inlineStr">
        <is>
          <t>I have made this recipe twice now and it has turned out perfectly both times.   It really does make the best tasting ham!</t>
        </is>
      </c>
    </row>
    <row r="3859">
      <c r="A3859" s="7" t="n">
        <v>23337</v>
      </c>
      <c r="B3859" s="7" t="n">
        <v>136667</v>
      </c>
      <c r="C3859" s="7" t="n">
        <v>249591</v>
      </c>
      <c r="D3859" s="7" t="n">
        <v>44888</v>
      </c>
      <c r="E3859" s="8" t="n">
        <v>39338</v>
      </c>
      <c r="F3859" s="7" t="n">
        <v>5</v>
      </c>
      <c r="G3859" s="7" t="inlineStr">
        <is>
          <t>These were so yummy!  I didn't quite have enough honey so I added some brown sugar.  Used garlic powder(didn't have garlic) and added a little powdered ginger, too.  These were finger licking good!  I will make these again!</t>
        </is>
      </c>
    </row>
    <row r="3860">
      <c r="A3860" s="7" t="n">
        <v>85645</v>
      </c>
      <c r="B3860" s="7" t="n">
        <v>337830</v>
      </c>
      <c r="C3860" s="7" t="n">
        <v>113941</v>
      </c>
      <c r="D3860" s="7" t="n">
        <v>61275</v>
      </c>
      <c r="E3860" s="8" t="n">
        <v>38951</v>
      </c>
      <c r="F3860" s="7" t="n">
        <v>3</v>
      </c>
      <c r="G3860" s="7" t="inlineStr">
        <is>
          <t>I'm so sorry, but this didn't work out very well for us at all. The breading was wet, (top and bottom),even after broiling it, and we had to wipe it off. I think next time I will try frying it in a saute pan in just a LITTLE butter and wine on both sides til lightly browned, then (if needed) finish it off in the oven for a few minutes. Baking it just didn't work for us. So sorry! The fish itself tasted very good, though!! I will try this again, just changing the cooking method a little. ;)</t>
        </is>
      </c>
    </row>
    <row r="3861">
      <c r="A3861" s="7" t="n">
        <v>107235</v>
      </c>
      <c r="B3861" s="7" t="n">
        <v>1022015</v>
      </c>
      <c r="C3861" s="7" t="n">
        <v>294455</v>
      </c>
      <c r="D3861" s="7" t="n">
        <v>21597</v>
      </c>
      <c r="E3861" s="8" t="n">
        <v>38869</v>
      </c>
      <c r="F3861" s="7" t="n">
        <v>5</v>
      </c>
      <c r="G3861" s="7" t="inlineStr">
        <is>
          <t>very yummy!!  very moist!</t>
        </is>
      </c>
    </row>
    <row r="3862">
      <c r="A3862" s="7" t="n">
        <v>116543</v>
      </c>
      <c r="B3862" s="7" t="n">
        <v>272324</v>
      </c>
      <c r="C3862" s="7" t="n">
        <v>302094</v>
      </c>
      <c r="D3862" s="7" t="n">
        <v>101814</v>
      </c>
      <c r="E3862" s="8" t="n">
        <v>39107</v>
      </c>
      <c r="F3862" s="7" t="n">
        <v>5</v>
      </c>
      <c r="G3862" s="7" t="inlineStr">
        <is>
          <t>I just made these for my kids for breakfast. They seem to like them, thats why I'm giving them 5 stars. I don't care for them though, it's a good thing they are for them. They are very easy to make and I didn't change a thing. Thanks for an easy breakfast alternative for my little ones.</t>
        </is>
      </c>
    </row>
    <row r="3863">
      <c r="A3863" s="7" t="n">
        <v>14659</v>
      </c>
      <c r="B3863" s="7" t="n">
        <v>1057119</v>
      </c>
      <c r="C3863" s="7" t="n">
        <v>814629</v>
      </c>
      <c r="D3863" s="7" t="n">
        <v>255467</v>
      </c>
      <c r="E3863" s="8" t="n">
        <v>39549</v>
      </c>
      <c r="F3863" s="7" t="n">
        <v>5</v>
      </c>
      <c r="G3863" s="7" t="inlineStr">
        <is>
          <t>I made this recipe with 3 zucchini and omitted the onions.  My 5 year old son, who loves Japanese food, said that mine were better than the Japanese restaurant's.  Now that's a complement!</t>
        </is>
      </c>
    </row>
    <row r="3864">
      <c r="A3864" s="7" t="n">
        <v>105306</v>
      </c>
      <c r="B3864" s="7" t="n">
        <v>414296</v>
      </c>
      <c r="C3864" s="7" t="n">
        <v>85250</v>
      </c>
      <c r="D3864" s="7" t="n">
        <v>70279</v>
      </c>
      <c r="E3864" s="8" t="n">
        <v>38146</v>
      </c>
      <c r="F3864" s="7" t="n">
        <v>5</v>
      </c>
      <c r="G3864" s="7" t="inlineStr">
        <is>
          <t xml:space="preserve">This was awesome - would definitely make it again.  </t>
        </is>
      </c>
    </row>
    <row r="3865">
      <c r="A3865" s="7" t="n">
        <v>88467</v>
      </c>
      <c r="B3865" s="7" t="n">
        <v>848691</v>
      </c>
      <c r="C3865" s="7" t="n">
        <v>724516</v>
      </c>
      <c r="D3865" s="7" t="n">
        <v>399923</v>
      </c>
      <c r="E3865" s="8" t="n">
        <v>40551</v>
      </c>
      <c r="F3865" s="7" t="n">
        <v>5</v>
      </c>
      <c r="G3865" s="7" t="inlineStr">
        <is>
          <t>I loved the sound of this cake it sounded lovely and it is lovely. I changed it a wee bit as I am diabetic and wanted to make it more suitable for myself, so I used currants as they are better than the other kinds of fruit, also I used 1/4 cup of vanilla sugar, and 1/4 cup of splenda, and It was just the right sweetness for me. I did use the butter maybe I should of used my margarine but I thought the butter would give it that rich flavour and it did. I will only have a small piece if I can leave it alone so I don't think the butter will do any damage to my diet it had a very nice aroma when it was baking. thank you for posting. Made for January tag game Saffron 2011.</t>
        </is>
      </c>
    </row>
    <row r="3866">
      <c r="A3866" s="7" t="n">
        <v>58386</v>
      </c>
      <c r="B3866" s="7" t="n">
        <v>135850</v>
      </c>
      <c r="C3866" s="7" t="n">
        <v>334991</v>
      </c>
      <c r="D3866" s="7" t="n">
        <v>59895</v>
      </c>
      <c r="E3866" s="8" t="n">
        <v>39081</v>
      </c>
      <c r="F3866" s="7" t="n">
        <v>5</v>
      </c>
      <c r="G3866" s="7" t="inlineStr">
        <is>
          <t>This got rave reviews from everyone.  Excellent recipe for very rich, dense brownies.</t>
        </is>
      </c>
    </row>
    <row r="3867">
      <c r="A3867" s="7" t="n">
        <v>52673</v>
      </c>
      <c r="B3867" s="7" t="n">
        <v>777420</v>
      </c>
      <c r="C3867" s="7" t="n">
        <v>2776766</v>
      </c>
      <c r="D3867" s="7" t="n">
        <v>438926</v>
      </c>
      <c r="E3867" s="8" t="n">
        <v>41373</v>
      </c>
      <c r="F3867" s="7" t="n">
        <v>2</v>
      </c>
      <c r="G3867" s="7" t="inlineStr">
        <is>
          <t>We made this recipe last night, following the directions closely.  We found the broth of the soup to be too spicy, too much cinnamon, cloves, and cardamom.  If we were to make this recipe again, we would use just a dash of the aforementioned spices, not a whole tablespoon of each.  We have a Vietnamese restaurant close to us where we get our Pho so we are familiar with how it should taste.  Recipe has potential, just dial back the spices if you choose to make it.</t>
        </is>
      </c>
    </row>
    <row r="3868">
      <c r="A3868" s="7" t="n">
        <v>110273</v>
      </c>
      <c r="B3868" s="7" t="n">
        <v>665857</v>
      </c>
      <c r="C3868" s="7" t="n">
        <v>425105</v>
      </c>
      <c r="D3868" s="7" t="n">
        <v>489946</v>
      </c>
      <c r="E3868" s="8" t="n">
        <v>42758</v>
      </c>
      <c r="F3868" s="7" t="n">
        <v>5</v>
      </c>
      <c r="G3868" s="7" t="inlineStr">
        <is>
          <t>Wow! This is amazing. I intended to cut the recipe in half, cutting the butter in half. Then I ended up using a single large garlic clove because I love garlic bread, and ended up upping the olives and parsley a bit too. Threw everything into a mini-chopper and pulsed it until the olives were well chopped. OMG...SO good. Followed the recipe of letting it sit room temp for a few hours before using it to make some garlic bread. I started the bread on the grill but since it wasn't all melted when the steak was done, I finished it up under the oven broiler for a minute or so. This is company worthy butter. Would also be great on a steak or pasta. Can't wait to try it that way too.</t>
        </is>
      </c>
    </row>
    <row r="3869">
      <c r="A3869" s="7" t="n">
        <v>43346</v>
      </c>
      <c r="B3869" s="7" t="n">
        <v>266209</v>
      </c>
      <c r="C3869" s="7" t="n">
        <v>2000360645</v>
      </c>
      <c r="D3869" s="7" t="n">
        <v>107786</v>
      </c>
      <c r="E3869" s="8" t="n">
        <v>42210</v>
      </c>
      <c r="F3869" s="7" t="n">
        <v>0</v>
      </c>
      <c r="G3869" s="7" t="inlineStr">
        <is>
          <t>I want to try this but a bit confused when I apply the liquid smoke? I wanted to try the oven and grill method. Do I apply the liquid smoke then the dry rub then put it on the grill then apply the sauce at the end?</t>
        </is>
      </c>
    </row>
    <row r="3870">
      <c r="A3870" s="7" t="n">
        <v>58723</v>
      </c>
      <c r="B3870" s="7" t="n">
        <v>563872</v>
      </c>
      <c r="C3870" s="7" t="n">
        <v>1662660</v>
      </c>
      <c r="D3870" s="7" t="n">
        <v>125618</v>
      </c>
      <c r="E3870" s="8" t="n">
        <v>41001</v>
      </c>
      <c r="F3870" s="7" t="n">
        <v>4</v>
      </c>
      <c r="G3870" s="7" t="inlineStr">
        <is>
          <t>Very tasty!</t>
        </is>
      </c>
    </row>
    <row r="3871">
      <c r="A3871" s="7" t="n">
        <v>9431</v>
      </c>
      <c r="B3871" s="7" t="n">
        <v>961479</v>
      </c>
      <c r="C3871" s="7" t="n">
        <v>63237</v>
      </c>
      <c r="D3871" s="7" t="n">
        <v>118477</v>
      </c>
      <c r="E3871" s="8" t="n">
        <v>39142</v>
      </c>
      <c r="F3871" s="7" t="n">
        <v>5</v>
      </c>
      <c r="G3871" s="7" t="inlineStr">
        <is>
          <t>This was wonderful! It was so moist and I loved the cinnamon topping. I made a loaf and 12 muffins and both came out perfectly. I know I will be making this bread a lot! Thank you for the wonderful recipe!</t>
        </is>
      </c>
    </row>
    <row r="3872">
      <c r="A3872" s="7" t="n">
        <v>29137</v>
      </c>
      <c r="B3872" s="7" t="n">
        <v>247180</v>
      </c>
      <c r="C3872" s="7" t="n">
        <v>101301</v>
      </c>
      <c r="D3872" s="7" t="n">
        <v>258779</v>
      </c>
      <c r="E3872" s="8" t="n">
        <v>39506</v>
      </c>
      <c r="F3872" s="7" t="n">
        <v>5</v>
      </c>
      <c r="G3872" s="7" t="inlineStr">
        <is>
          <t>absolutely delicious.....one of my husband's favorites...</t>
        </is>
      </c>
    </row>
    <row r="3873">
      <c r="A3873" s="7" t="n">
        <v>95310</v>
      </c>
      <c r="B3873" s="7" t="n">
        <v>20303</v>
      </c>
      <c r="C3873" s="7" t="n">
        <v>1226586</v>
      </c>
      <c r="D3873" s="7" t="n">
        <v>141715</v>
      </c>
      <c r="E3873" s="8" t="n">
        <v>40106</v>
      </c>
      <c r="F3873" s="7" t="n">
        <v>5</v>
      </c>
      <c r="G3873" s="7" t="inlineStr">
        <is>
          <t>This has been my go to carrot cake for a long time. I've even made a wedding cake with this recipe. Lost the page from my BHG book :(  so I was happy to find it here. Thanks!</t>
        </is>
      </c>
    </row>
    <row r="3874">
      <c r="A3874" s="7" t="n">
        <v>39675</v>
      </c>
      <c r="B3874" s="7" t="n">
        <v>910103</v>
      </c>
      <c r="C3874" s="7" t="n">
        <v>418071</v>
      </c>
      <c r="D3874" s="7" t="n">
        <v>147494</v>
      </c>
      <c r="E3874" s="8" t="n">
        <v>39170</v>
      </c>
      <c r="F3874" s="7" t="n">
        <v>5</v>
      </c>
      <c r="G3874" s="7" t="inlineStr">
        <is>
          <t>this was delicious and really simple... especially over cream cheese mashed potatoes</t>
        </is>
      </c>
    </row>
    <row r="3875">
      <c r="A3875" s="7" t="n">
        <v>98173</v>
      </c>
      <c r="B3875" s="7" t="n">
        <v>873896</v>
      </c>
      <c r="C3875" s="7" t="n">
        <v>2782688</v>
      </c>
      <c r="D3875" s="7" t="n">
        <v>15104</v>
      </c>
      <c r="E3875" s="8" t="n">
        <v>41395</v>
      </c>
      <c r="F3875" s="7" t="n">
        <v>5</v>
      </c>
      <c r="G3875" s="7" t="inlineStr">
        <is>
          <t>This is an awesome recipe. My family loves these Salmon Patties! I also add 1 teaspoon of Old Bay seasoning, it just adds that extra pop! I also love the high protein count! All an added plus! Thanks for sharing this Great recipe!</t>
        </is>
      </c>
    </row>
    <row r="3876" ht="165" customHeight="1">
      <c r="A3876" s="7" t="n">
        <v>7561</v>
      </c>
      <c r="B3876" s="7" t="n">
        <v>1112358</v>
      </c>
      <c r="C3876" s="7" t="n">
        <v>498975</v>
      </c>
      <c r="D3876" s="7" t="n">
        <v>179826</v>
      </c>
      <c r="E3876" s="8" t="n">
        <v>39258</v>
      </c>
      <c r="F3876" s="7" t="n">
        <v>5</v>
      </c>
      <c r="G3876" s="9" t="inlineStr">
        <is>
          <t>We really loved this dish. The vegetables were very tasty._x000D_
Diane_x000D_
Sth Aust</t>
        </is>
      </c>
    </row>
    <row r="3877">
      <c r="A3877" s="7" t="n">
        <v>37360</v>
      </c>
      <c r="B3877" s="7" t="n">
        <v>364026</v>
      </c>
      <c r="C3877" s="7" t="n">
        <v>58104</v>
      </c>
      <c r="D3877" s="7" t="n">
        <v>88978</v>
      </c>
      <c r="E3877" s="8" t="n">
        <v>39003</v>
      </c>
      <c r="F3877" s="7" t="n">
        <v>5</v>
      </c>
      <c r="G3877" s="7" t="inlineStr">
        <is>
          <t>Very light comforting drink. Benefits are similar to my &lt;a href="/147058"&gt;Shy Mi Yansoon - Anise Tea Recipe&lt;/a&gt;. Which has the addition of Rooibos. This is very easy and relaxing. Will make again. Thanks!</t>
        </is>
      </c>
    </row>
    <row r="3878">
      <c r="A3878" s="7" t="n">
        <v>118376</v>
      </c>
      <c r="B3878" s="7" t="n">
        <v>301874</v>
      </c>
      <c r="C3878" s="7" t="n">
        <v>518488</v>
      </c>
      <c r="D3878" s="7" t="n">
        <v>179608</v>
      </c>
      <c r="E3878" s="8" t="n">
        <v>39784</v>
      </c>
      <c r="F3878" s="7" t="n">
        <v>5</v>
      </c>
      <c r="G3878" s="7" t="inlineStr">
        <is>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is>
      </c>
    </row>
    <row r="3879">
      <c r="A3879" s="7" t="n">
        <v>55860</v>
      </c>
      <c r="B3879" s="7" t="n">
        <v>762910</v>
      </c>
      <c r="C3879" s="7" t="n">
        <v>206484</v>
      </c>
      <c r="D3879" s="7" t="n">
        <v>253599</v>
      </c>
      <c r="E3879" s="8" t="n">
        <v>40923</v>
      </c>
      <c r="F3879" s="7" t="n">
        <v>4</v>
      </c>
      <c r="G3879" s="7" t="inlineStr">
        <is>
          <t>I thought this came out very tasty, although I substituted chicken breasts for the thighs since that' s what I had on hand, and I skipped the salsa.  I thought the black beans and sweet potatoes paired really well together but not sure about the roasted red peppers; you could probably go without it and it would be just as good. The chicken was great, falling off the bone tender.</t>
        </is>
      </c>
    </row>
    <row r="3880">
      <c r="A3880" s="7" t="n">
        <v>103564</v>
      </c>
      <c r="B3880" s="7" t="n">
        <v>68817</v>
      </c>
      <c r="C3880" s="7" t="n">
        <v>55221</v>
      </c>
      <c r="D3880" s="7" t="n">
        <v>97259</v>
      </c>
      <c r="E3880" s="8" t="n">
        <v>40095</v>
      </c>
      <c r="F3880" s="7" t="n">
        <v>5</v>
      </c>
      <c r="G3880" s="7" t="inlineStr">
        <is>
          <t>Great fresh salsa! A friend reminded me she has been making and loving this recipe for years now, ever since I shared it with her. I forgot I'd given her the recipe. *blush*. We also enjoy this salsa. I reduced the canned green chiles to four ounces, and like another reviewer, added fresh garden peppers and lime juice. Thanks for sharing your recipe!</t>
        </is>
      </c>
    </row>
    <row r="3881">
      <c r="A3881" t="n">
        <v>69588</v>
      </c>
      <c r="B3881" t="n">
        <v>1090813</v>
      </c>
      <c r="C3881" t="n">
        <v>107651</v>
      </c>
      <c r="D3881" t="n">
        <v>84042</v>
      </c>
      <c r="E3881" s="1" t="n">
        <v>38983</v>
      </c>
      <c r="F3881" t="n">
        <v>4</v>
      </c>
      <c r="G3881" t="inlineStr">
        <is>
          <t xml:space="preserve">A really nice autumn dish to make with our wonderful fresh apples and turnips! I have been making this for a few years, I found the recipe in Canadian Living several years ago. Thanks for posting Bergy, now I can get throw away my clipping!   </t>
        </is>
      </c>
    </row>
    <row r="3882">
      <c r="A3882" s="7" t="n">
        <v>60635</v>
      </c>
      <c r="B3882" s="7" t="n">
        <v>762560</v>
      </c>
      <c r="C3882" s="7" t="n">
        <v>361931</v>
      </c>
      <c r="D3882" s="7" t="n">
        <v>358514</v>
      </c>
      <c r="E3882" s="8" t="n">
        <v>39919</v>
      </c>
      <c r="F3882" s="7" t="n">
        <v>5</v>
      </c>
      <c r="G3882" s="7" t="inlineStr">
        <is>
          <t>I love these!  So easy and makes a great snack!!  Kid friendly (and adult friendly too!)</t>
        </is>
      </c>
    </row>
    <row r="3883">
      <c r="A3883" s="7" t="n">
        <v>36654</v>
      </c>
      <c r="B3883" s="7" t="n">
        <v>148169</v>
      </c>
      <c r="C3883" s="7" t="n">
        <v>261899</v>
      </c>
      <c r="D3883" s="7" t="n">
        <v>70637</v>
      </c>
      <c r="E3883" s="8" t="n">
        <v>38682</v>
      </c>
      <c r="F3883" s="7" t="n">
        <v>4</v>
      </c>
      <c r="G3883" s="7" t="inlineStr">
        <is>
          <t>I think the recipes does not have enough suger. I would add a cup more The tasted low fat or something But They bake up nice.</t>
        </is>
      </c>
    </row>
    <row r="3884">
      <c r="A3884" s="7" t="n">
        <v>113829</v>
      </c>
      <c r="B3884" s="7" t="n">
        <v>877619</v>
      </c>
      <c r="C3884" s="7" t="n">
        <v>70073</v>
      </c>
      <c r="D3884" s="7" t="n">
        <v>109597</v>
      </c>
      <c r="E3884" s="8" t="n">
        <v>38879</v>
      </c>
      <c r="F3884" s="7" t="n">
        <v>5</v>
      </c>
      <c r="G3884" s="7" t="inlineStr">
        <is>
          <t>These cookies are excellent. I add 1 cup chopped pecans or walnuts when I make them. If I am too busy to fuss with individual cookies, I spread the dough into a 15x10x1 inch jelly roll pan with dampened hands or a piece of plastic wrap laid over the top. Bake at the same temperature, 375 degrees Fahrenheit, for 20 to 25 minutes. Cut into two-inch squares or size desired for 'cookies'. Thanks for posting. Love those package recipes.</t>
        </is>
      </c>
    </row>
    <row r="3885">
      <c r="A3885" s="7" t="n">
        <v>125704</v>
      </c>
      <c r="B3885" s="7" t="n">
        <v>472387</v>
      </c>
      <c r="C3885" s="7" t="n">
        <v>2000959024</v>
      </c>
      <c r="D3885" s="7" t="n">
        <v>77260</v>
      </c>
      <c r="E3885" s="8" t="n">
        <v>42955</v>
      </c>
      <c r="F3885" s="7" t="n">
        <v>5</v>
      </c>
      <c r="G3885" s="7" t="inlineStr">
        <is>
          <t>I love these</t>
        </is>
      </c>
    </row>
    <row r="3886">
      <c r="A3886" s="7" t="n">
        <v>115471</v>
      </c>
      <c r="B3886" s="7" t="n">
        <v>144683</v>
      </c>
      <c r="C3886" s="7" t="n">
        <v>226066</v>
      </c>
      <c r="D3886" s="7" t="n">
        <v>163265</v>
      </c>
      <c r="E3886" s="8" t="n">
        <v>39458</v>
      </c>
      <c r="F3886" s="7" t="n">
        <v>5</v>
      </c>
      <c r="G3886" s="7" t="inlineStr">
        <is>
          <t>This is a great weeknight recipe!!  I used chicken breasts without bones and skin instead of pieces, used Panko for the breadcrumbs and sprayed the chicken with olive oil to save a few calories...! ;)  Loved the sauce - and the chicken was moist and delicious!!  Made for 123 Tag.  Thanks Dreamgoddess! :)</t>
        </is>
      </c>
    </row>
    <row r="3887">
      <c r="A3887" s="7" t="n">
        <v>120834</v>
      </c>
      <c r="B3887" s="7" t="n">
        <v>92222</v>
      </c>
      <c r="C3887" s="7" t="n">
        <v>2001103553</v>
      </c>
      <c r="D3887" s="7" t="n">
        <v>357017</v>
      </c>
      <c r="E3887" s="8" t="n">
        <v>42577</v>
      </c>
      <c r="F3887" s="7" t="n">
        <v>5</v>
      </c>
      <c r="G3887" s="7" t="inlineStr">
        <is>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is>
      </c>
    </row>
    <row r="3888">
      <c r="A3888" s="7" t="n">
        <v>8541</v>
      </c>
      <c r="B3888" s="7" t="n">
        <v>110455</v>
      </c>
      <c r="C3888" s="7" t="n">
        <v>252816</v>
      </c>
      <c r="D3888" s="7" t="n">
        <v>16826</v>
      </c>
      <c r="E3888" s="8" t="n">
        <v>38699</v>
      </c>
      <c r="F3888" s="7" t="n">
        <v>5</v>
      </c>
      <c r="G3888" s="7" t="inlineStr">
        <is>
          <t>I didnt have another use and didnt want to waste the evaporated milk, as the recipe only asked for 1 cup. So, I made double the batch and canned in pint jars for future use..Not overly sweet,the way we like it. Thank U for the recipe...</t>
        </is>
      </c>
    </row>
    <row r="3889">
      <c r="A3889" s="7" t="n">
        <v>99153</v>
      </c>
      <c r="B3889" s="7" t="n">
        <v>774017</v>
      </c>
      <c r="C3889" s="7" t="n">
        <v>272434</v>
      </c>
      <c r="D3889" s="7" t="n">
        <v>128956</v>
      </c>
      <c r="E3889" s="8" t="n">
        <v>39017</v>
      </c>
      <c r="F3889" s="7" t="n">
        <v>5</v>
      </c>
      <c r="G3889" s="7" t="inlineStr">
        <is>
          <t>I do love the soup, but only if I use LESS basil and oregano.  The first time I used as much as was suggested in the recipe here and it overpowered the whole thing.  Now I use about half as much spice.  I also love it with Vegetable broth, very good!  Thanks!</t>
        </is>
      </c>
    </row>
    <row r="3890">
      <c r="A3890" s="7" t="n">
        <v>31807</v>
      </c>
      <c r="B3890" s="7" t="n">
        <v>1024383</v>
      </c>
      <c r="C3890" s="7" t="n">
        <v>1052873</v>
      </c>
      <c r="D3890" s="7" t="n">
        <v>111777</v>
      </c>
      <c r="E3890" s="8" t="n">
        <v>41798</v>
      </c>
      <c r="F3890" s="7" t="n">
        <v>5</v>
      </c>
      <c r="G3890" s="7" t="inlineStr">
        <is>
          <t>Same recipe I&amp;#039;ve made for years. I put some seasoning - celery salt, dill, whatever, in the crust. A family favorite.</t>
        </is>
      </c>
    </row>
    <row r="3891">
      <c r="A3891" s="7" t="n">
        <v>55669</v>
      </c>
      <c r="B3891" s="7" t="n">
        <v>689700</v>
      </c>
      <c r="C3891" s="7" t="n">
        <v>385678</v>
      </c>
      <c r="D3891" s="7" t="n">
        <v>187557</v>
      </c>
      <c r="E3891" s="8" t="n">
        <v>39713</v>
      </c>
      <c r="F3891" s="7" t="n">
        <v>5</v>
      </c>
      <c r="G3891" s="7" t="inlineStr">
        <is>
          <t>Wonderful shake!  My DD's loved this desert shake and I loved how healthy it was for them!!  Of course I also thought it was delicious and will be making it again soon.  Thanks for another wonderful recipe!  Made for PAC Fall 2008.</t>
        </is>
      </c>
    </row>
    <row r="3892">
      <c r="A3892" s="7" t="n">
        <v>92551</v>
      </c>
      <c r="B3892" s="7" t="n">
        <v>585947</v>
      </c>
      <c r="C3892" s="7" t="n">
        <v>1329549</v>
      </c>
      <c r="D3892" s="7" t="n">
        <v>364032</v>
      </c>
      <c r="E3892" s="8" t="n">
        <v>40015</v>
      </c>
      <c r="F3892" s="7" t="n">
        <v>4</v>
      </c>
      <c r="G3892" s="7" t="inlineStr">
        <is>
          <t>These are super easy to make with minimal ingredients that are basic pantry staples.  Very tasty!!</t>
        </is>
      </c>
    </row>
    <row r="3893">
      <c r="A3893" s="7" t="n">
        <v>30361</v>
      </c>
      <c r="B3893" s="7" t="n">
        <v>672771</v>
      </c>
      <c r="C3893" s="7" t="n">
        <v>345756</v>
      </c>
      <c r="D3893" s="7" t="n">
        <v>177271</v>
      </c>
      <c r="E3893" s="8" t="n">
        <v>39084</v>
      </c>
      <c r="F3893" s="7" t="n">
        <v>5</v>
      </c>
      <c r="G3893" s="7" t="inlineStr">
        <is>
          <t>One of the best things that I've ever eaten, although I did omit the nuts. Definitely will make this again and again.</t>
        </is>
      </c>
    </row>
    <row r="3894">
      <c r="A3894" s="7" t="n">
        <v>36388</v>
      </c>
      <c r="B3894" s="7" t="n">
        <v>245613</v>
      </c>
      <c r="C3894" s="7" t="n">
        <v>655199</v>
      </c>
      <c r="D3894" s="7" t="n">
        <v>170056</v>
      </c>
      <c r="E3894" s="8" t="n">
        <v>41550</v>
      </c>
      <c r="F3894" s="7" t="n">
        <v>4</v>
      </c>
      <c r="G3894" s="7" t="inlineStr">
        <is>
          <t>I love horseradish!!! These were really good, but I think next time, I&amp;#039;ll double the amount of horseradish. I made them in the microwave. Will most definitely be making these again!!! THANKS for Sharing!!!</t>
        </is>
      </c>
    </row>
    <row r="3895">
      <c r="A3895" s="7" t="n">
        <v>67662</v>
      </c>
      <c r="B3895" s="7" t="n">
        <v>978492</v>
      </c>
      <c r="C3895" s="7" t="n">
        <v>1800606565</v>
      </c>
      <c r="D3895" s="7" t="n">
        <v>104975</v>
      </c>
      <c r="E3895" s="8" t="n">
        <v>41618</v>
      </c>
      <c r="F3895" s="7" t="n">
        <v>5</v>
      </c>
      <c r="G3895" s="7" t="inlineStr">
        <is>
          <t>That sounds so good. I think my aunt used to make those</t>
        </is>
      </c>
    </row>
    <row r="3896">
      <c r="A3896" s="7" t="n">
        <v>76452</v>
      </c>
      <c r="B3896" s="7" t="n">
        <v>405080</v>
      </c>
      <c r="C3896" s="7" t="n">
        <v>1801538226</v>
      </c>
      <c r="D3896" s="7" t="n">
        <v>71849</v>
      </c>
      <c r="E3896" s="8" t="n">
        <v>41707</v>
      </c>
      <c r="F3896" s="7" t="n">
        <v>5</v>
      </c>
      <c r="G3896" s="7" t="inlineStr">
        <is>
          <t>Amazing! I didn&amp;#039;t have any eggs and wasn&amp;#039;t gonna risk anyone&amp;#039;s life by driving drunk to get any. These turned out yum as hell! I think I even like them better than the egg ones I&amp;#039;ve made. I changed the amount to 6 cookies cause I&amp;#039;m already fat so I didn&amp;#039;t need more than that.</t>
        </is>
      </c>
    </row>
    <row r="3897">
      <c r="A3897" s="7" t="n">
        <v>92598</v>
      </c>
      <c r="B3897" s="7" t="n">
        <v>713784</v>
      </c>
      <c r="C3897" s="7" t="n">
        <v>1109557</v>
      </c>
      <c r="D3897" s="7" t="n">
        <v>346733</v>
      </c>
      <c r="E3897" s="8" t="n">
        <v>39851</v>
      </c>
      <c r="F3897" s="7" t="n">
        <v>5</v>
      </c>
      <c r="G3897" s="7" t="inlineStr">
        <is>
          <t>Very good bread.  I've really wrestled with producing something that's not flatter than a pancake out of the Zoji when whole grains are involved.  This is a great compromise.  It's not 100% wholegrain, but it's way better than all refined.  Thanks Rebecca!!!  BTW - have you tried making it with milk rather than water?  If so, how did it turn out?</t>
        </is>
      </c>
    </row>
    <row r="3898">
      <c r="A3898" s="7" t="n">
        <v>77249</v>
      </c>
      <c r="B3898" s="7" t="n">
        <v>709955</v>
      </c>
      <c r="C3898" s="7" t="n">
        <v>53425</v>
      </c>
      <c r="D3898" s="7" t="n">
        <v>74630</v>
      </c>
      <c r="E3898" s="8" t="n">
        <v>38008</v>
      </c>
      <c r="F3898" s="7" t="n">
        <v>5</v>
      </c>
      <c r="G3898" s="7" t="inlineStr">
        <is>
          <t xml:space="preserve">Well, you have to like pumpkin seeds, but if you do, this is addictive stuff! Also it's too, too, easy to make. I don't have a candy thermometer so I just followed the times given. For the second interval (3-4 minutes) I could smell the honey just starting to caramelize at the three minute mark so I removed it from the stove then. I did not follow all the fancy presentation instructions. I just waited until it was stiff enough to hold together but still soft enough to scoop, and dropped it by spoonfuls, with the help of a small silicon spatula, onto lightly oiled parchment paper. I got 21 nice sized candies. This is basically a 'peanut brittle' type candy, with the seeds instead of peanuts. The seeds have a rich musky flavour that balances the toffee coating very nicely. Now all I have to do is keep myself from snarfing them all down at once. </t>
        </is>
      </c>
    </row>
    <row r="3899">
      <c r="A3899" s="7" t="n">
        <v>30396</v>
      </c>
      <c r="B3899" s="7" t="n">
        <v>225576</v>
      </c>
      <c r="C3899" s="7" t="n">
        <v>2000035666</v>
      </c>
      <c r="D3899" s="7" t="n">
        <v>366252</v>
      </c>
      <c r="E3899" s="8" t="n">
        <v>42828</v>
      </c>
      <c r="F3899" s="7" t="n">
        <v>0</v>
      </c>
      <c r="G3899" s="7" t="inlineStr">
        <is>
          <t>Do you put the ham upside down in the bag? I wanted to buy a pre cut ham. It just sounds weird to put the top on the bottom of the bag.</t>
        </is>
      </c>
    </row>
    <row r="3900">
      <c r="A3900" s="7" t="n">
        <v>19412</v>
      </c>
      <c r="B3900" s="7" t="n">
        <v>725998</v>
      </c>
      <c r="C3900" s="7" t="n">
        <v>14823</v>
      </c>
      <c r="D3900" s="7" t="n">
        <v>8565</v>
      </c>
      <c r="E3900" s="8" t="n">
        <v>38184</v>
      </c>
      <c r="F3900" s="7" t="n">
        <v>5</v>
      </c>
      <c r="G3900" s="7" t="inlineStr">
        <is>
          <t>I followed this recipe exactly as written and it turned out great. I love mushrooms and love having new ways to make them.</t>
        </is>
      </c>
    </row>
    <row r="3901">
      <c r="A3901" s="7" t="n">
        <v>68691</v>
      </c>
      <c r="B3901" s="7" t="n">
        <v>136774</v>
      </c>
      <c r="C3901" s="7" t="n">
        <v>214027</v>
      </c>
      <c r="D3901" s="7" t="n">
        <v>44888</v>
      </c>
      <c r="E3901" s="8" t="n">
        <v>40571</v>
      </c>
      <c r="F3901" s="7" t="n">
        <v>5</v>
      </c>
      <c r="G3901" s="7" t="inlineStr">
        <is>
          <t>Wow!  These came out soooo good.  The only thing that I did different was add 1 tablespoon of ketchup and 1 tablespoon of garlic chili sauce because I love it spicy.  *drool*</t>
        </is>
      </c>
    </row>
    <row r="3902">
      <c r="A3902" s="7" t="n">
        <v>57877</v>
      </c>
      <c r="B3902" s="7" t="n">
        <v>577563</v>
      </c>
      <c r="C3902" s="7" t="n">
        <v>39835</v>
      </c>
      <c r="D3902" s="7" t="n">
        <v>330877</v>
      </c>
      <c r="E3902" s="8" t="n">
        <v>39765</v>
      </c>
      <c r="F3902" s="7" t="n">
        <v>4</v>
      </c>
      <c r="G3902" s="7" t="inlineStr">
        <is>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is>
      </c>
    </row>
    <row r="3903">
      <c r="A3903" s="7" t="n">
        <v>92465</v>
      </c>
      <c r="B3903" s="7" t="n">
        <v>973807</v>
      </c>
      <c r="C3903" s="7" t="n">
        <v>107583</v>
      </c>
      <c r="D3903" s="7" t="n">
        <v>211220</v>
      </c>
      <c r="E3903" s="8" t="n">
        <v>39731</v>
      </c>
      <c r="F3903" s="7" t="n">
        <v>5</v>
      </c>
      <c r="G3903" s="7" t="inlineStr">
        <is>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is>
      </c>
    </row>
    <row r="3904">
      <c r="A3904" s="7" t="n">
        <v>12009</v>
      </c>
      <c r="B3904" s="7" t="n">
        <v>986233</v>
      </c>
      <c r="C3904" s="7" t="n">
        <v>186855</v>
      </c>
      <c r="D3904" s="7" t="n">
        <v>340108</v>
      </c>
      <c r="E3904" s="8" t="n">
        <v>39786</v>
      </c>
      <c r="F3904" s="7" t="n">
        <v>5</v>
      </c>
      <c r="G3904" s="7" t="inlineStr">
        <is>
          <t>Wonderful chocolate flavour and the tiniest hint of mint.  So pretty on the cookie tray. I received these from Az G, my partner in the 2008 Holiday Cookie Swap.</t>
        </is>
      </c>
    </row>
    <row r="3905">
      <c r="A3905" s="7" t="n">
        <v>125077</v>
      </c>
      <c r="B3905" s="7" t="n">
        <v>472349</v>
      </c>
      <c r="C3905" s="7" t="n">
        <v>221044</v>
      </c>
      <c r="D3905" s="7" t="n">
        <v>108364</v>
      </c>
      <c r="E3905" s="8" t="n">
        <v>38523</v>
      </c>
      <c r="F3905" s="7" t="n">
        <v>5</v>
      </c>
      <c r="G3905" s="7" t="inlineStr">
        <is>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is>
      </c>
    </row>
    <row r="3906">
      <c r="A3906" s="7" t="n">
        <v>88795</v>
      </c>
      <c r="B3906" s="7" t="n">
        <v>262728</v>
      </c>
      <c r="C3906" s="7" t="n">
        <v>1410036</v>
      </c>
      <c r="D3906" s="7" t="n">
        <v>382355</v>
      </c>
      <c r="E3906" s="8" t="n">
        <v>41075</v>
      </c>
      <c r="F3906" s="7" t="n">
        <v>5</v>
      </c>
      <c r="G3906" s="7" t="inlineStr">
        <is>
          <t>Yes, this is really great. I make it several times a year, often for guests, and everyone loves it. The meat does drip a lot, make sure you have the loaf lifted up with holes for drainage. I make the cucumber yogurt sauce with all yogurt, skipping the sour cream for a less overall calories. I serve this straight out of the oven, with the sauce, pitas, tomatoes and onions. There is often no leftovers.</t>
        </is>
      </c>
    </row>
    <row r="3907">
      <c r="A3907" t="n">
        <v>102918</v>
      </c>
      <c r="B3907" t="n">
        <v>247153</v>
      </c>
      <c r="C3907" t="n">
        <v>343334</v>
      </c>
      <c r="D3907" t="n">
        <v>185205</v>
      </c>
      <c r="E3907" s="1" t="n">
        <v>39217</v>
      </c>
      <c r="F3907" t="n">
        <v>5</v>
      </c>
      <c r="G3907" t="inlineStr">
        <is>
          <t>OMG!! This is sooo good!! Instead of shallots I used an onion and I didn't have any sun-dried tomatoes so I just added a half a tomato.  Instead of jalapeno peppers I used serrano.  It is wonderful!</t>
        </is>
      </c>
    </row>
    <row r="3908">
      <c r="A3908" s="7" t="n">
        <v>118304</v>
      </c>
      <c r="B3908" s="7" t="n">
        <v>759156</v>
      </c>
      <c r="C3908" s="7" t="n">
        <v>717164</v>
      </c>
      <c r="D3908" s="7" t="n">
        <v>56317</v>
      </c>
      <c r="E3908" s="8" t="n">
        <v>39665</v>
      </c>
      <c r="F3908" s="7" t="n">
        <v>4</v>
      </c>
      <c r="G3908" s="7" t="inlineStr">
        <is>
          <t>I didn't think this dish would be as good as it was. Wonderfully frugal, tasty and great for leftovers!</t>
        </is>
      </c>
    </row>
    <row r="3909">
      <c r="A3909" s="7" t="n">
        <v>115324</v>
      </c>
      <c r="B3909" s="7" t="n">
        <v>31117</v>
      </c>
      <c r="C3909" s="7" t="n">
        <v>1366254</v>
      </c>
      <c r="D3909" s="7" t="n">
        <v>179684</v>
      </c>
      <c r="E3909" s="8" t="n">
        <v>40144</v>
      </c>
      <c r="F3909" s="7" t="n">
        <v>5</v>
      </c>
      <c r="G3909" s="7" t="inlineStr">
        <is>
          <t>I used Grand Mariner instead of triple sec but It was really awesome</t>
        </is>
      </c>
    </row>
    <row r="3910">
      <c r="A3910" s="7" t="n">
        <v>66428</v>
      </c>
      <c r="B3910" s="7" t="n">
        <v>550341</v>
      </c>
      <c r="C3910" s="7" t="n">
        <v>47892</v>
      </c>
      <c r="D3910" s="7" t="n">
        <v>460245</v>
      </c>
      <c r="E3910" s="8" t="n">
        <v>41467</v>
      </c>
      <c r="F3910" s="7" t="n">
        <v>5</v>
      </c>
      <c r="G3910" s="7" t="inlineStr">
        <is>
          <t>This was oh so good! I used zucchini and yellow squash both from our CSA box. I removed&amp;lt;br/&amp;gt;the peels in a striped pattern for added color, sprinkled in a little bit of fresh dill and about 1/4 cup of green onions that needed to be used up. One big change was that the vegetables were &amp;lt;br/&amp;gt;not steamed or cooked before baking. I shredded the squash but it really isn&amp;#039;t necessary to cook it before baking in my opinion. Freshly gated Asiago cheese and finally a topping of homemade breadcrumbs. Thanks for bunches! Will make again soon! Reviewed for Veg Tag/July.</t>
        </is>
      </c>
    </row>
    <row r="3911">
      <c r="A3911" s="7" t="n">
        <v>67067</v>
      </c>
      <c r="B3911" s="7" t="n">
        <v>1125987</v>
      </c>
      <c r="C3911" s="7" t="n">
        <v>294455</v>
      </c>
      <c r="D3911" s="7" t="n">
        <v>392356</v>
      </c>
      <c r="E3911" s="8" t="n">
        <v>40217</v>
      </c>
      <c r="F3911" s="7" t="n">
        <v>5</v>
      </c>
      <c r="G3911" s="7" t="inlineStr">
        <is>
          <t>This is such a great idea!  No more messy floor and stove from frying bacon, no more trying to keep my kids away from the stove incase the bacon "pops."  I love this, it is the ONLY way I make bacon now.  I have found it cooks a little more even if I turn it a couple of times.</t>
        </is>
      </c>
    </row>
    <row r="3912">
      <c r="A3912" s="7" t="n">
        <v>95751</v>
      </c>
      <c r="B3912" s="7" t="n">
        <v>1065025</v>
      </c>
      <c r="C3912" s="7" t="n">
        <v>538080</v>
      </c>
      <c r="D3912" s="7" t="n">
        <v>55600</v>
      </c>
      <c r="E3912" s="8" t="n">
        <v>42457</v>
      </c>
      <c r="F3912" s="7" t="n">
        <v>5</v>
      </c>
      <c r="G3912" s="7" t="inlineStr">
        <is>
          <t>DELICIOUS!  I&amp;#039;ve made this for the past 2 Easters and it is always a hit!</t>
        </is>
      </c>
    </row>
    <row r="3913">
      <c r="A3913" s="7" t="n">
        <v>79440</v>
      </c>
      <c r="B3913" s="7" t="n">
        <v>377030</v>
      </c>
      <c r="C3913" s="7" t="n">
        <v>67026</v>
      </c>
      <c r="D3913" s="7" t="n">
        <v>79865</v>
      </c>
      <c r="E3913" s="8" t="n">
        <v>37990</v>
      </c>
      <c r="F3913" s="7" t="n">
        <v>5</v>
      </c>
      <c r="G3913" s="7" t="inlineStr">
        <is>
          <t>It's the same thing every year.  Holidays come, egg nog is bought, no one drinks it, you throw it away...Not anymore!!  These muffins are there to solve the problem!  And they're yummy, too!  I used Splenda instead of sugar, added chopped pecans, and cooked muffins 16 minutes.</t>
        </is>
      </c>
    </row>
    <row r="3914">
      <c r="A3914" s="7" t="n">
        <v>68706</v>
      </c>
      <c r="B3914" s="7" t="n">
        <v>262575</v>
      </c>
      <c r="C3914" s="7" t="n">
        <v>2001801643</v>
      </c>
      <c r="D3914" s="7" t="n">
        <v>496614</v>
      </c>
      <c r="E3914" s="8" t="n">
        <v>43200</v>
      </c>
      <c r="F3914" s="7" t="n">
        <v>5</v>
      </c>
      <c r="G3914" s="7" t="inlineStr">
        <is>
          <t>I love this recipe and so does my family. To the person that said something about 3 star reviews. You are so right. I don’t get why someone does that. Review on THE recipe not on changes to the recipe. I love this recipe. Very good!</t>
        </is>
      </c>
    </row>
    <row r="3915">
      <c r="A3915" s="7" t="n">
        <v>39139</v>
      </c>
      <c r="B3915" s="7" t="n">
        <v>670853</v>
      </c>
      <c r="C3915" s="7" t="n">
        <v>524025</v>
      </c>
      <c r="D3915" s="7" t="n">
        <v>184552</v>
      </c>
      <c r="E3915" s="8" t="n">
        <v>40275</v>
      </c>
      <c r="F3915" s="7" t="n">
        <v>5</v>
      </c>
      <c r="G3915" s="7" t="inlineStr">
        <is>
          <t>Wow!  This was my first time baking in the microwave, and I was afraid it wouldn't turn out well.  I was very pleasantly surprised!  These are moist and delicious.  Very chocolatey.  Exactly what I needed for a quick chocolate fix, and enough left over for tomorrow too!</t>
        </is>
      </c>
    </row>
    <row r="3916">
      <c r="A3916" t="n">
        <v>69200</v>
      </c>
      <c r="B3916" t="n">
        <v>870565</v>
      </c>
      <c r="C3916" t="n">
        <v>598634</v>
      </c>
      <c r="D3916" t="n">
        <v>334391</v>
      </c>
      <c r="E3916" s="1" t="n">
        <v>40470</v>
      </c>
      <c r="F3916" t="n">
        <v>5</v>
      </c>
      <c r="G3916" t="inlineStr">
        <is>
          <t>very tasty</t>
        </is>
      </c>
    </row>
    <row r="3917">
      <c r="A3917" s="7" t="n">
        <v>7378</v>
      </c>
      <c r="B3917" s="7" t="n">
        <v>13097</v>
      </c>
      <c r="C3917" s="7" t="n">
        <v>81611</v>
      </c>
      <c r="D3917" s="7" t="n">
        <v>48397</v>
      </c>
      <c r="E3917" s="8" t="n">
        <v>39546</v>
      </c>
      <c r="F3917" s="7" t="n">
        <v>4</v>
      </c>
      <c r="G3917" s="7" t="inlineStr">
        <is>
          <t>The texture was a bit crumbly, and because I only sprayed the bottom of my pans, one of my loaves stuck and broke (I doubled the recipe). Still, the texture of the crust was wonderful--crisp yet melts in your mouth. I used sultanas in one loaf and orange-flavored dried cranberries in one.</t>
        </is>
      </c>
    </row>
    <row r="3918">
      <c r="A3918" s="7" t="n">
        <v>37476</v>
      </c>
      <c r="B3918" s="7" t="n">
        <v>150806</v>
      </c>
      <c r="C3918" s="7" t="n">
        <v>804550</v>
      </c>
      <c r="D3918" s="7" t="n">
        <v>320534</v>
      </c>
      <c r="E3918" s="8" t="n">
        <v>39927</v>
      </c>
      <c r="F3918" s="7" t="n">
        <v>5</v>
      </c>
      <c r="G3918" s="7" t="inlineStr">
        <is>
          <t>This is a delicious duck recipe! This was my very first duck I ever attempted to cook. At first I was apprehensive and stated, "I don't know how to cook duck!" My DD told me to check on RecipeZaar and it turned out like I had been doing it for years. I also stuffed the duck with 4 halved clementines. Thanks for rescuing me Lazyme! Made for the Lazyme cook-a-thon honoring her DH!</t>
        </is>
      </c>
    </row>
    <row r="3919">
      <c r="A3919" s="7" t="n">
        <v>76613</v>
      </c>
      <c r="B3919" s="7" t="n">
        <v>278178</v>
      </c>
      <c r="C3919" s="7" t="n">
        <v>166642</v>
      </c>
      <c r="D3919" s="7" t="n">
        <v>317843</v>
      </c>
      <c r="E3919" s="8" t="n">
        <v>39683</v>
      </c>
      <c r="F3919" s="7" t="n">
        <v>5</v>
      </c>
      <c r="G3919" s="7" t="inlineStr">
        <is>
          <t>These are light and fluffy pancakes with wonderful flavor. The graham crackers were a great addition to these pancakes. I normally don't use Splenda but I did to stay true to the recipe. I topped these with pure maple syrup and some powdered sugar. So good! Good luck in the contest!</t>
        </is>
      </c>
    </row>
    <row r="3920">
      <c r="A3920" t="n">
        <v>106144</v>
      </c>
      <c r="B3920" t="n">
        <v>344985</v>
      </c>
      <c r="C3920" t="n">
        <v>116970</v>
      </c>
      <c r="D3920" t="n">
        <v>46487</v>
      </c>
      <c r="E3920" s="1" t="n">
        <v>38011</v>
      </c>
      <c r="F3920" t="n">
        <v>4</v>
      </c>
      <c r="G3920" t="inlineStr">
        <is>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is>
      </c>
    </row>
    <row r="3921">
      <c r="A3921" s="7" t="n">
        <v>84973</v>
      </c>
      <c r="B3921" s="7" t="n">
        <v>1050026</v>
      </c>
      <c r="C3921" s="7" t="n">
        <v>67067</v>
      </c>
      <c r="D3921" s="7" t="n">
        <v>53878</v>
      </c>
      <c r="E3921" s="8" t="n">
        <v>38001</v>
      </c>
      <c r="F3921" s="7" t="n">
        <v>5</v>
      </c>
      <c r="G3921" s="7" t="inlineStr">
        <is>
          <t>Since I usually have 2 out of the 3 ingredients I desided to try these out.  I didn't have the pepperoni on hand...it's not my favorite thing...so I used what I had...a small jar of dried beef. I put it in my mini chopper and and shredded it very fine. The puff balls came out wonderful with the exception the filling was slightly salty...my fault I didn't rinse the dried beef before I chopped it. Actually would have been fine if I had doubled the recipe. Then I made them again and used a small can of imitation crab, a teaspoon of chopped garlic, 3green onions and a dash of worchestershire. Both times these little bites of joy disappeared almost as fast as they came out of the oven. They are on my Super Bowl refreshment list...maybe a triple batch. I am also thinking maybe a sweet puff ball...cream cheese and crushed pineapple that has been drained really well.  Danzy</t>
        </is>
      </c>
    </row>
    <row r="3922">
      <c r="A3922" s="7" t="n">
        <v>83943</v>
      </c>
      <c r="B3922" s="7" t="n">
        <v>1076774</v>
      </c>
      <c r="C3922" s="7" t="n">
        <v>549489</v>
      </c>
      <c r="D3922" s="7" t="n">
        <v>80398</v>
      </c>
      <c r="E3922" s="8" t="n">
        <v>40234</v>
      </c>
      <c r="F3922" s="7" t="n">
        <v>5</v>
      </c>
      <c r="G3922" s="7" t="inlineStr">
        <is>
          <t>This was terrific!  I have never rated a recipe on this site before, but this definitely warranted it!  I added some baby carrots and some peeled potatoes and it was perfect!  Thanks Comet for a great recipe!</t>
        </is>
      </c>
    </row>
    <row r="3923">
      <c r="A3923" s="7" t="n">
        <v>60919</v>
      </c>
      <c r="B3923" s="7" t="n">
        <v>1077345</v>
      </c>
      <c r="C3923" s="7" t="n">
        <v>1058097</v>
      </c>
      <c r="D3923" s="7" t="n">
        <v>384254</v>
      </c>
      <c r="E3923" s="8" t="n">
        <v>40361</v>
      </c>
      <c r="F3923" s="7" t="n">
        <v>0</v>
      </c>
      <c r="G3923" s="7" t="inlineStr">
        <is>
          <t>Just to let anyone who's curious know--the sweetened condensed milk in this recipe is not an error.  The recipe was created for the Ready, Set, Cook contest, and sweetened condensed milk was one of the required recipe ingredients.</t>
        </is>
      </c>
    </row>
    <row r="3924">
      <c r="A3924" s="7" t="n">
        <v>42599</v>
      </c>
      <c r="B3924" s="7" t="n">
        <v>656942</v>
      </c>
      <c r="C3924" s="7" t="n">
        <v>965437</v>
      </c>
      <c r="D3924" s="7" t="n">
        <v>27208</v>
      </c>
      <c r="E3924" s="8" t="n">
        <v>39983</v>
      </c>
      <c r="F3924" s="7" t="n">
        <v>5</v>
      </c>
      <c r="G3924" s="7" t="inlineStr">
        <is>
          <t>This recipe WAS incredible!  I've made pot roast before, &amp; it has never turned out very tasty.  This was awesome!  Our apartment smelled so good that i had a hard time waiting for it to be done to eat it!  It was slightly salty for my taste, but my husband loved it!  Plus, it was very easy!  I did add potatoes &amp; carrots, but they soaked up the flavor &amp; were very tasty as well!  Thanks for sharing; I will be sure to make this again!</t>
        </is>
      </c>
    </row>
    <row r="3925">
      <c r="A3925" s="7" t="n">
        <v>100082</v>
      </c>
      <c r="B3925" s="7" t="n">
        <v>17702</v>
      </c>
      <c r="C3925" s="7" t="n">
        <v>340130</v>
      </c>
      <c r="D3925" s="7" t="n">
        <v>326076</v>
      </c>
      <c r="E3925" s="8" t="n">
        <v>40342</v>
      </c>
      <c r="F3925" s="7" t="n">
        <v>5</v>
      </c>
      <c r="G3925" s="7" t="inlineStr">
        <is>
          <t>Great stuff ! Made this as a spread for bagels and my guests loved it.</t>
        </is>
      </c>
    </row>
    <row r="3926">
      <c r="A3926" s="7" t="n">
        <v>120859</v>
      </c>
      <c r="B3926" s="7" t="n">
        <v>1033339</v>
      </c>
      <c r="C3926" s="7" t="n">
        <v>158086</v>
      </c>
      <c r="D3926" s="7" t="n">
        <v>176927</v>
      </c>
      <c r="E3926" s="8" t="n">
        <v>39704</v>
      </c>
      <c r="F3926" s="7" t="n">
        <v>5</v>
      </c>
      <c r="G3926" s="7" t="inlineStr">
        <is>
          <t>I made this with Splenda for baking and it turned out perfect....very good and moist cake.</t>
        </is>
      </c>
    </row>
    <row r="3927">
      <c r="A3927" s="7" t="n">
        <v>11478</v>
      </c>
      <c r="B3927" s="7" t="n">
        <v>1068714</v>
      </c>
      <c r="C3927" s="7" t="n">
        <v>2000025533</v>
      </c>
      <c r="D3927" s="7" t="n">
        <v>30018</v>
      </c>
      <c r="E3927" s="8" t="n">
        <v>42772</v>
      </c>
      <c r="F3927" s="7" t="n">
        <v>5</v>
      </c>
      <c r="G3927" s="7" t="inlineStr">
        <is>
          <t>Excellent soup, make it through the winter to warm everyone up, delicious. I made two slight changes - instead of beef bouillon I used 3 Knorr's beef cubes. Instead of 5 cups of water I used 32 ounces of beef stock and one cup of water. I did cook it on low for 10 hours so next time will prep the day before. Definitely a winner in our family of picky eaters and that is saying something!</t>
        </is>
      </c>
    </row>
    <row r="3928">
      <c r="A3928" s="7" t="n">
        <v>9622</v>
      </c>
      <c r="B3928" s="7" t="n">
        <v>373969</v>
      </c>
      <c r="C3928" s="7" t="n">
        <v>222564</v>
      </c>
      <c r="D3928" s="7" t="n">
        <v>62922</v>
      </c>
      <c r="E3928" s="8" t="n">
        <v>41378</v>
      </c>
      <c r="F3928" s="7" t="n">
        <v>5</v>
      </c>
      <c r="G3928" s="7" t="inlineStr">
        <is>
          <t>Mmm... so good and refreshing with a fruit salad in the morning. I added bit more sugar.</t>
        </is>
      </c>
    </row>
    <row r="3929">
      <c r="A3929" s="7" t="n">
        <v>46898</v>
      </c>
      <c r="B3929" s="7" t="n">
        <v>608982</v>
      </c>
      <c r="C3929" s="7" t="n">
        <v>956686</v>
      </c>
      <c r="D3929" s="7" t="n">
        <v>70538</v>
      </c>
      <c r="E3929" s="8" t="n">
        <v>40288</v>
      </c>
      <c r="F3929" s="7" t="n">
        <v>5</v>
      </c>
      <c r="G3929" s="7" t="inlineStr">
        <is>
          <t>This is wonderful. Tastes like expensive relish in the store. With a case of late blight hitting my beautiful tomatoes I'm using what I can. I had never had anything made from green tomatoes, and expecected something like green apples....This has great flavor. Had it with homegrown beef....an A plus. I will never let those green tomatoes go to waste again.  Favorite new canning recipe in 2009.</t>
        </is>
      </c>
    </row>
    <row r="3930">
      <c r="A3930" s="7" t="n">
        <v>30090</v>
      </c>
      <c r="B3930" s="7" t="n">
        <v>927616</v>
      </c>
      <c r="C3930" s="7" t="n">
        <v>65502</v>
      </c>
      <c r="D3930" s="7" t="n">
        <v>348039</v>
      </c>
      <c r="E3930" s="8" t="n">
        <v>40075</v>
      </c>
      <c r="F3930" s="7" t="n">
        <v>5</v>
      </c>
      <c r="G3930" s="7" t="inlineStr">
        <is>
          <t>We enjoyed this tonight for dinner with Recipe #203770! We used boneless skinless chicken thighs and the sauce was very good. I didn't taste the sauce enough so I might use it as a marinade next time. I would also grill it IF I was using skinless again. I can see it being really good with skin cooked in the oven. Made for my adopted chef for Fall PAC 2009. Thanks alligirl! :)</t>
        </is>
      </c>
    </row>
    <row r="3931">
      <c r="A3931" s="7" t="n">
        <v>111843</v>
      </c>
      <c r="B3931" s="7" t="n">
        <v>1057122</v>
      </c>
      <c r="C3931" s="7" t="n">
        <v>456116</v>
      </c>
      <c r="D3931" s="7" t="n">
        <v>255467</v>
      </c>
      <c r="E3931" s="8" t="n">
        <v>40039</v>
      </c>
      <c r="F3931" s="7" t="n">
        <v>5</v>
      </c>
      <c r="G3931" s="7" t="inlineStr">
        <is>
          <t>Love this, and have made it a dozen times just like the recipe calls for.  If I want it more sechzwan, I add some red pepper flakes.  I usually make extra and then put it over rice for an easy lunch while at work.  Awesome recipe Mariah.</t>
        </is>
      </c>
    </row>
    <row r="3932">
      <c r="A3932" s="7" t="n">
        <v>121952</v>
      </c>
      <c r="B3932" s="7" t="n">
        <v>814729</v>
      </c>
      <c r="C3932" s="7" t="n">
        <v>609026</v>
      </c>
      <c r="D3932" s="7" t="n">
        <v>49125</v>
      </c>
      <c r="E3932" s="8" t="n">
        <v>40205</v>
      </c>
      <c r="F3932" s="7" t="n">
        <v>5</v>
      </c>
      <c r="G3932" s="7" t="inlineStr">
        <is>
          <t>This recipe is soooooo good!!!! Very addictive. Thanks for posting :D</t>
        </is>
      </c>
    </row>
    <row r="3933">
      <c r="A3933" s="7" t="n">
        <v>52967</v>
      </c>
      <c r="B3933" s="7" t="n">
        <v>415544</v>
      </c>
      <c r="C3933" s="7" t="n">
        <v>186855</v>
      </c>
      <c r="D3933" s="7" t="n">
        <v>290300</v>
      </c>
      <c r="E3933" s="8" t="n">
        <v>39845</v>
      </c>
      <c r="F3933" s="7" t="n">
        <v>5</v>
      </c>
      <c r="G3933" s="7" t="inlineStr">
        <is>
          <t>I've never been able to figure out the purpose of the flour in most onion soup recipes, so I've never used it.  It's nice to see I'm not the only one that knows you can have a fantastic soup without it.  That being said, who knew a simple little bay leaf could do so much.  That is a new addition for me, and one I will do from now on.  The added flavour is not to be believed.  Thanks mersaydees for opening my eyes.  Unfortunately the only parmesan I had was the pre-grated stuff in the shaker can.  Affectionately known in our house as 'sneaker cheese'. :)  I ended up using sharp white cheddar.  Nice, but the fresh parmesan would have been better.  I'll get some tomorrow as I still have some soup leftover.  Can't wait.  Thanks again for a great meal.  Made for the Auzzie/NZ Recipe Swap #25.</t>
        </is>
      </c>
    </row>
    <row r="3934">
      <c r="A3934" s="7" t="n">
        <v>94246</v>
      </c>
      <c r="B3934" s="7" t="n">
        <v>477921</v>
      </c>
      <c r="C3934" s="7" t="n">
        <v>190628</v>
      </c>
      <c r="D3934" s="7" t="n">
        <v>159073</v>
      </c>
      <c r="E3934" s="8" t="n">
        <v>39436</v>
      </c>
      <c r="F3934" s="7" t="n">
        <v>5</v>
      </c>
      <c r="G3934" s="7" t="inlineStr">
        <is>
          <t>Boy is this good!  I just made it for the third time and put it in the freezer for an easy Christmas night Mexican dinner.  I used red enchilada sauce and forgot the cumin, but it turns out so great.  Thanks for posting!</t>
        </is>
      </c>
    </row>
    <row r="3935">
      <c r="A3935" s="7" t="n">
        <v>90492</v>
      </c>
      <c r="B3935" s="7" t="n">
        <v>397728</v>
      </c>
      <c r="C3935" s="7" t="n">
        <v>276833</v>
      </c>
      <c r="D3935" s="7" t="n">
        <v>146224</v>
      </c>
      <c r="E3935" s="8" t="n">
        <v>41971</v>
      </c>
      <c r="F3935" s="7" t="n">
        <v>4</v>
      </c>
      <c r="G3935" s="7" t="inlineStr">
        <is>
          <t>I normally fry turkeys for Thanksgiving, but this year we decided to roast.  I decided to give brining a try because there is nothing dryer than a roasted turkey breast.  I have to say, brining is definitely the way to go.  Our 25lb bird was so juicy and succulent, we may not go back trying.  As for the cranberry; well I may not do that again.  Frankly I didn&amp;#039;t feel the cranberry imparted any cranberry flavor, but the sugars in the cranberry caused the bird to burn.  I should have gotten a clue from the picture posted for this recipe.  I had to cover the bird with foil for the last hour or so to keep it from turning completely black, and I was roasting at 325. Next year, if I brine, I&amp;#039;m going to omit the cranberry and add habanero peppers.</t>
        </is>
      </c>
    </row>
    <row r="3936">
      <c r="A3936" s="7" t="n">
        <v>29811</v>
      </c>
      <c r="B3936" s="7" t="n">
        <v>954560</v>
      </c>
      <c r="C3936" s="7" t="n">
        <v>230319</v>
      </c>
      <c r="D3936" s="7" t="n">
        <v>53974</v>
      </c>
      <c r="E3936" s="8" t="n">
        <v>39687</v>
      </c>
      <c r="F3936" s="7" t="n">
        <v>5</v>
      </c>
      <c r="G3936" s="7" t="inlineStr">
        <is>
          <t>Very, Very moist, very, very good. Everyone loved it. I used sugar free geletin (raspberry) and added 1 cup of fresh strawberries with the fresh blackberries. Definately a keeper.</t>
        </is>
      </c>
    </row>
    <row r="3937">
      <c r="A3937" s="7" t="n">
        <v>16574</v>
      </c>
      <c r="B3937" s="7" t="n">
        <v>563870</v>
      </c>
      <c r="C3937" s="7" t="n">
        <v>481092</v>
      </c>
      <c r="D3937" s="7" t="n">
        <v>125618</v>
      </c>
      <c r="E3937" s="8" t="n">
        <v>40720</v>
      </c>
      <c r="F3937" s="7" t="n">
        <v>5</v>
      </c>
      <c r="G3937" s="7" t="inlineStr">
        <is>
          <t>Everyone really enjoyed these.  I cut into six pieces of pastry.  I made one vegetarian using tomato slice instead of chicken and was told it was better than the chicken version.  Next time will dice chicken instead of whole.  My daughter who feels everything needs a sauce loved as is. Might try combo of chicken and tomato next time.</t>
        </is>
      </c>
    </row>
    <row r="3938">
      <c r="A3938" t="n">
        <v>11459</v>
      </c>
      <c r="B3938" t="n">
        <v>182723</v>
      </c>
      <c r="C3938" t="n">
        <v>101732</v>
      </c>
      <c r="D3938" t="n">
        <v>263012</v>
      </c>
      <c r="E3938" s="1" t="n">
        <v>39903</v>
      </c>
      <c r="F3938" t="n">
        <v>5</v>
      </c>
      <c r="G3938" t="inlineStr">
        <is>
          <t>Wonderful!! It was very easy to put together with your trick!!  ;)  I used dried basil because I was out of fresh. I got through this without breaking any noodles...I was very proud. Thanks so much for posting!! made for PAC Spring '09.</t>
        </is>
      </c>
    </row>
    <row r="3939">
      <c r="A3939" s="7" t="n">
        <v>17684</v>
      </c>
      <c r="B3939" s="7" t="n">
        <v>426010</v>
      </c>
      <c r="C3939" s="7" t="n">
        <v>246898</v>
      </c>
      <c r="D3939" s="7" t="n">
        <v>24709</v>
      </c>
      <c r="E3939" s="8" t="n">
        <v>38921</v>
      </c>
      <c r="F3939" s="7" t="n">
        <v>5</v>
      </c>
      <c r="G3939" s="7" t="inlineStr">
        <is>
          <t>Great pie. When we finished it my family asked me to make another one.</t>
        </is>
      </c>
    </row>
    <row r="3940">
      <c r="A3940" s="7" t="n">
        <v>65144</v>
      </c>
      <c r="B3940" s="7" t="n">
        <v>1089246</v>
      </c>
      <c r="C3940" s="7" t="n">
        <v>524219</v>
      </c>
      <c r="D3940" s="7" t="n">
        <v>135997</v>
      </c>
      <c r="E3940" s="8" t="n">
        <v>39968</v>
      </c>
      <c r="F3940" s="7" t="n">
        <v>5</v>
      </c>
      <c r="G3940" s="7" t="inlineStr">
        <is>
          <t>Great easy recipe for a simple dinner.  I had 3 leftover hotdogs to use up.  Used red skinned potatos,boiled whole, cooled and diced with skin on.  Loved the sauce, like potato au gratin.  Will make again, thanks for positng</t>
        </is>
      </c>
    </row>
    <row r="3941">
      <c r="A3941" s="7" t="n">
        <v>18158</v>
      </c>
      <c r="B3941" s="7" t="n">
        <v>561934</v>
      </c>
      <c r="C3941" s="7" t="n">
        <v>424680</v>
      </c>
      <c r="D3941" s="7" t="n">
        <v>460266</v>
      </c>
      <c r="E3941" s="8" t="n">
        <v>40760</v>
      </c>
      <c r="F3941" s="7" t="n">
        <v>5</v>
      </c>
      <c r="G3941" s="7" t="inlineStr">
        <is>
          <t>I made the recipe as given (although another time I'd like to try it with whole wheat dough) &amp; had a great tasting garlic bread! Definitely thumbs up all around the table! Very easy prep for such a delicious bread! Thanks for sharing the recipe! [Made &amp; reviewed in I Recommend recipe tag]</t>
        </is>
      </c>
    </row>
    <row r="3942" ht="409.5" customHeight="1">
      <c r="A3942" s="7" t="n">
        <v>59875</v>
      </c>
      <c r="B3942" s="7" t="n">
        <v>377517</v>
      </c>
      <c r="C3942" s="7" t="n">
        <v>175727</v>
      </c>
      <c r="D3942" s="7" t="n">
        <v>243833</v>
      </c>
      <c r="E3942" s="8" t="n">
        <v>39353</v>
      </c>
      <c r="F3942" s="7" t="n">
        <v>5</v>
      </c>
      <c r="G3942" s="9" t="inlineStr">
        <is>
          <t>This is from the big old Betty Crocker cb my mom gave me ions ago.  I use this recipe 99% of the time.. the red wine heightens the beef flavour.. don't leave it out.. the alcohol dissapates anyway...  _x000D_
_x000D_
EXCELLENT!!!!!!</t>
        </is>
      </c>
    </row>
    <row r="3943">
      <c r="A3943" s="7" t="n">
        <v>107327</v>
      </c>
      <c r="B3943" s="7" t="n">
        <v>305278</v>
      </c>
      <c r="C3943" s="7" t="n">
        <v>647181</v>
      </c>
      <c r="D3943" s="7" t="n">
        <v>148807</v>
      </c>
      <c r="E3943" s="8" t="n">
        <v>40185</v>
      </c>
      <c r="F3943" s="7" t="n">
        <v>5</v>
      </c>
      <c r="G3943" s="7" t="inlineStr">
        <is>
          <t>We thought this was very good and did taste very similar to Max &amp; Erma's soup.  We used canned chicken to make it a little easier.  Just some advice, if you're cooking for 2 you might want to cut the recipe in half.  This has literally lasted a week (1-2 bowls a day) and I still have more in the fridge.  Next time I might freeze some for a quick dinner later.</t>
        </is>
      </c>
    </row>
    <row r="3944">
      <c r="A3944" s="7" t="n">
        <v>75601</v>
      </c>
      <c r="B3944" s="7" t="n">
        <v>156751</v>
      </c>
      <c r="C3944" s="7" t="n">
        <v>213114</v>
      </c>
      <c r="D3944" s="7" t="n">
        <v>163301</v>
      </c>
      <c r="E3944" s="8" t="n">
        <v>38988</v>
      </c>
      <c r="F3944" s="7" t="n">
        <v>5</v>
      </c>
      <c r="G3944" s="7" t="inlineStr">
        <is>
          <t>This was our dinner tonight with mashed potatoes, corn and dinner rolls. Dessert will have to come later! It was very good. Easy to prepare, ingredients in the pantry, satisfying, perfectly seasoned. This will be in my meal plans alternating with my old favorite - baked cube steak in mushroom gravy. Making the gravy was no more difficult than opening the can of soup for the other one. I guess this one wins the cost factor, too! No expensive soup.</t>
        </is>
      </c>
    </row>
    <row r="3945">
      <c r="A3945" s="7" t="n">
        <v>24922</v>
      </c>
      <c r="B3945" s="7" t="n">
        <v>66811</v>
      </c>
      <c r="C3945" s="7" t="n">
        <v>136726</v>
      </c>
      <c r="D3945" s="7" t="n">
        <v>93877</v>
      </c>
      <c r="E3945" s="8" t="n">
        <v>38494</v>
      </c>
      <c r="F3945" s="7" t="n">
        <v>5</v>
      </c>
      <c r="G3945" s="7" t="inlineStr">
        <is>
          <t>This was very good. The strawberries are a different twist to the a pound cake. Turned out very moist. I brought it to a friends house to have with coffe and everyone enjoyed it . Quiet easy to make. Thank you</t>
        </is>
      </c>
    </row>
    <row r="3946">
      <c r="A3946" t="n">
        <v>104579</v>
      </c>
      <c r="B3946" t="n">
        <v>1076674</v>
      </c>
      <c r="C3946" t="n">
        <v>2002286476</v>
      </c>
      <c r="D3946" t="n">
        <v>329804</v>
      </c>
      <c r="E3946" s="1" t="n">
        <v>43371</v>
      </c>
      <c r="F3946" t="n">
        <v>5</v>
      </c>
      <c r="G3946" t="inlineStr">
        <is>
          <t>This is great! I used goat milk and just normal beet-sugar and table salt. You were not kidding about it wanting to boil over, am glad I kept a close eye on it. Made hot chocolate with the dregs in the pan as to not waste any and it was perfect. Then used half to make frozen yogurt fudgesicles. Am really happy with the results, thank you for sharing.</t>
        </is>
      </c>
    </row>
    <row r="3947" ht="409.5" customHeight="1">
      <c r="A3947" s="7" t="n">
        <v>36598</v>
      </c>
      <c r="B3947" s="7" t="n">
        <v>699692</v>
      </c>
      <c r="C3947" s="7" t="n">
        <v>420468</v>
      </c>
      <c r="D3947" s="7" t="n">
        <v>89751</v>
      </c>
      <c r="E3947" s="8" t="n">
        <v>39531</v>
      </c>
      <c r="F3947" s="7" t="n">
        <v>5</v>
      </c>
      <c r="G3947" s="9" t="inlineStr">
        <is>
          <t>An awesome dummy-proof cupcake recipe! - Although I will certainly not encourage you to make my silly mistake!_x000D_
I messed these up terribly and they still turned out wonderfully!! - I'm not sure how that happened.  I don't have a mixer and just started to do everything as written, then got to the end and thought, oh no, this is not going to work easily.  After what seemed like hours of trying to get the lumps of butter out(well, incorporated) I had no choice but to give up.  Rather then throw the whole thing out I thought I'd throw them in the oven and see what happened... I got quite a few little holes (where the butter lumps were) and they did not rise well (after all the mixing) but they still looked and tasted amazing!  With all the fab feaatures everyone else has been raving about (the light and fluffy delicious little cakes)  Thanks so much for sharing your magic cupcake recipe :)  I did see someone said they used vegetable oil, I will do that next time too - as there will surely be a next time.</t>
        </is>
      </c>
    </row>
    <row r="3948">
      <c r="A3948" s="7" t="n">
        <v>9422</v>
      </c>
      <c r="B3948" s="7" t="n">
        <v>1031393</v>
      </c>
      <c r="C3948" s="7" t="n">
        <v>224740</v>
      </c>
      <c r="D3948" s="7" t="n">
        <v>112725</v>
      </c>
      <c r="E3948" s="8" t="n">
        <v>38642</v>
      </c>
      <c r="F3948" s="7" t="n">
        <v>4</v>
      </c>
      <c r="G3948" s="7" t="inlineStr">
        <is>
          <t>I used very ripe bananas and nice organic honey - it was very sweet and nice.</t>
        </is>
      </c>
    </row>
    <row r="3949">
      <c r="A3949" s="7" t="n">
        <v>89577</v>
      </c>
      <c r="B3949" s="7" t="n">
        <v>299865</v>
      </c>
      <c r="C3949" s="7" t="n">
        <v>195796</v>
      </c>
      <c r="D3949" s="7" t="n">
        <v>76491</v>
      </c>
      <c r="E3949" s="8" t="n">
        <v>38400</v>
      </c>
      <c r="F3949" s="7" t="n">
        <v>5</v>
      </c>
      <c r="G3949" s="7" t="inlineStr">
        <is>
          <t>Very good, and easy to make.</t>
        </is>
      </c>
    </row>
    <row r="3950">
      <c r="A3950" s="7" t="n">
        <v>49979</v>
      </c>
      <c r="B3950" s="7" t="n">
        <v>1081715</v>
      </c>
      <c r="C3950" s="7" t="n">
        <v>199657</v>
      </c>
      <c r="D3950" s="7" t="n">
        <v>43051</v>
      </c>
      <c r="E3950" s="8" t="n">
        <v>38517</v>
      </c>
      <c r="F3950" s="7" t="n">
        <v>0</v>
      </c>
      <c r="G3950" s="7" t="inlineStr">
        <is>
          <t>I cannot rate *this* recipe because I had to make so many substitutions, but even so, what I made with this as inspiration turned out to be a basic bean and meat soup. I was disappointed. The substitutions: I made my own chorizo (#12818); instead of tomato paste used a can of whole tomatoes, crushed, plus a cube of tomato bouillon, plus 5 sun-dried tomatoes, sniped into slivers. I also added hot green peppers (I haven't seen this type in the U.S., so I don't know what they might be called, here they just say they're "loot"--angry, meaning hot).  Anyway, two days later I'm eating the leftovers in hopes that the flavor has developed a little more, but no. Oh well, that's the way it goes sometimes!</t>
        </is>
      </c>
    </row>
    <row r="3951">
      <c r="A3951" s="7" t="n">
        <v>89413</v>
      </c>
      <c r="B3951" s="7" t="n">
        <v>502781</v>
      </c>
      <c r="C3951" s="7" t="n">
        <v>506345</v>
      </c>
      <c r="D3951" s="7" t="n">
        <v>313665</v>
      </c>
      <c r="E3951" s="8" t="n">
        <v>41923</v>
      </c>
      <c r="F3951" s="7" t="n">
        <v>5</v>
      </c>
      <c r="G3951" s="7" t="inlineStr">
        <is>
          <t>I&amp;#039;ve made this for several birthdays and it&amp;#039;s always a hit. I&amp;#039;ve tried other cakes that just came out messy but this one actually looks like an ice cream cake should and the taste is great!</t>
        </is>
      </c>
    </row>
    <row r="3952">
      <c r="A3952" s="7" t="n">
        <v>56098</v>
      </c>
      <c r="B3952" s="7" t="n">
        <v>16232</v>
      </c>
      <c r="C3952" s="7" t="n">
        <v>61660</v>
      </c>
      <c r="D3952" s="7" t="n">
        <v>48150</v>
      </c>
      <c r="E3952" s="8" t="n">
        <v>37916</v>
      </c>
      <c r="F3952" s="7" t="n">
        <v>5</v>
      </c>
      <c r="G3952" s="7" t="inlineStr">
        <is>
          <t>Loved these cookies!  I was able to get 3 sheets of 15 cookies, had to try a cookie from each sheet to make sure they were done.  Then, once they cooled, I had to try one from each batch again to see if they were crunchy or soft (they were just right) and the man ate a couple.  So I guess I was able to get just under 3 dozen :).  I did have a good amount of the nut/sugar mixture left over, but I put in in a plastic bag for the next batch of these I make!  Thanks Barb!!</t>
        </is>
      </c>
    </row>
    <row r="3953">
      <c r="A3953" s="7" t="n">
        <v>37545</v>
      </c>
      <c r="B3953" s="7" t="n">
        <v>747752</v>
      </c>
      <c r="C3953" s="7" t="n">
        <v>846154</v>
      </c>
      <c r="D3953" s="7" t="n">
        <v>49200</v>
      </c>
      <c r="E3953" s="8" t="n">
        <v>40819</v>
      </c>
      <c r="F3953" s="7" t="n">
        <v>4</v>
      </c>
      <c r="G3953" s="7" t="inlineStr">
        <is>
          <t>Made these the other day and they came out very good - perfectly cooked.  I would have liked a little more spice though.  Thanks for a good recipe!&lt;br/&gt;Update 10/3/11 - This recipe worked out good with http://www.food.com/recipe/meatloaf-yes-virginia-there-is-a-great-meatloaf-54257 because I was able to prep the potato wedges and get them in the oven within the first 15 minutes so that it could cook at 350F for the remaining hour with the meatloaf!</t>
        </is>
      </c>
    </row>
    <row r="3954">
      <c r="A3954" s="7" t="n">
        <v>56632</v>
      </c>
      <c r="B3954" s="7" t="n">
        <v>589029</v>
      </c>
      <c r="C3954" s="7" t="n">
        <v>860079</v>
      </c>
      <c r="D3954" s="7" t="n">
        <v>89210</v>
      </c>
      <c r="E3954" s="8" t="n">
        <v>39969</v>
      </c>
      <c r="F3954" s="7" t="n">
        <v>5</v>
      </c>
      <c r="G3954" s="7" t="inlineStr">
        <is>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is>
      </c>
    </row>
    <row r="3955">
      <c r="A3955" s="7" t="n">
        <v>62425</v>
      </c>
      <c r="B3955" s="7" t="n">
        <v>600576</v>
      </c>
      <c r="C3955" s="7" t="n">
        <v>1206102</v>
      </c>
      <c r="D3955" s="7" t="n">
        <v>475906</v>
      </c>
      <c r="E3955" s="8" t="n">
        <v>41634</v>
      </c>
      <c r="F3955" s="7" t="n">
        <v>5</v>
      </c>
      <c r="G3955" s="7" t="inlineStr">
        <is>
          <t>Family verdict: &amp;quot;Delicious!&amp;quot; A hit with my &amp;quot;meat-a-tarians&amp;quot; on Christmas morning.  I had no goat cheese on hand, so used sharp cheddar.  Next time I&amp;#039;ll do it &amp;quot;by the book,&amp;quot; and maybe sub Morningstar crumbles for the sausage so *I* can have some, too!</t>
        </is>
      </c>
    </row>
    <row r="3956" ht="409.5" customHeight="1">
      <c r="A3956" t="n">
        <v>52354</v>
      </c>
      <c r="B3956" t="n">
        <v>234788</v>
      </c>
      <c r="C3956" t="n">
        <v>284897</v>
      </c>
      <c r="D3956" t="n">
        <v>306005</v>
      </c>
      <c r="E3956" s="1" t="n">
        <v>40197</v>
      </c>
      <c r="F3956" t="n">
        <v>5</v>
      </c>
      <c r="G3956" s="2" t="inlineStr">
        <is>
          <t>This is such a wonderful potato salad. I halfed the recipe but followed all else exactly._x000D_
Great flavours, so easy and just fantastic!_x000D_
Hust so simple and so great a taste to this salad. The family loved it._x000D_
Thanks Chef on the coas for another keeper.</t>
        </is>
      </c>
    </row>
    <row r="3957">
      <c r="A3957" s="7" t="n">
        <v>50145</v>
      </c>
      <c r="B3957" s="7" t="n">
        <v>1128508</v>
      </c>
      <c r="C3957" s="7" t="n">
        <v>480195</v>
      </c>
      <c r="D3957" s="7" t="n">
        <v>417148</v>
      </c>
      <c r="E3957" s="8" t="n">
        <v>40326</v>
      </c>
      <c r="F3957" s="7" t="n">
        <v>5</v>
      </c>
      <c r="G3957" s="7" t="inlineStr">
        <is>
          <t>Terrific recipe! I used this to fill and top Recipe #425018, with some Cool Whip. It didn't end up fat free, but it sure was good. Thanks for sharing the recipe.</t>
        </is>
      </c>
    </row>
    <row r="3958">
      <c r="A3958" s="7" t="n">
        <v>28700</v>
      </c>
      <c r="B3958" s="7" t="n">
        <v>553381</v>
      </c>
      <c r="C3958" s="7" t="n">
        <v>2001744935</v>
      </c>
      <c r="D3958" s="7" t="n">
        <v>383049</v>
      </c>
      <c r="E3958" s="8" t="n">
        <v>43168</v>
      </c>
      <c r="F3958" s="7" t="n">
        <v>5</v>
      </c>
      <c r="G3958" s="7" t="inlineStr">
        <is>
          <t>LOVED IT .... made a GREAT entree with a salad, didn’t even feel like we were eating a TON of veggies!</t>
        </is>
      </c>
    </row>
    <row r="3959">
      <c r="A3959" s="7" t="n">
        <v>76411</v>
      </c>
      <c r="B3959" s="7" t="n">
        <v>386028</v>
      </c>
      <c r="C3959" s="7" t="n">
        <v>222478</v>
      </c>
      <c r="D3959" s="7" t="n">
        <v>291901</v>
      </c>
      <c r="E3959" s="8" t="n">
        <v>39785</v>
      </c>
      <c r="F3959" s="7" t="n">
        <v>5</v>
      </c>
      <c r="G3959" s="7" t="inlineStr">
        <is>
          <t>The cheese was a great addition to these tasty eggs!</t>
        </is>
      </c>
    </row>
    <row r="3960">
      <c r="A3960" s="7" t="n">
        <v>36846</v>
      </c>
      <c r="B3960" s="7" t="n">
        <v>596708</v>
      </c>
      <c r="C3960" s="7" t="n">
        <v>341170</v>
      </c>
      <c r="D3960" s="7" t="n">
        <v>192594</v>
      </c>
      <c r="E3960" s="8" t="n">
        <v>39260</v>
      </c>
      <c r="F3960" s="7" t="n">
        <v>3</v>
      </c>
      <c r="G3960" s="7" t="inlineStr">
        <is>
          <t>I loved the flavour of this, but I had to add more water and salsa than the recipe called for since it started sticking to the pan before the pasta was cooked. Very good though and the pan is now empty!</t>
        </is>
      </c>
    </row>
    <row r="3961" ht="300" customHeight="1">
      <c r="A3961" t="n">
        <v>83328</v>
      </c>
      <c r="B3961" t="n">
        <v>1012124</v>
      </c>
      <c r="C3961" t="n">
        <v>43216</v>
      </c>
      <c r="D3961" t="n">
        <v>169773</v>
      </c>
      <c r="E3961" s="1" t="n">
        <v>39412</v>
      </c>
      <c r="F3961" t="n">
        <v>5</v>
      </c>
      <c r="G3961" s="2" t="inlineStr">
        <is>
          <t>Dampfnudeln ...YUMM!!!!!_x000D_
_x000D_
I had them with melted butter on top and a sprikle of cinnamon/sugar_x000D_
_x000D_
:0)_x000D_
_x000D_
Ri</t>
        </is>
      </c>
    </row>
    <row r="3962" ht="390" customHeight="1">
      <c r="A3962" s="7" t="n">
        <v>118650</v>
      </c>
      <c r="B3962" s="7" t="n">
        <v>609119</v>
      </c>
      <c r="C3962" s="7" t="n">
        <v>1612049</v>
      </c>
      <c r="D3962" s="7" t="n">
        <v>401571</v>
      </c>
      <c r="E3962" s="8" t="n">
        <v>40306</v>
      </c>
      <c r="F3962" s="7" t="n">
        <v>5</v>
      </c>
      <c r="G3962" s="9" t="inlineStr">
        <is>
          <t>I made this evening....Searching the web for a quick CHOCOLATE FIX, and VIOLA! There it is!  Low Carb, and Delicious! 
Thank you so much One Happy Woman to another!  :)</t>
        </is>
      </c>
    </row>
    <row r="3963">
      <c r="A3963" s="7" t="n">
        <v>82251</v>
      </c>
      <c r="B3963" s="7" t="n">
        <v>961508</v>
      </c>
      <c r="C3963" s="7" t="n">
        <v>1656909</v>
      </c>
      <c r="D3963" s="7" t="n">
        <v>118477</v>
      </c>
      <c r="E3963" s="8" t="n">
        <v>40382</v>
      </c>
      <c r="F3963" s="7" t="n">
        <v>5</v>
      </c>
      <c r="G3963" s="7" t="inlineStr">
        <is>
          <t>Best banana bread I have ever made!</t>
        </is>
      </c>
    </row>
    <row r="3964">
      <c r="A3964" s="7" t="n">
        <v>119486</v>
      </c>
      <c r="B3964" s="7" t="n">
        <v>952269</v>
      </c>
      <c r="C3964" s="7" t="n">
        <v>148221</v>
      </c>
      <c r="D3964" s="7" t="n">
        <v>131082</v>
      </c>
      <c r="E3964" s="8" t="n">
        <v>41911</v>
      </c>
      <c r="F3964" s="7" t="n">
        <v>3</v>
      </c>
      <c r="G3964" s="7" t="inlineStr">
        <is>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is>
      </c>
    </row>
    <row r="3965">
      <c r="A3965" s="7" t="n">
        <v>37927</v>
      </c>
      <c r="B3965" s="7" t="n">
        <v>868246</v>
      </c>
      <c r="C3965" s="7" t="n">
        <v>69904</v>
      </c>
      <c r="D3965" s="7" t="n">
        <v>119357</v>
      </c>
      <c r="E3965" s="8" t="n">
        <v>39969</v>
      </c>
      <c r="F3965" s="7" t="n">
        <v>5</v>
      </c>
      <c r="G3965" s="7" t="inlineStr">
        <is>
          <t>This was great!  I am loving getting to try all the new recipes with each ZWT and am finding a new and unique potato salad with each and every tour.  We have a lot of gatherings and cookouts during the weather permitting months and you can't have too many potato salads.  What's great about this one is that it isn't likely to be a potato salad many people have tried before and variety is a good thing, you know!  Could not find creole mustard around here, go figure, so just used the creole mustard recipe that is posted by Mysterygirl, which was a lovely substitution.  Yeah!!  So thanks for sharing this recipe and I'm looking forward to sharing it too!  =)  Made for ZWT 5 for the Genies of Gourmet.</t>
        </is>
      </c>
    </row>
    <row r="3966">
      <c r="A3966" s="7" t="n">
        <v>99817</v>
      </c>
      <c r="B3966" s="7" t="n">
        <v>1065802</v>
      </c>
      <c r="C3966" s="7" t="n">
        <v>25792</v>
      </c>
      <c r="D3966" s="7" t="n">
        <v>13707</v>
      </c>
      <c r="E3966" s="8" t="n">
        <v>37573</v>
      </c>
      <c r="F3966" s="7" t="n">
        <v>5</v>
      </c>
      <c r="G3966" s="7" t="inlineStr">
        <is>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is>
      </c>
    </row>
    <row r="3967" ht="409.5" customHeight="1">
      <c r="A3967" t="n">
        <v>31865</v>
      </c>
      <c r="B3967" t="n">
        <v>462319</v>
      </c>
      <c r="C3967" t="n">
        <v>124249</v>
      </c>
      <c r="D3967" t="n">
        <v>116741</v>
      </c>
      <c r="E3967" s="1" t="n">
        <v>38472</v>
      </c>
      <c r="F3967" t="n">
        <v>5</v>
      </c>
      <c r="G3967" s="2" t="inlineStr">
        <is>
          <t>I gave this five stars because it taste better to me than the real thing. My husband is the V-8 drinker in our house. I usually drink plain tomato because I don't like a certain flavor that V-8 has but this drink doesn't have that. _x000D_
_x000D_
Thanks Happy Harry #2._x000D_
_x000D_
Bullwinkle</t>
        </is>
      </c>
    </row>
    <row r="3968">
      <c r="A3968" s="7" t="n">
        <v>46082</v>
      </c>
      <c r="B3968" s="7" t="n">
        <v>987294</v>
      </c>
      <c r="C3968" s="7" t="n">
        <v>195999</v>
      </c>
      <c r="D3968" s="7" t="n">
        <v>116718</v>
      </c>
      <c r="E3968" s="8" t="n">
        <v>39981</v>
      </c>
      <c r="F3968" s="7" t="n">
        <v>5</v>
      </c>
      <c r="G3968" s="7" t="inlineStr">
        <is>
          <t>i've made this twice now and was fantastic both times. I baked it instead of using a bread maching, wonderful!</t>
        </is>
      </c>
    </row>
    <row r="3969">
      <c r="A3969" s="7" t="n">
        <v>96734</v>
      </c>
      <c r="B3969" s="7" t="n">
        <v>439488</v>
      </c>
      <c r="C3969" s="7" t="n">
        <v>60989</v>
      </c>
      <c r="D3969" s="7" t="n">
        <v>59189</v>
      </c>
      <c r="E3969" s="8" t="n">
        <v>38165</v>
      </c>
      <c r="F3969" s="7" t="n">
        <v>5</v>
      </c>
      <c r="G3969" s="7" t="inlineStr">
        <is>
          <t xml:space="preserve">Wonderful. Everyone needs to make this sandwich. It is so light and so refreshing and so flavorful... to die for. I had to have two! This is my new summer sandwich. Thank you so much! </t>
        </is>
      </c>
    </row>
    <row r="3970">
      <c r="A3970" s="7" t="n">
        <v>57777</v>
      </c>
      <c r="B3970" s="7" t="n">
        <v>409930</v>
      </c>
      <c r="C3970" s="7" t="n">
        <v>1020948</v>
      </c>
      <c r="D3970" s="7" t="n">
        <v>112813</v>
      </c>
      <c r="E3970" s="8" t="n">
        <v>39808</v>
      </c>
      <c r="F3970" s="7" t="n">
        <v>5</v>
      </c>
      <c r="G3970" s="7" t="inlineStr">
        <is>
          <t>This was so easy to make. The meat literaly melts in your mouth, it is so tender! We put it over rice. It was a hit!</t>
        </is>
      </c>
    </row>
    <row r="3971">
      <c r="A3971" s="7" t="n">
        <v>105789</v>
      </c>
      <c r="B3971" s="7" t="n">
        <v>749726</v>
      </c>
      <c r="C3971" s="7" t="n">
        <v>498271</v>
      </c>
      <c r="D3971" s="7" t="n">
        <v>299478</v>
      </c>
      <c r="E3971" s="8" t="n">
        <v>39616</v>
      </c>
      <c r="F3971" s="7" t="n">
        <v>5</v>
      </c>
      <c r="G3971" s="7" t="inlineStr">
        <is>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is>
      </c>
    </row>
    <row r="3972">
      <c r="A3972" s="7" t="n">
        <v>88774</v>
      </c>
      <c r="B3972" s="7" t="n">
        <v>57412</v>
      </c>
      <c r="C3972" s="7" t="n">
        <v>2752237</v>
      </c>
      <c r="D3972" s="7" t="n">
        <v>197712</v>
      </c>
      <c r="E3972" s="8" t="n">
        <v>42472</v>
      </c>
      <c r="F3972" s="7" t="n">
        <v>5</v>
      </c>
      <c r="G3972" s="7" t="inlineStr">
        <is>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is>
      </c>
    </row>
    <row r="3973">
      <c r="A3973" s="7" t="n">
        <v>2623</v>
      </c>
      <c r="B3973" s="7" t="n">
        <v>760689</v>
      </c>
      <c r="C3973" s="7" t="n">
        <v>1699816</v>
      </c>
      <c r="D3973" s="7" t="n">
        <v>262386</v>
      </c>
      <c r="E3973" s="8" t="n">
        <v>40849</v>
      </c>
      <c r="F3973" s="7" t="n">
        <v>5</v>
      </c>
      <c r="G3973" s="7" t="inlineStr">
        <is>
          <t>This is a PERFECT method for cooking greens, works every time!  We enjoy this meal with pintos instead of black eye peas.  We eat it about once a week in the winter.  You can also used diced country ham or fat back if you don't have bacon, or even plain old ham. Mmmm!</t>
        </is>
      </c>
    </row>
    <row r="3974">
      <c r="A3974" s="7" t="n">
        <v>11998</v>
      </c>
      <c r="B3974" s="7" t="n">
        <v>925040</v>
      </c>
      <c r="C3974" s="7" t="n">
        <v>176615</v>
      </c>
      <c r="D3974" s="7" t="n">
        <v>26339</v>
      </c>
      <c r="E3974" s="8" t="n">
        <v>38463</v>
      </c>
      <c r="F3974" s="7" t="n">
        <v>5</v>
      </c>
      <c r="G3974" s="7" t="inlineStr">
        <is>
          <t>I really did not expect this to be SO GOOD! I was looking for something quick to make for a busy night, something which the kids might actually eat. This was a big surprise. I'm not a BBQ sauce lover, but the combination of the sauce with bacon (I used crumbled bacon) and cheese in the oven produces a fantastic result. Chicken was moist and flavorful and the family gobbled it down. I also had some great leftovers for lunch the next day. Thanks, Wende, we really enjoyed it!</t>
        </is>
      </c>
    </row>
    <row r="3975">
      <c r="A3975" s="7" t="n">
        <v>37720</v>
      </c>
      <c r="B3975" s="7" t="n">
        <v>58960</v>
      </c>
      <c r="C3975" s="7" t="n">
        <v>2001137488</v>
      </c>
      <c r="D3975" s="7" t="n">
        <v>185704</v>
      </c>
      <c r="E3975" s="8" t="n">
        <v>42974</v>
      </c>
      <c r="F3975" s="7" t="n">
        <v>3</v>
      </c>
      <c r="G3975" s="7" t="inlineStr">
        <is>
          <t>I had a very difficult time getting the cheese to fully combine and the sauce to thicken. Added cream cheese in hopes to add some thickness and that also was difficult to fully combine. Ended up just hoping for the best and tossing the pasta in the skillet and stirring it all up. It tasted pretty good, despite my struggles with the sauce.</t>
        </is>
      </c>
    </row>
    <row r="3976">
      <c r="A3976" s="7" t="n">
        <v>21633</v>
      </c>
      <c r="B3976" s="7" t="n">
        <v>923019</v>
      </c>
      <c r="C3976" s="7" t="n">
        <v>80079</v>
      </c>
      <c r="D3976" s="7" t="n">
        <v>85743</v>
      </c>
      <c r="E3976" s="8" t="n">
        <v>38283</v>
      </c>
      <c r="F3976" s="7" t="n">
        <v>4</v>
      </c>
      <c r="G3976" s="7" t="inlineStr">
        <is>
          <t>mmmmmm these were a big hit at our neighborhood cocktail party.  I don't think I drained the artichokes well enough, because it tasted to vinegary for me.  So I added some Old Bay Seasoning to cover it up.</t>
        </is>
      </c>
    </row>
    <row r="3977">
      <c r="A3977" s="7" t="n">
        <v>79568</v>
      </c>
      <c r="B3977" s="7" t="n">
        <v>679876</v>
      </c>
      <c r="C3977" s="7" t="n">
        <v>655199</v>
      </c>
      <c r="D3977" s="7" t="n">
        <v>434823</v>
      </c>
      <c r="E3977" s="8" t="n">
        <v>41753</v>
      </c>
      <c r="F3977" s="7" t="n">
        <v>5</v>
      </c>
      <c r="G3977" s="7" t="inlineStr">
        <is>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is>
      </c>
    </row>
    <row r="3978" ht="409.5" customHeight="1">
      <c r="A3978" s="7" t="n">
        <v>95472</v>
      </c>
      <c r="B3978" s="7" t="n">
        <v>96020</v>
      </c>
      <c r="C3978" s="7" t="n">
        <v>2000081367</v>
      </c>
      <c r="D3978" s="7" t="n">
        <v>126623</v>
      </c>
      <c r="E3978" s="8" t="n">
        <v>42085</v>
      </c>
      <c r="F3978" s="7" t="n">
        <v>4</v>
      </c>
      <c r="G3978" s="9" t="inlineStr">
        <is>
          <t>I made this tonight because I came across it &amp;amp; thought oh yum! I did change a few things but more for the lack of not having it at the store &amp;amp; a suggestion from my mother in law.
My walmarts was out of the block velveeta cheese so I purchased a 2c bag of the shredded original velveeta. 
I went ahead &amp;amp; used all of it so omitted bout 1/3rd - 1/2 of the milk saving it in case it was needed. I found the sauce to be pretty thick so added a tad more milk to the actual mixture after adding the cheese/milk mixture as I wasn&amp;#039;t 100% sure of the consistancy needed. 
I instead of skinless long links got little smokies &amp;amp; cut them into 3rds frying them about 15mins as the directions said. 
I do wish there was a more specific way to &amp;#039;cook&amp;#039; the potatoes - I cut mine before boiling them leaving skin on. I cooked them about 20mins so they had almost a mash-able feel they were defin. fork tender. 
I wonder if there was a better way to cook em since I&amp;#039;ve no idea what else to do to them aside throw em in the oven and then do so again with the rest of the recipe&amp;#039;s ingredents :3</t>
        </is>
      </c>
    </row>
    <row r="3979">
      <c r="A3979" s="7" t="n">
        <v>92016</v>
      </c>
      <c r="B3979" s="7" t="n">
        <v>1075794</v>
      </c>
      <c r="C3979" s="7" t="n">
        <v>465829</v>
      </c>
      <c r="D3979" s="7" t="n">
        <v>246888</v>
      </c>
      <c r="E3979" s="8" t="n">
        <v>39823</v>
      </c>
      <c r="F3979" s="7" t="n">
        <v>5</v>
      </c>
      <c r="G3979" s="7" t="inlineStr">
        <is>
          <t>Awesome! Delicious. I can't wait to make these again. I was so impressed with how good they were. I've never been a fan of the sour cream with my baked potatoes. They cottage cheese was so very good and creamy. I really enjoyed this simple and easy meal in itself. I will be making them again for Sunday dinner this weekend! Made and Reviewed for Football Pool #17 - Recipextra - Congrats on your win! Thanks :)</t>
        </is>
      </c>
    </row>
    <row r="3980">
      <c r="A3980" s="7" t="n">
        <v>81766</v>
      </c>
      <c r="B3980" s="7" t="n">
        <v>971989</v>
      </c>
      <c r="C3980" s="7" t="n">
        <v>140132</v>
      </c>
      <c r="D3980" s="7" t="n">
        <v>140878</v>
      </c>
      <c r="E3980" s="8" t="n">
        <v>40565</v>
      </c>
      <c r="F3980" s="7" t="n">
        <v>5</v>
      </c>
      <c r="G3980" s="7" t="inlineStr">
        <is>
          <t>I made this using a chuck roast and it turned out wonderful.  I cooked mine for about 9 hours and it was perfect.  The kids scraped off their salt and pepper crust on the outside but they ate it up.  Thank you for sharing this smokey delicious roast recipe.</t>
        </is>
      </c>
    </row>
    <row r="3981">
      <c r="A3981" s="7" t="n">
        <v>33756</v>
      </c>
      <c r="B3981" s="7" t="n">
        <v>1008190</v>
      </c>
      <c r="C3981" s="7" t="n">
        <v>106608</v>
      </c>
      <c r="D3981" s="7" t="n">
        <v>56366</v>
      </c>
      <c r="E3981" s="8" t="n">
        <v>38130</v>
      </c>
      <c r="F3981" s="7" t="n">
        <v>4</v>
      </c>
      <c r="G3981" s="7" t="inlineStr">
        <is>
          <t>Thanks Jude for posting this recipe.  I've cooked it twice already.  A sure keeper.  I did add a teaspoon of garlic powder, 1/4 cup uncooked white rice, and 1/2 teaspoon celery-salt.  And left out carrots, celery, and salt.</t>
        </is>
      </c>
    </row>
    <row r="3982">
      <c r="A3982" s="7" t="n">
        <v>12325</v>
      </c>
      <c r="B3982" s="7" t="n">
        <v>253251</v>
      </c>
      <c r="C3982" s="7" t="n">
        <v>292789</v>
      </c>
      <c r="D3982" s="7" t="n">
        <v>102617</v>
      </c>
      <c r="E3982" s="8" t="n">
        <v>39177</v>
      </c>
      <c r="F3982" s="7" t="n">
        <v>5</v>
      </c>
      <c r="G3982" s="7" t="inlineStr">
        <is>
          <t>This is the best coleslaw I have ever had, and I even had to substitute the buttermilk with soured milk (the buttermilk I "thought" I had was too far past the exp date to use).  I omitted the green onions since I don't care for them in coleslaw.  I have a feeling I'll be making this recipe often!</t>
        </is>
      </c>
    </row>
    <row r="3983">
      <c r="A3983" s="7" t="n">
        <v>109051</v>
      </c>
      <c r="B3983" s="7" t="n">
        <v>830954</v>
      </c>
      <c r="C3983" s="7" t="n">
        <v>693345</v>
      </c>
      <c r="D3983" s="7" t="n">
        <v>88416</v>
      </c>
      <c r="E3983" s="8" t="n">
        <v>40362</v>
      </c>
      <c r="F3983" s="7" t="n">
        <v>5</v>
      </c>
      <c r="G3983" s="7" t="inlineStr">
        <is>
          <t>I made this today for a small BBQ lunch that I had, because my mother-in-law is diabetic, and I didn't want her to be left out of the desserts (because I made other ice creams for everyone else). I used 1 cup whipping cream and 3 1/2 cups fat-free half and half (using all fat-free half and half might be more like ice milk, I think). All the other ingredients I kept the same. I changed the mixing method a bit though, based on other experiences I've had with custard-based ice creams: I simmered the Splenda, cream, and half and half in a heavy saucepan, until it was hot, stirring with a whisk to dissolve the Splenda (the mixture foamed up a bit while heating). I beat the eggs in a separate bowl, and added a little of the hot mixture to the eggs, to temper them, before adding the eggs to the saucepan. I then cooked until medium-thick on low heat (don't let it boil, or the eggs will scramble). Once it was medium-thick, I took it off the heat, poured it through a strainer into a large bowl, let it cool a bit, and stirred in the vanilla. I then proceeded with step 4. I had to make this in 2 batches in the ice cream maker, because my Cuisinart ice cream maker only has a 1 1/2 quart bowl, and it was too much liquid to put in one go. I made two batches (totaling about 1 3/4 quarts finished), and I chopped up some sugar-free Mounds-type candy for one of the batches. I didn't have any, but my mother-in-law said it was good and the texture was nice. I was happy to be able to make ice cream that she could eat too. Sorry for the HUGE review, but thanks a bunch for posting this!</t>
        </is>
      </c>
    </row>
    <row r="3984">
      <c r="A3984" s="7" t="n">
        <v>34397</v>
      </c>
      <c r="B3984" s="7" t="n">
        <v>73177</v>
      </c>
      <c r="C3984" s="7" t="n">
        <v>29196</v>
      </c>
      <c r="D3984" s="7" t="n">
        <v>88377</v>
      </c>
      <c r="E3984" s="8" t="n">
        <v>38095</v>
      </c>
      <c r="F3984" s="7" t="n">
        <v>4</v>
      </c>
      <c r="G3984" s="7" t="inlineStr">
        <is>
          <t>This was a tasty stew thanks Tansy. The vinegar really came through and added a nice and different flavour to it. I'm going to try it with the mushroomas and sour cream next time.</t>
        </is>
      </c>
    </row>
    <row r="3985">
      <c r="A3985" s="7" t="n">
        <v>125336</v>
      </c>
      <c r="B3985" s="7" t="n">
        <v>187042</v>
      </c>
      <c r="C3985" s="7" t="n">
        <v>398487</v>
      </c>
      <c r="D3985" s="7" t="n">
        <v>89705</v>
      </c>
      <c r="E3985" s="8" t="n">
        <v>39106</v>
      </c>
      <c r="F3985" s="7" t="n">
        <v>3</v>
      </c>
      <c r="G3985" s="7" t="inlineStr">
        <is>
          <t>This was a pretty good meatloaf.  I think next time I will cut the spinach in half as it can be overpowering if it is not evenly distributed throughout the loaf.  Also, I might add some onions and garlic to the meat.  My husband said it was OK. I served it with mash potatoes and peas.  I'll make it again with a few changes!</t>
        </is>
      </c>
    </row>
    <row r="3986">
      <c r="A3986" s="7" t="n">
        <v>125024</v>
      </c>
      <c r="B3986" s="7" t="n">
        <v>659284</v>
      </c>
      <c r="C3986" s="7" t="n">
        <v>464080</v>
      </c>
      <c r="D3986" s="7" t="n">
        <v>7841</v>
      </c>
      <c r="E3986" s="8" t="n">
        <v>41066</v>
      </c>
      <c r="F3986" s="7" t="n">
        <v>4</v>
      </c>
      <c r="G3986" s="7" t="inlineStr">
        <is>
          <t>Nice salad.  I added some red pepper slices and some slivers of onion.  Thanks for sharing.</t>
        </is>
      </c>
    </row>
    <row r="3987" ht="409.5" customHeight="1">
      <c r="A3987" s="7" t="n">
        <v>35972</v>
      </c>
      <c r="B3987" s="7" t="n">
        <v>642628</v>
      </c>
      <c r="C3987" s="7" t="n">
        <v>135542</v>
      </c>
      <c r="D3987" s="7" t="n">
        <v>35988</v>
      </c>
      <c r="E3987" s="8" t="n">
        <v>39519</v>
      </c>
      <c r="F3987" s="7" t="n">
        <v>5</v>
      </c>
      <c r="G3987" s="9" t="inlineStr">
        <is>
          <t>Loved it!  Added white beans, left out the spinich and used brown rice spiral noodles instead of the tortellini.  Additional spices were: ground fennel, thyme, basil, oregano and parsley._x000D_
Perfect comfort food to cure the common cold!</t>
        </is>
      </c>
    </row>
    <row r="3988">
      <c r="A3988" s="7" t="n">
        <v>92150</v>
      </c>
      <c r="B3988" s="7" t="n">
        <v>1038745</v>
      </c>
      <c r="C3988" s="7" t="n">
        <v>2423055</v>
      </c>
      <c r="D3988" s="7" t="n">
        <v>497311</v>
      </c>
      <c r="E3988" s="8" t="n">
        <v>41357</v>
      </c>
      <c r="F3988" s="7" t="n">
        <v>5</v>
      </c>
      <c r="G3988" s="7" t="inlineStr">
        <is>
          <t>This is our kind of dish! We love corned beef hash and this recipe is easy, fast and sounds delish!! I think I&amp;#039;ll make it tomorrow for lunch! I just happen to have all the ingredients on hand! YUM!</t>
        </is>
      </c>
    </row>
    <row r="3989">
      <c r="A3989" s="7" t="n">
        <v>20669</v>
      </c>
      <c r="B3989" s="7" t="n">
        <v>554289</v>
      </c>
      <c r="C3989" s="7" t="n">
        <v>496803</v>
      </c>
      <c r="D3989" s="7" t="n">
        <v>429546</v>
      </c>
      <c r="E3989" s="8" t="n">
        <v>41110</v>
      </c>
      <c r="F3989" s="7" t="n">
        <v>4</v>
      </c>
      <c r="G3989" s="7" t="inlineStr">
        <is>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is>
      </c>
    </row>
    <row r="3990">
      <c r="A3990" s="7" t="n">
        <v>103065</v>
      </c>
      <c r="B3990" s="7" t="n">
        <v>1081714</v>
      </c>
      <c r="C3990" s="7" t="n">
        <v>63128</v>
      </c>
      <c r="D3990" s="7" t="n">
        <v>43051</v>
      </c>
      <c r="E3990" s="8" t="n">
        <v>37874</v>
      </c>
      <c r="F3990" s="7" t="n">
        <v>4</v>
      </c>
      <c r="G3990" s="7" t="inlineStr">
        <is>
          <t xml:space="preserve">Very good--nice and spicy and hearty.  I had to cook the beans for closer to 2 hours to get them tender and I think I might have liked them even better cooked longer.  I just ran out of paprika so I omitted that and I used spicy Italian sausage (removed it from the casing and crumbled it in chunks after it was boiling).  </t>
        </is>
      </c>
    </row>
    <row r="3991">
      <c r="A3991" s="7" t="n">
        <v>23509</v>
      </c>
      <c r="B3991" s="7" t="n">
        <v>941215</v>
      </c>
      <c r="C3991" s="7" t="n">
        <v>130663</v>
      </c>
      <c r="D3991" s="7" t="n">
        <v>19315</v>
      </c>
      <c r="E3991" s="8" t="n">
        <v>40170</v>
      </c>
      <c r="F3991" s="7" t="n">
        <v>4</v>
      </c>
      <c r="G3991" s="7" t="inlineStr">
        <is>
          <t>Very filling and easy to make.</t>
        </is>
      </c>
    </row>
    <row r="3992">
      <c r="A3992" s="7" t="n">
        <v>116323</v>
      </c>
      <c r="B3992" s="7" t="n">
        <v>612011</v>
      </c>
      <c r="C3992" s="7" t="n">
        <v>2001023000</v>
      </c>
      <c r="D3992" s="7" t="n">
        <v>238994</v>
      </c>
      <c r="E3992" s="8" t="n">
        <v>42513</v>
      </c>
      <c r="F3992" s="7" t="n">
        <v>5</v>
      </c>
      <c r="G3992" s="7" t="inlineStr">
        <is>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is>
      </c>
    </row>
    <row r="3993">
      <c r="A3993" s="7" t="n">
        <v>118554</v>
      </c>
      <c r="B3993" s="7" t="n">
        <v>521923</v>
      </c>
      <c r="C3993" s="7" t="n">
        <v>164610</v>
      </c>
      <c r="D3993" s="7" t="n">
        <v>268774</v>
      </c>
      <c r="E3993" s="8" t="n">
        <v>39728</v>
      </c>
      <c r="F3993" s="7" t="n">
        <v>5</v>
      </c>
      <c r="G3993" s="7" t="inlineStr">
        <is>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is>
      </c>
    </row>
    <row r="3994" ht="409.5" customHeight="1">
      <c r="A3994" s="7" t="n">
        <v>107895</v>
      </c>
      <c r="B3994" s="7" t="n">
        <v>958030</v>
      </c>
      <c r="C3994" s="7" t="n">
        <v>29782</v>
      </c>
      <c r="D3994" s="7" t="n">
        <v>68614</v>
      </c>
      <c r="E3994" s="8" t="n">
        <v>38943</v>
      </c>
      <c r="F3994" s="7" t="n">
        <v>5</v>
      </c>
      <c r="G3994" s="9" t="inlineStr">
        <is>
          <t>WOW! this was great.  We really enjoyed this recipe. Its one I am so sure we will make again many times.  I let the shrimp marinate for several hours and than we put them on skewers and grilled them. We shared them with our friends too and of coarse the shrimp was a big hit with them too. _x000D_
Thanks so much for sharing the recipe.</t>
        </is>
      </c>
    </row>
    <row r="3995">
      <c r="A3995" s="7" t="n">
        <v>25167</v>
      </c>
      <c r="B3995" s="7" t="n">
        <v>262562</v>
      </c>
      <c r="C3995" s="7" t="n">
        <v>2783733</v>
      </c>
      <c r="D3995" s="7" t="n">
        <v>496614</v>
      </c>
      <c r="E3995" s="8" t="n">
        <v>42696</v>
      </c>
      <c r="F3995" s="7" t="n">
        <v>5</v>
      </c>
      <c r="G3995" s="7" t="inlineStr">
        <is>
          <t>Outstanding! Super easy &amp;amp; so good. They taste like KFC biscuits only better! I will have to start doubling the batch because my family of 4 wiped them out and none were left after dinner.</t>
        </is>
      </c>
    </row>
    <row r="3996">
      <c r="A3996" s="7" t="n">
        <v>115096</v>
      </c>
      <c r="B3996" s="7" t="n">
        <v>76432</v>
      </c>
      <c r="C3996" s="7" t="n">
        <v>2000349997</v>
      </c>
      <c r="D3996" s="7" t="n">
        <v>305496</v>
      </c>
      <c r="E3996" s="8" t="n">
        <v>42204</v>
      </c>
      <c r="F3996" s="7" t="n">
        <v>5</v>
      </c>
      <c r="G3996" s="7" t="inlineStr">
        <is>
          <t>I am an innkeeper for a B&amp;amp;B in Luray, Virginia and was looking for something to serve family style to go along with a Blueberry Capote that I was serving - this was the perfect addition!  The roasted red peppers and provolone caught my eye and it was LOVE! Thanks!</t>
        </is>
      </c>
    </row>
    <row r="3997">
      <c r="A3997" t="n">
        <v>46795</v>
      </c>
      <c r="B3997" t="n">
        <v>63997</v>
      </c>
      <c r="C3997" t="n">
        <v>640474</v>
      </c>
      <c r="D3997" t="n">
        <v>3439</v>
      </c>
      <c r="E3997" s="1" t="n">
        <v>39771</v>
      </c>
      <c r="F3997" t="n">
        <v>4</v>
      </c>
      <c r="G3997" t="inlineStr">
        <is>
          <t>Very simple recipe, but I found it a little bare on the flavor side. I added cumin and paprika, increased the worcestershire by double and added a few dashes of pepper sauce. Next time I might even add some green chiles or roasted red peppers. I also replaced the water with chicken stock to add flavor, then some milk towards the end since I like it a little creamier. All in all this is a great base recipe to take on a host of flavors that you can be creative with!!</t>
        </is>
      </c>
    </row>
    <row r="3998">
      <c r="A3998" s="7" t="n">
        <v>122196</v>
      </c>
      <c r="B3998" s="7" t="n">
        <v>593201</v>
      </c>
      <c r="C3998" s="7" t="n">
        <v>101823</v>
      </c>
      <c r="D3998" s="7" t="n">
        <v>99780</v>
      </c>
      <c r="E3998" s="8" t="n">
        <v>38774</v>
      </c>
      <c r="F3998" s="7" t="n">
        <v>5</v>
      </c>
      <c r="G3998" s="7" t="inlineStr">
        <is>
          <t>Absolute perfection!  The dressing for this salad is incredible.  I must admit that I didn't measure the vinegar or sugar.  I just splashed what appeared to be the correct amounts into the pan and brought it to a boil to create a nice syrup.  I have had this dressing in restaurants, but this was my first time preparing.  I can't believe how simple it was for such great flavor.  I will be making this again.</t>
        </is>
      </c>
    </row>
    <row r="3999">
      <c r="A3999" s="7" t="n">
        <v>107233</v>
      </c>
      <c r="B3999" s="7" t="n">
        <v>829690</v>
      </c>
      <c r="C3999" s="7" t="n">
        <v>102602</v>
      </c>
      <c r="D3999" s="7" t="n">
        <v>48494</v>
      </c>
      <c r="E3999" s="8" t="n">
        <v>37975</v>
      </c>
      <c r="F3999" s="7" t="n">
        <v>5</v>
      </c>
      <c r="G3999" s="7" t="inlineStr">
        <is>
          <t>Chia, these latkes are excellent and so easy to make! They were crisp and tasted delicious. I made them exactly according to the recipe and served them with applesauce. I plan to try sock-monster's suggestion and substitute sweet potatoes next time. I really like this recipe because these latkes are much lower in fat and calories than traditional latkes. Thanks for sharing this terrific recipe.</t>
        </is>
      </c>
    </row>
    <row r="4000" ht="409.5" customHeight="1">
      <c r="A4000" s="7" t="n">
        <v>84096</v>
      </c>
      <c r="B4000" s="7" t="n">
        <v>910167</v>
      </c>
      <c r="C4000" s="7" t="n">
        <v>340980</v>
      </c>
      <c r="D4000" s="7" t="n">
        <v>147494</v>
      </c>
      <c r="E4000" s="8" t="n">
        <v>39992</v>
      </c>
      <c r="F4000" s="7" t="n">
        <v>1</v>
      </c>
      <c r="G4000" s="9" t="inlineStr">
        <is>
          <t>If I could only give this 1/2 a star I would.  However, I see that I am in the minority.  I love ranch.  I love cream cheese.  I love all the ingredients listed but obviously, not together.  
I followed this recipe to a T.  I am saddened that I wasted a block of cream cheese.  I felt that the taste was gritty, salty and unflavorful.  I really am sad because I truly wanted to love this.  
My daughter and I ended up eating peanut butter and jelly sandwiches instead.  Sorry :(</t>
        </is>
      </c>
    </row>
    <row r="4001">
      <c r="A4001" s="7" t="n">
        <v>80355</v>
      </c>
      <c r="B4001" s="7" t="n">
        <v>604739</v>
      </c>
      <c r="C4001" s="7" t="n">
        <v>17608</v>
      </c>
      <c r="D4001" s="7" t="n">
        <v>12207</v>
      </c>
      <c r="E4001" s="8" t="n">
        <v>37222</v>
      </c>
      <c r="F4001" s="7" t="n">
        <v>5</v>
      </c>
      <c r="G4001" s="7" t="inlineStr">
        <is>
          <t>These are fantastic!  I used 2 whole, dried Ancho Chilis instead of the powdered kind.  I just took out the seeds and threw them in.  Very good.  I love to find new recipes for country style ribs, this was great.</t>
        </is>
      </c>
    </row>
    <row r="4002">
      <c r="A4002" s="7" t="n">
        <v>57053</v>
      </c>
      <c r="B4002" s="7" t="n">
        <v>282889</v>
      </c>
      <c r="C4002" s="7" t="n">
        <v>2001401542</v>
      </c>
      <c r="D4002" s="7" t="n">
        <v>429589</v>
      </c>
      <c r="E4002" s="8" t="n">
        <v>42789</v>
      </c>
      <c r="F4002" s="7" t="n">
        <v>0</v>
      </c>
      <c r="G4002" s="7" t="inlineStr">
        <is>
          <t>This looks yum and I happen to have every ingredient it calls for, except the cream cheese. Sunday's dinner desert:)</t>
        </is>
      </c>
    </row>
    <row r="4003">
      <c r="A4003" s="7" t="n">
        <v>105585</v>
      </c>
      <c r="B4003" s="7" t="n">
        <v>282838</v>
      </c>
      <c r="C4003" s="7" t="n">
        <v>136997</v>
      </c>
      <c r="D4003" s="7" t="n">
        <v>395683</v>
      </c>
      <c r="E4003" s="8" t="n">
        <v>40181</v>
      </c>
      <c r="F4003" s="7" t="n">
        <v>4</v>
      </c>
      <c r="G4003" s="7" t="inlineStr">
        <is>
          <t>Tasty. I used leeks and zucchini. Followed the recipe, but was a tad confused about the last part of the instructions, where it says to take the meat off the bones? The ingredient list calls for Italian sausage, which I used. Made for Theirs, Yours and Mine Photo Tag Event. :)</t>
        </is>
      </c>
    </row>
    <row r="4004">
      <c r="A4004" s="7" t="n">
        <v>17143</v>
      </c>
      <c r="B4004" s="7" t="n">
        <v>1115636</v>
      </c>
      <c r="C4004" s="7" t="n">
        <v>258847</v>
      </c>
      <c r="D4004" s="7" t="n">
        <v>138195</v>
      </c>
      <c r="E4004" s="8" t="n">
        <v>38661</v>
      </c>
      <c r="F4004" s="7" t="n">
        <v>1</v>
      </c>
      <c r="G4004" s="7" t="inlineStr">
        <is>
          <t>Much too dry a mix, muffins should be soft and moist.</t>
        </is>
      </c>
    </row>
    <row r="4005">
      <c r="A4005" s="7" t="n">
        <v>12739</v>
      </c>
      <c r="B4005" s="7" t="n">
        <v>945022</v>
      </c>
      <c r="C4005" s="7" t="n">
        <v>274891</v>
      </c>
      <c r="D4005" s="7" t="n">
        <v>30412</v>
      </c>
      <c r="E4005" s="8" t="n">
        <v>38735</v>
      </c>
      <c r="F4005" s="7" t="n">
        <v>4</v>
      </c>
      <c r="G4005" s="7" t="inlineStr">
        <is>
          <t>This was tasty, a good way to serve kale.  I used a little less sour cream and milk but it was still nice and buttery tasting.  I would make this again!</t>
        </is>
      </c>
    </row>
    <row r="4006">
      <c r="A4006" s="7" t="n">
        <v>78563</v>
      </c>
      <c r="B4006" s="7" t="n">
        <v>317224</v>
      </c>
      <c r="C4006" s="7" t="n">
        <v>841981</v>
      </c>
      <c r="D4006" s="7" t="n">
        <v>23775</v>
      </c>
      <c r="E4006" s="8" t="n">
        <v>39715</v>
      </c>
      <c r="F4006" s="7" t="n">
        <v>4</v>
      </c>
      <c r="G4006" s="7" t="inlineStr">
        <is>
          <t>Its good but not to die for.  Over all it's very tasty but really wont crave for it.  Better eaten hot than room temperature. Thanks for sharing.</t>
        </is>
      </c>
    </row>
    <row r="4007">
      <c r="A4007" s="7" t="n">
        <v>64273</v>
      </c>
      <c r="B4007" s="7" t="n">
        <v>948317</v>
      </c>
      <c r="C4007" s="7" t="n">
        <v>2001445645</v>
      </c>
      <c r="D4007" s="7" t="n">
        <v>14537</v>
      </c>
      <c r="E4007" s="8" t="n">
        <v>42813</v>
      </c>
      <c r="F4007" s="7" t="n">
        <v>0</v>
      </c>
      <c r="G4007" s="7" t="inlineStr">
        <is>
          <t>Does not look too bad. However, this recipe was listed in Traditional Irish meals. I do have to say that corned beef is not irish at all and you will not find it in Ireland. Most irish meals will not consist of beef. Pork and lamb is the main meats for irish meals. Just had to say.</t>
        </is>
      </c>
    </row>
    <row r="4008">
      <c r="A4008" s="7" t="n">
        <v>3112</v>
      </c>
      <c r="B4008" s="7" t="n">
        <v>1098877</v>
      </c>
      <c r="C4008" s="7" t="n">
        <v>2000820623</v>
      </c>
      <c r="D4008" s="7" t="n">
        <v>74275</v>
      </c>
      <c r="E4008" s="8" t="n">
        <v>42384</v>
      </c>
      <c r="F4008" s="7" t="n">
        <v>0</v>
      </c>
      <c r="G4008" s="7" t="inlineStr">
        <is>
          <t>I was looking for a nice snack one day and this recipe came up and im so glad it did.  It was like heaven. Just like previous reviewers i added a bit of cheese and bacon bits and it was unreal thank you so much for this heavenly recipe.</t>
        </is>
      </c>
    </row>
    <row r="4009">
      <c r="A4009" s="7" t="n">
        <v>14011</v>
      </c>
      <c r="B4009" s="7" t="n">
        <v>653916</v>
      </c>
      <c r="C4009" s="7" t="n">
        <v>280271</v>
      </c>
      <c r="D4009" s="7" t="n">
        <v>40398</v>
      </c>
      <c r="E4009" s="8" t="n">
        <v>39026</v>
      </c>
      <c r="F4009" s="7" t="n">
        <v>5</v>
      </c>
      <c r="G4009" s="7" t="inlineStr">
        <is>
          <t>This is the most delicious and flavorful shrimp appetizer I have come across in a long time. It is outstanding! I did use a whole bacon slice to keep all of the ingredients in. The rest I made to a T. YES!! you have to make the sauce and put in the chopped jalapeno's. Thanks for posting this wonderful recipe Pixie.</t>
        </is>
      </c>
    </row>
    <row r="4010">
      <c r="A4010" s="7" t="n">
        <v>57982</v>
      </c>
      <c r="B4010" s="7" t="n">
        <v>110441</v>
      </c>
      <c r="C4010" s="7" t="n">
        <v>2893911</v>
      </c>
      <c r="D4010" s="7" t="n">
        <v>318406</v>
      </c>
      <c r="E4010" s="8" t="n">
        <v>41463</v>
      </c>
      <c r="F4010" s="7" t="n">
        <v>5</v>
      </c>
      <c r="G4010" s="7" t="inlineStr">
        <is>
          <t>Oh my gosh but this is a great recipe! I followed it easily, and got great results. Thanks for sharing this</t>
        </is>
      </c>
    </row>
    <row r="4011">
      <c r="A4011" s="7" t="n">
        <v>43585</v>
      </c>
      <c r="B4011" s="7" t="n">
        <v>1015213</v>
      </c>
      <c r="C4011" s="7" t="n">
        <v>199198</v>
      </c>
      <c r="D4011" s="7" t="n">
        <v>168742</v>
      </c>
      <c r="E4011" s="8" t="n">
        <v>41836</v>
      </c>
      <c r="F4011" s="7" t="n">
        <v>5</v>
      </c>
      <c r="G4011" s="7" t="inlineStr">
        <is>
          <t>Delicious burgers! I used about 2 1/2 lbs. of hamburger, and kept the ingredients for one pound. Seemed to be enough seasoning for our tastes. Thanks!</t>
        </is>
      </c>
    </row>
    <row r="4012">
      <c r="A4012" s="7" t="n">
        <v>74142</v>
      </c>
      <c r="B4012" s="7" t="n">
        <v>223743</v>
      </c>
      <c r="C4012" s="7" t="n">
        <v>2000405041</v>
      </c>
      <c r="D4012" s="7" t="n">
        <v>135048</v>
      </c>
      <c r="E4012" s="8" t="n">
        <v>42242</v>
      </c>
      <c r="F4012" s="7" t="n">
        <v>5</v>
      </c>
      <c r="G4012" s="7" t="inlineStr">
        <is>
          <t>This really is the best way to make guacamole; I&amp;#039;ve made it this way for over 30 years. I make a lot less for one person, use only 1 avocado &amp;amp; less of the other ingredients as well. Instead of chopped lalapeno, I use cayenne or chipotle powder to taste.</t>
        </is>
      </c>
    </row>
    <row r="4013">
      <c r="A4013" s="7" t="n">
        <v>98117</v>
      </c>
      <c r="B4013" s="7" t="n">
        <v>611971</v>
      </c>
      <c r="C4013" s="7" t="n">
        <v>742599</v>
      </c>
      <c r="D4013" s="7" t="n">
        <v>238994</v>
      </c>
      <c r="E4013" s="8" t="n">
        <v>40100</v>
      </c>
      <c r="F4013" s="7" t="n">
        <v>5</v>
      </c>
      <c r="G4013" s="7" t="inlineStr">
        <is>
          <t>I've been meaning to write a review since we tried this recipe about 3 months ago and have patiently waiting for another excuse to make these. These were by far the best crab legs I've ever had and would much rather just make them at home than pay restaurant prices. So, lucky for me, we're making more of them tonight for my birthday! Thanks for the amazing recipe! Oh and I did omit the sea salt and only used regular table salt. SIMPLY AMAZING!</t>
        </is>
      </c>
    </row>
    <row r="4014">
      <c r="A4014" s="7" t="n">
        <v>120801</v>
      </c>
      <c r="B4014" s="7" t="n">
        <v>1116074</v>
      </c>
      <c r="C4014" s="7" t="n">
        <v>64780</v>
      </c>
      <c r="D4014" s="7" t="n">
        <v>318557</v>
      </c>
      <c r="E4014" s="8" t="n">
        <v>39703</v>
      </c>
      <c r="F4014" s="7" t="n">
        <v>5</v>
      </c>
      <c r="G4014" s="7" t="inlineStr">
        <is>
          <t>I've been looking for a good "Stuffed Pepper Soup" recipe. This is the one!!! Delicious!  Thank you for sharing. Alan</t>
        </is>
      </c>
    </row>
    <row r="4015">
      <c r="A4015" s="7" t="n">
        <v>95041</v>
      </c>
      <c r="B4015" s="7" t="n">
        <v>296104</v>
      </c>
      <c r="C4015" s="7" t="n">
        <v>456858</v>
      </c>
      <c r="D4015" s="7" t="n">
        <v>46922</v>
      </c>
      <c r="E4015" s="8" t="n">
        <v>41650</v>
      </c>
      <c r="F4015" s="7" t="n">
        <v>5</v>
      </c>
      <c r="G4015" s="7" t="inlineStr">
        <is>
          <t>Really good....will make again.</t>
        </is>
      </c>
    </row>
    <row r="4016">
      <c r="A4016" s="7" t="n">
        <v>43101</v>
      </c>
      <c r="B4016" s="7" t="n">
        <v>47663</v>
      </c>
      <c r="C4016" s="7" t="n">
        <v>755277</v>
      </c>
      <c r="D4016" s="7" t="n">
        <v>93946</v>
      </c>
      <c r="E4016" s="8" t="n">
        <v>39955</v>
      </c>
      <c r="F4016" s="7" t="n">
        <v>5</v>
      </c>
      <c r="G4016" s="7" t="inlineStr">
        <is>
          <t>Yummy! Loved it! It was so easy to make. I will definitely double the recipe next time. Thanks for sharing!</t>
        </is>
      </c>
    </row>
    <row r="4017">
      <c r="A4017" s="7" t="n">
        <v>114811</v>
      </c>
      <c r="B4017" s="7" t="n">
        <v>52908</v>
      </c>
      <c r="C4017" s="7" t="n">
        <v>1802652142</v>
      </c>
      <c r="D4017" s="7" t="n">
        <v>515167</v>
      </c>
      <c r="E4017" s="8" t="n">
        <v>41737</v>
      </c>
      <c r="F4017" s="7" t="n">
        <v>5</v>
      </c>
      <c r="G4017" s="7" t="inlineStr">
        <is>
          <t>followed this recipe and it was outstanding!</t>
        </is>
      </c>
    </row>
    <row r="4018">
      <c r="A4018" s="7" t="n">
        <v>105697</v>
      </c>
      <c r="B4018" s="7" t="n">
        <v>291189</v>
      </c>
      <c r="C4018" s="7" t="n">
        <v>2001231780</v>
      </c>
      <c r="D4018" s="7" t="n">
        <v>133295</v>
      </c>
      <c r="E4018" s="8" t="n">
        <v>42677</v>
      </c>
      <c r="F4018" s="7" t="n">
        <v>0</v>
      </c>
      <c r="G4018" s="7" t="inlineStr">
        <is>
          <t>Ok folks this is it , honey roast crunchy peanut butter , sliced bananas , mayo , on Oatnut bread , OMG !</t>
        </is>
      </c>
    </row>
    <row r="4019">
      <c r="A4019" s="7" t="n">
        <v>773</v>
      </c>
      <c r="B4019" s="7" t="n">
        <v>1092982</v>
      </c>
      <c r="C4019" s="7" t="n">
        <v>987203</v>
      </c>
      <c r="D4019" s="7" t="n">
        <v>229723</v>
      </c>
      <c r="E4019" s="8" t="n">
        <v>39817</v>
      </c>
      <c r="F4019" s="7" t="n">
        <v>2</v>
      </c>
      <c r="G4019" s="7" t="inlineStr">
        <is>
          <t>Not great.  There is no seasoning in this recipe AND the amount of rice is way too little in my mind.  I added rice and my own seasoning.  Didn't turn out great.</t>
        </is>
      </c>
    </row>
    <row r="4020">
      <c r="A4020" s="7" t="n">
        <v>97540</v>
      </c>
      <c r="B4020" s="7" t="n">
        <v>402733</v>
      </c>
      <c r="C4020" s="7" t="n">
        <v>1559195</v>
      </c>
      <c r="D4020" s="7" t="n">
        <v>299795</v>
      </c>
      <c r="E4020" s="8" t="n">
        <v>40241</v>
      </c>
      <c r="F4020" s="7" t="n">
        <v>5</v>
      </c>
      <c r="G4020" s="7" t="inlineStr">
        <is>
          <t>YUMMO as Rachel Ray would say.  I grew up in a small town in Eastern WA as well &amp; then in Ogden, UT, their fry sauce was awesome.  However, this recipe is soooooo much better.</t>
        </is>
      </c>
    </row>
    <row r="4021" ht="409.5" customHeight="1">
      <c r="A4021" s="7" t="n">
        <v>27408</v>
      </c>
      <c r="B4021" s="7" t="n">
        <v>524290</v>
      </c>
      <c r="C4021" s="7" t="n">
        <v>358513</v>
      </c>
      <c r="D4021" s="7" t="n">
        <v>385942</v>
      </c>
      <c r="E4021" s="8" t="n">
        <v>40056</v>
      </c>
      <c r="F4021" s="7" t="n">
        <v>5</v>
      </c>
      <c r="G4021" s="9" t="inlineStr">
        <is>
          <t>I loved this recipe because it made me want to put chicken in my bourek. DH loves preserved lemons so I knew he would like it. I only find the spring roll wrappers here the same brand with the red coloring but I didn't like the thickness when I tried before but thankfully the little store by my house sells Turkish bourek pastry sheets. Made this very easy. I wasn't sure about the part that said not to use the flesh of the PL. We usually just eat the whole thing so I just minced it and mixed it in. They were fabulous. I left out the egg just for preference. The flour paste tip was nice. It worked great just frying them in a little oil.
Thanks Rezika. Made for Ramadan Tag 09.</t>
        </is>
      </c>
    </row>
    <row r="4022">
      <c r="A4022" s="7" t="n">
        <v>75558</v>
      </c>
      <c r="B4022" s="7" t="n">
        <v>681089</v>
      </c>
      <c r="C4022" s="7" t="n">
        <v>121185</v>
      </c>
      <c r="D4022" s="7" t="n">
        <v>108248</v>
      </c>
      <c r="E4022" s="8" t="n">
        <v>40127</v>
      </c>
      <c r="F4022" s="7" t="n">
        <v>2</v>
      </c>
      <c r="G4022" s="7" t="inlineStr">
        <is>
          <t>Hmmmm....We were not overly impressed by these.  In fact, my kids, after having one, have passed up my offers for another square.  They were very greasy and not incredibly moist (how is that possible?).</t>
        </is>
      </c>
    </row>
    <row r="4023">
      <c r="A4023" s="7" t="n">
        <v>7546</v>
      </c>
      <c r="B4023" s="7" t="n">
        <v>463229</v>
      </c>
      <c r="C4023" s="7" t="n">
        <v>201762</v>
      </c>
      <c r="D4023" s="7" t="n">
        <v>76883</v>
      </c>
      <c r="E4023" s="8" t="n">
        <v>39464</v>
      </c>
      <c r="F4023" s="7" t="n">
        <v>5</v>
      </c>
      <c r="G4023" s="7" t="inlineStr">
        <is>
          <t>We love this recipe. I always double it when I make it. I also add a pinch of salt and a bit of vanilla. The house smells wonderful while it is cooking. My family members aren't big apple fans but they gobble this right down and ask me to make it again! Thanks...great tasting recipe!</t>
        </is>
      </c>
    </row>
    <row r="4024">
      <c r="A4024" s="7" t="n">
        <v>57393</v>
      </c>
      <c r="B4024" s="7" t="n">
        <v>395281</v>
      </c>
      <c r="C4024" s="7" t="n">
        <v>282079</v>
      </c>
      <c r="D4024" s="7" t="n">
        <v>52095</v>
      </c>
      <c r="E4024" s="8" t="n">
        <v>38940</v>
      </c>
      <c r="F4024" s="7" t="n">
        <v>5</v>
      </c>
      <c r="G4024" s="7" t="inlineStr">
        <is>
          <t xml:space="preserve">This is fantastic!  I used chicken broth instead of water and left the sausage in the whole time to aid in flavor.  I cooked it about an hour putting the pre-cooked chicken in about 20 minutes before serving and the shrimp about 4 minutes to plate!  WOW!!  </t>
        </is>
      </c>
    </row>
    <row r="4025">
      <c r="A4025" s="7" t="n">
        <v>70794</v>
      </c>
      <c r="B4025" s="7" t="n">
        <v>733706</v>
      </c>
      <c r="C4025" s="7" t="n">
        <v>377581</v>
      </c>
      <c r="D4025" s="7" t="n">
        <v>119601</v>
      </c>
      <c r="E4025" s="8" t="n">
        <v>39869</v>
      </c>
      <c r="F4025" s="7" t="n">
        <v>3</v>
      </c>
      <c r="G4025" s="7" t="inlineStr">
        <is>
          <t>This was good. It was very easy and quick to put together. Thank you for posting.</t>
        </is>
      </c>
    </row>
    <row r="4026">
      <c r="A4026" s="7" t="n">
        <v>35315</v>
      </c>
      <c r="B4026" s="7" t="n">
        <v>984280</v>
      </c>
      <c r="C4026" s="7" t="n">
        <v>226892</v>
      </c>
      <c r="D4026" s="7" t="n">
        <v>9272</v>
      </c>
      <c r="E4026" s="8" t="n">
        <v>38753</v>
      </c>
      <c r="F4026" s="7" t="n">
        <v>5</v>
      </c>
      <c r="G4026" s="7" t="inlineStr">
        <is>
          <t>This is an amazing salsa recipe, I have never made homemade salsa before and this has turned out a treat.  Everyone just loves it, may have to put another batch down before the end of summer here, thanks so much I will never buy store bought salsa again!!</t>
        </is>
      </c>
    </row>
    <row r="4027">
      <c r="A4027" s="7" t="n">
        <v>99394</v>
      </c>
      <c r="B4027" s="7" t="n">
        <v>71425</v>
      </c>
      <c r="C4027" s="7" t="n">
        <v>280271</v>
      </c>
      <c r="D4027" s="7" t="n">
        <v>305302</v>
      </c>
      <c r="E4027" s="8" t="n">
        <v>40965</v>
      </c>
      <c r="F4027" s="7" t="n">
        <v>5</v>
      </c>
      <c r="G4027" s="7" t="inlineStr">
        <is>
          <t>Totally enjoyed this dish...I did use a chili paste instead of the sauce and omitted the carrot because I didn't have any...loved the busy part of eating this...I also just heated the sauce in the microwave...I will be making these again...thanks for posting it...:)</t>
        </is>
      </c>
    </row>
    <row r="4028">
      <c r="A4028" s="7" t="n">
        <v>85520</v>
      </c>
      <c r="B4028" s="7" t="n">
        <v>160924</v>
      </c>
      <c r="C4028" s="7" t="n">
        <v>33186</v>
      </c>
      <c r="D4028" s="7" t="n">
        <v>399870</v>
      </c>
      <c r="E4028" s="8" t="n">
        <v>40751</v>
      </c>
      <c r="F4028" s="7" t="n">
        <v>0</v>
      </c>
      <c r="G4028" s="7" t="inlineStr">
        <is>
          <t>Congrats ! Your recipe is featured as the "Recipe of the Day!" on our homepage. (07/27/11)</t>
        </is>
      </c>
    </row>
    <row r="4029">
      <c r="A4029" s="7" t="n">
        <v>74062</v>
      </c>
      <c r="B4029" s="7" t="n">
        <v>450916</v>
      </c>
      <c r="C4029" s="7" t="n">
        <v>491802</v>
      </c>
      <c r="D4029" s="7" t="n">
        <v>340639</v>
      </c>
      <c r="E4029" s="8" t="n">
        <v>40020</v>
      </c>
      <c r="F4029" s="7" t="n">
        <v>5</v>
      </c>
      <c r="G4029" s="7" t="inlineStr">
        <is>
          <t>Really good, I followed Recipe using provolone cheese, also I added some pickled bannana peppers. This is exactly  what I was looking for in a cheesesteak. Awesome!</t>
        </is>
      </c>
    </row>
    <row r="4030">
      <c r="A4030" s="7" t="n">
        <v>80366</v>
      </c>
      <c r="B4030" s="7" t="n">
        <v>1023332</v>
      </c>
      <c r="C4030" s="7" t="n">
        <v>303204</v>
      </c>
      <c r="D4030" s="7" t="n">
        <v>111777</v>
      </c>
      <c r="E4030" s="8" t="n">
        <v>38803</v>
      </c>
      <c r="F4030" s="7" t="n">
        <v>5</v>
      </c>
      <c r="G4030" s="7" t="inlineStr">
        <is>
          <t>Delicious!  So easy and so good.  My family loved it!  Thanks for the recipe!</t>
        </is>
      </c>
    </row>
    <row r="4031">
      <c r="A4031" s="7" t="n">
        <v>105404</v>
      </c>
      <c r="B4031" s="7" t="n">
        <v>168827</v>
      </c>
      <c r="C4031" s="7" t="n">
        <v>59780</v>
      </c>
      <c r="D4031" s="7" t="n">
        <v>101027</v>
      </c>
      <c r="E4031" s="8" t="n">
        <v>38982</v>
      </c>
      <c r="F4031" s="7" t="n">
        <v>5</v>
      </c>
      <c r="G4031" s="7" t="inlineStr">
        <is>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is>
      </c>
    </row>
    <row r="4032">
      <c r="A4032" s="7" t="n">
        <v>11393</v>
      </c>
      <c r="B4032" s="7" t="n">
        <v>1039936</v>
      </c>
      <c r="C4032" s="7" t="n">
        <v>2002195044</v>
      </c>
      <c r="D4032" s="7" t="n">
        <v>59462</v>
      </c>
      <c r="E4032" s="8" t="n">
        <v>43274</v>
      </c>
      <c r="F4032" s="7" t="n">
        <v>5</v>
      </c>
      <c r="G4032" s="7" t="inlineStr">
        <is>
          <t>Note to self, make a double batch next time! They were gone fifteen minutes after I made them. These are delicious. You must try one rolled in cinnamon and sugar!</t>
        </is>
      </c>
    </row>
    <row r="4033">
      <c r="A4033" s="7" t="n">
        <v>48561</v>
      </c>
      <c r="B4033" s="7" t="n">
        <v>342565</v>
      </c>
      <c r="C4033" s="7" t="n">
        <v>792731</v>
      </c>
      <c r="D4033" s="7" t="n">
        <v>121714</v>
      </c>
      <c r="E4033" s="8" t="n">
        <v>41244</v>
      </c>
      <c r="F4033" s="7" t="n">
        <v>5</v>
      </c>
      <c r="G4033" s="7" t="inlineStr">
        <is>
          <t>Outstanding recipe!  I made the recipe as is, other than that I used butter instead of margarine.  My dough was extremely crumbly and not cookie dough consistency so I wasn't sure it was going to work out but they are really yummy.&lt;br/&gt;&lt;br/&gt;the one thing was, for me, the balls needed to be flattened or they stayed as cookie balls.  The dough did not spread *at all* for me but that may be because of using butter.&lt;br/&gt;&lt;br/&gt;Regardless, they are delish and I will be making them again!</t>
        </is>
      </c>
    </row>
    <row r="4034">
      <c r="A4034" s="7" t="n">
        <v>42386</v>
      </c>
      <c r="B4034" s="7" t="n">
        <v>289700</v>
      </c>
      <c r="C4034" s="7" t="n">
        <v>242729</v>
      </c>
      <c r="D4034" s="7" t="n">
        <v>301882</v>
      </c>
      <c r="E4034" s="8" t="n">
        <v>40275</v>
      </c>
      <c r="F4034" s="7" t="n">
        <v>5</v>
      </c>
      <c r="G4034" s="7" t="inlineStr">
        <is>
          <t>Absolutely wonderful Twizzle Stick darlink! SUCH a simple idea and yet SO stunning! I followed your instructions to the letter, and then tweaked and added a tomato skin petal middle and a couple of capers as buds..........see photos! I made this as a special garnish for Recipe #373460, and it looked like a painting. I am ONLY surprised, that given your lovely photos, that this has NEVER been made and reviewed before. I plan to dine out on this garnish many times, thanks to you! Made for PAC Spring 2010, you have been a VERY good baby! LOL! FT:-)</t>
        </is>
      </c>
    </row>
    <row r="4035">
      <c r="A4035" s="7" t="n">
        <v>62327</v>
      </c>
      <c r="B4035" s="7" t="n">
        <v>484721</v>
      </c>
      <c r="C4035" s="7" t="n">
        <v>121690</v>
      </c>
      <c r="D4035" s="7" t="n">
        <v>31690</v>
      </c>
      <c r="E4035" s="8" t="n">
        <v>38772</v>
      </c>
      <c r="F4035" s="7" t="n">
        <v>5</v>
      </c>
      <c r="G4035" s="7" t="inlineStr">
        <is>
          <t>I needed a dish in a hurry because what I had planned was missing some ingredients. I chose this because of the short preparation/cooking time. What a treat, that something so easy to make would turn out so tasty. I'll keep this in mind as a regular last-minute go-to dinner.</t>
        </is>
      </c>
    </row>
    <row r="4036">
      <c r="A4036" s="7" t="n">
        <v>115633</v>
      </c>
      <c r="B4036" s="7" t="n">
        <v>438630</v>
      </c>
      <c r="C4036" s="7" t="n">
        <v>230860</v>
      </c>
      <c r="D4036" s="7" t="n">
        <v>421539</v>
      </c>
      <c r="E4036" s="8" t="n">
        <v>40371</v>
      </c>
      <c r="F4036" s="7" t="n">
        <v>5</v>
      </c>
      <c r="G4036" s="7" t="inlineStr">
        <is>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is>
      </c>
    </row>
    <row r="4037" ht="270" customHeight="1">
      <c r="A4037" s="7" t="n">
        <v>38405</v>
      </c>
      <c r="B4037" s="7" t="n">
        <v>476507</v>
      </c>
      <c r="C4037" s="7" t="n">
        <v>136465</v>
      </c>
      <c r="D4037" s="7" t="n">
        <v>150802</v>
      </c>
      <c r="E4037" s="8" t="n">
        <v>39449</v>
      </c>
      <c r="F4037" s="7" t="n">
        <v>5</v>
      </c>
      <c r="G4037" s="9" t="inlineStr">
        <is>
          <t>Wonderful potatoes.  Used olive oil and rosemary and baked in my convection oven.  Perfection!_x000D_
Thanks for posting Mrs B.</t>
        </is>
      </c>
    </row>
    <row r="4038">
      <c r="A4038" s="7" t="n">
        <v>118302</v>
      </c>
      <c r="B4038" s="7" t="n">
        <v>192144</v>
      </c>
      <c r="C4038" s="7" t="n">
        <v>31499</v>
      </c>
      <c r="D4038" s="7" t="n">
        <v>25727</v>
      </c>
      <c r="E4038" s="8" t="n">
        <v>37496</v>
      </c>
      <c r="F4038" s="7" t="n">
        <v>5</v>
      </c>
      <c r="G4038" s="7" t="inlineStr">
        <is>
          <t>another great one from yooper! this was really tasty, a little more involved than your average potato salad, but definately worth the effort. people expecting "hum-drum" potato salad will definately be surprised by this one. this is one dish i will definately make again.</t>
        </is>
      </c>
    </row>
    <row r="4039">
      <c r="A4039" t="n">
        <v>91356</v>
      </c>
      <c r="B4039" t="n">
        <v>911636</v>
      </c>
      <c r="C4039" t="n">
        <v>804989</v>
      </c>
      <c r="D4039" t="n">
        <v>133186</v>
      </c>
      <c r="E4039" s="1" t="n">
        <v>40476</v>
      </c>
      <c r="F4039" t="n">
        <v>4</v>
      </c>
      <c r="G4039" t="inlineStr">
        <is>
          <t>Tasty cookie, next time I might add a little more spice.  My dough was also very stiff, after chilling I had to let it warm back up to roll out.  Cut into Halloween shapes, no sprinkles or icing though.</t>
        </is>
      </c>
    </row>
    <row r="4040">
      <c r="A4040" s="7" t="n">
        <v>109806</v>
      </c>
      <c r="B4040" s="7" t="n">
        <v>374815</v>
      </c>
      <c r="C4040" s="7" t="n">
        <v>402057</v>
      </c>
      <c r="D4040" s="7" t="n">
        <v>18944</v>
      </c>
      <c r="E4040" s="8" t="n">
        <v>40255</v>
      </c>
      <c r="F4040" s="7" t="n">
        <v>4</v>
      </c>
      <c r="G4040" s="7" t="inlineStr">
        <is>
          <t>This tastes just like my Mom used to make.  She would add cubed ham most of the time.  I prefer to dice the onions as it seems easier to get them on the spoon.  Thank you for posting this childhood memory!</t>
        </is>
      </c>
    </row>
    <row r="4041">
      <c r="A4041" s="7" t="n">
        <v>52139</v>
      </c>
      <c r="B4041" s="7" t="n">
        <v>761959</v>
      </c>
      <c r="C4041" s="7" t="n">
        <v>354085</v>
      </c>
      <c r="D4041" s="7" t="n">
        <v>60161</v>
      </c>
      <c r="E4041" s="8" t="n">
        <v>38980</v>
      </c>
      <c r="F4041" s="7" t="n">
        <v>4</v>
      </c>
      <c r="G4041" s="7" t="inlineStr">
        <is>
          <t>Easy and Fast to make.  Loved it when hot and still delicious when it was cold.</t>
        </is>
      </c>
    </row>
    <row r="4042">
      <c r="A4042" s="7" t="n">
        <v>829</v>
      </c>
      <c r="B4042" s="7" t="n">
        <v>605886</v>
      </c>
      <c r="C4042" s="7" t="n">
        <v>2001953960</v>
      </c>
      <c r="D4042" s="7" t="n">
        <v>224960</v>
      </c>
      <c r="E4042" s="8" t="n">
        <v>43126</v>
      </c>
      <c r="F4042" s="7" t="n">
        <v>5</v>
      </c>
      <c r="G4042" s="7" t="inlineStr">
        <is>
          <t>I absoluteky will make this again and again...its a keeper..delish!!!!!</t>
        </is>
      </c>
    </row>
    <row r="4043">
      <c r="A4043" s="7" t="n">
        <v>6942</v>
      </c>
      <c r="B4043" s="7" t="n">
        <v>41342</v>
      </c>
      <c r="C4043" s="7" t="n">
        <v>31316</v>
      </c>
      <c r="D4043" s="7" t="n">
        <v>19823</v>
      </c>
      <c r="E4043" s="8" t="n">
        <v>38381</v>
      </c>
      <c r="F4043" s="7" t="n">
        <v>4</v>
      </c>
      <c r="G4043" s="7" t="inlineStr">
        <is>
          <t>I had some chops that I had to use and I was looking for a quick recipe.  The whole family enjoyed this one.  I didn't have cream on hand either, so I used sour cream and a bit of skim milk.  Turned out great!  Thanks for sharing!</t>
        </is>
      </c>
    </row>
    <row r="4044">
      <c r="A4044" s="7" t="n">
        <v>68845</v>
      </c>
      <c r="B4044" s="7" t="n">
        <v>458307</v>
      </c>
      <c r="C4044" s="7" t="n">
        <v>2001906456</v>
      </c>
      <c r="D4044" s="7" t="n">
        <v>66409</v>
      </c>
      <c r="E4044" s="8" t="n">
        <v>43101</v>
      </c>
      <c r="F4044" s="7" t="n">
        <v>1</v>
      </c>
      <c r="G4044" s="7" t="inlineStr">
        <is>
          <t>nasty. It tasted like baking powder and salt for me. I think it had way too much baking powder.</t>
        </is>
      </c>
    </row>
    <row r="4045" ht="300" customHeight="1">
      <c r="A4045" s="7" t="n">
        <v>79714</v>
      </c>
      <c r="B4045" s="7" t="n">
        <v>35499</v>
      </c>
      <c r="C4045" s="7" t="n">
        <v>38643</v>
      </c>
      <c r="D4045" s="7" t="n">
        <v>177820</v>
      </c>
      <c r="E4045" s="8" t="n">
        <v>38932</v>
      </c>
      <c r="F4045" s="7" t="n">
        <v>5</v>
      </c>
      <c r="G4045" s="9" t="inlineStr">
        <is>
          <t>I started to post this recipe and saw you had already done so.  This is the best fruit salad ever. We love the topping. Thanks for posting._x000D_
_x000D_
Debbie</t>
        </is>
      </c>
    </row>
    <row r="4046" ht="409.5" customHeight="1">
      <c r="A4046" t="n">
        <v>22870</v>
      </c>
      <c r="B4046" t="n">
        <v>1103990</v>
      </c>
      <c r="C4046" t="n">
        <v>175727</v>
      </c>
      <c r="D4046" t="n">
        <v>64446</v>
      </c>
      <c r="E4046" s="1" t="n">
        <v>39449</v>
      </c>
      <c r="F4046" t="n">
        <v>5</v>
      </c>
      <c r="G4046" s="2" t="inlineStr">
        <is>
          <t>Made this morning, mmmmmm!! Stuffing our faces in it right now!!  I added olive oil on top before the last rise, keeping it a compact size loaf b/c I KNOW it's grow and added rosemary on top...._x000D_
_x000D_
Mmmmmmmmmmmmmmmmmmmmmmm</t>
        </is>
      </c>
    </row>
    <row r="4047">
      <c r="A4047" s="7" t="n">
        <v>101661</v>
      </c>
      <c r="B4047" s="7" t="n">
        <v>822697</v>
      </c>
      <c r="C4047" s="7" t="n">
        <v>272745</v>
      </c>
      <c r="D4047" s="7" t="n">
        <v>14445</v>
      </c>
      <c r="E4047" s="8" t="n">
        <v>38771</v>
      </c>
      <c r="F4047" s="7" t="n">
        <v>5</v>
      </c>
      <c r="G4047" s="7" t="inlineStr">
        <is>
          <t xml:space="preserve">The gravy is just amazing!  The potatoes are great too, but I would say the best part of this recipe is the sensational gravy!  </t>
        </is>
      </c>
    </row>
    <row r="4048">
      <c r="A4048" s="7" t="n">
        <v>34053</v>
      </c>
      <c r="B4048" s="7" t="n">
        <v>547339</v>
      </c>
      <c r="C4048" s="7" t="n">
        <v>1434234</v>
      </c>
      <c r="D4048" s="7" t="n">
        <v>23692</v>
      </c>
      <c r="E4048" s="8" t="n">
        <v>40122</v>
      </c>
      <c r="F4048" s="7" t="n">
        <v>4</v>
      </c>
      <c r="G4048" s="7" t="inlineStr">
        <is>
          <t>Yum! I added about a teaspoon of lemon zest to the wet ingredients (before mixing them with the dry ingredients). The slight extra "tang" was wonderful.</t>
        </is>
      </c>
    </row>
    <row r="4049">
      <c r="A4049" s="7" t="n">
        <v>58387</v>
      </c>
      <c r="B4049" s="7" t="n">
        <v>901633</v>
      </c>
      <c r="C4049" s="7" t="n">
        <v>431475</v>
      </c>
      <c r="D4049" s="7" t="n">
        <v>110548</v>
      </c>
      <c r="E4049" s="8" t="n">
        <v>42022</v>
      </c>
      <c r="F4049" s="7" t="n">
        <v>5</v>
      </c>
      <c r="G4049" s="7" t="inlineStr">
        <is>
          <t>Fantastic! One of my go-to recipes. Always a crowd pleaser.</t>
        </is>
      </c>
    </row>
    <row r="4050">
      <c r="A4050" s="7" t="n">
        <v>86909</v>
      </c>
      <c r="B4050" s="7" t="n">
        <v>563322</v>
      </c>
      <c r="C4050" s="7" t="n">
        <v>1586145</v>
      </c>
      <c r="D4050" s="7" t="n">
        <v>164636</v>
      </c>
      <c r="E4050" s="8" t="n">
        <v>40555</v>
      </c>
      <c r="F4050" s="7" t="n">
        <v>5</v>
      </c>
      <c r="G4050" s="7" t="inlineStr">
        <is>
          <t>I was looking for the basic recipe for this version.  Oh and if it's too "bland".  Add some sesame oil to your frying oil.  Gives it a savory nutty flavor.  I use vegetable oil as that's what I fry in the most.  A nice dashi or my chili teriyaki recipe is a good add to it.  Sweet potatoes are my favorite fried food.</t>
        </is>
      </c>
    </row>
    <row r="4051">
      <c r="A4051" s="7" t="n">
        <v>101409</v>
      </c>
      <c r="B4051" s="7" t="n">
        <v>275868</v>
      </c>
      <c r="C4051" s="7" t="n">
        <v>86764</v>
      </c>
      <c r="D4051" s="7" t="n">
        <v>174369</v>
      </c>
      <c r="E4051" s="8" t="n">
        <v>38958</v>
      </c>
      <c r="F4051" s="7" t="n">
        <v>5</v>
      </c>
      <c r="G4051" s="7" t="inlineStr">
        <is>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is>
      </c>
    </row>
    <row r="4052">
      <c r="A4052" s="7" t="n">
        <v>27422</v>
      </c>
      <c r="B4052" s="7" t="n">
        <v>486871</v>
      </c>
      <c r="C4052" s="7" t="n">
        <v>47559</v>
      </c>
      <c r="D4052" s="7" t="n">
        <v>132411</v>
      </c>
      <c r="E4052" s="8" t="n">
        <v>38549</v>
      </c>
      <c r="F4052" s="7" t="n">
        <v>4</v>
      </c>
      <c r="G4052" s="7" t="inlineStr">
        <is>
          <t xml:space="preserve">We really enjoyed this recipe.  It was exactly as described.  Slightly warm, slightly melted feta, making it a bit creamy.  The vinaigrette is delicious, and, best of all, we have some left for another salad. </t>
        </is>
      </c>
    </row>
    <row r="4053">
      <c r="A4053" s="7" t="n">
        <v>114032</v>
      </c>
      <c r="B4053" s="7" t="n">
        <v>972021</v>
      </c>
      <c r="C4053" s="7" t="n">
        <v>1306655</v>
      </c>
      <c r="D4053" s="7" t="n">
        <v>140878</v>
      </c>
      <c r="E4053" s="8" t="n">
        <v>41686</v>
      </c>
      <c r="F4053" s="7" t="n">
        <v>5</v>
      </c>
      <c r="G4053" s="7" t="inlineStr">
        <is>
          <t>AMAZING!!! I made a brisket, first time I have ever made one, and this was so good I give it 10 stars! The juice drippings were perfect and no BBQ sauce needed. I cooked a 2 pound brisket for 8 hours and it was tender, juicy and fell apart. I look forward to making this many more times,</t>
        </is>
      </c>
    </row>
    <row r="4054">
      <c r="A4054" s="7" t="n">
        <v>4454</v>
      </c>
      <c r="B4054" s="7" t="n">
        <v>577529</v>
      </c>
      <c r="C4054" s="7" t="n">
        <v>829250</v>
      </c>
      <c r="D4054" s="7" t="n">
        <v>53851</v>
      </c>
      <c r="E4054" s="8" t="n">
        <v>41438</v>
      </c>
      <c r="F4054" s="7" t="n">
        <v>3</v>
      </c>
      <c r="G4054" s="7" t="inlineStr">
        <is>
          <t>This cake was just okay for us. Not sweet at all! I think it would of been better with the pineapple stirred into the batter.</t>
        </is>
      </c>
    </row>
    <row r="4055">
      <c r="A4055" s="7" t="n">
        <v>47478</v>
      </c>
      <c r="B4055" s="7" t="n">
        <v>827639</v>
      </c>
      <c r="C4055" s="7" t="n">
        <v>55594</v>
      </c>
      <c r="D4055" s="7" t="n">
        <v>22203</v>
      </c>
      <c r="E4055" s="8" t="n">
        <v>37796</v>
      </c>
      <c r="F4055" s="7" t="n">
        <v>5</v>
      </c>
      <c r="G4055" s="7" t="inlineStr">
        <is>
          <t>This is a great, simple recipe that does not take long to put together!  My husband turned his nose up when I told him we were having this for dinner, but once he tasted it, it was a whole different story!  He loved it and so did I!  Thanks for a great dinner!!</t>
        </is>
      </c>
    </row>
    <row r="4056">
      <c r="A4056" s="7" t="n">
        <v>7617</v>
      </c>
      <c r="B4056" s="7" t="n">
        <v>70537</v>
      </c>
      <c r="C4056" s="7" t="n">
        <v>31356</v>
      </c>
      <c r="D4056" s="7" t="n">
        <v>17566</v>
      </c>
      <c r="E4056" s="8" t="n">
        <v>37304</v>
      </c>
      <c r="F4056" s="7" t="n">
        <v>5</v>
      </c>
      <c r="G4056" s="7" t="inlineStr">
        <is>
          <t>I tried this recipe even though I wasn't sure I liked pasta fagioli and I LOVED it!  My husband and other adult family loved it as well but the kids weren't crazy about it (the beans).  I can't wait to make (eat) it again!</t>
        </is>
      </c>
    </row>
    <row r="4057">
      <c r="A4057" s="7" t="n">
        <v>67588</v>
      </c>
      <c r="B4057" s="7" t="n">
        <v>962901</v>
      </c>
      <c r="C4057" s="7" t="n">
        <v>539977</v>
      </c>
      <c r="D4057" s="7" t="n">
        <v>63346</v>
      </c>
      <c r="E4057" s="8" t="n">
        <v>41126</v>
      </c>
      <c r="F4057" s="7" t="n">
        <v>5</v>
      </c>
      <c r="G4057" s="7" t="inlineStr">
        <is>
          <t>I made this almost as written. I came up half cup short on the beets, so I grated up a small zucchini fresh from the garden to make up the difference. I mixed the eggs with sugar, added vanilla, then added the beets. Next I added gluten free flours, and the other dry ingredients. Stirred until all was moist and baked for 35 to 40 minutes. After it cooled, I frosted this thinly with cream cheese frosting. Then I put it into the fridge to chill for a couple hours. The kids loved this!</t>
        </is>
      </c>
    </row>
    <row r="4058">
      <c r="A4058" s="7" t="n">
        <v>417</v>
      </c>
      <c r="B4058" s="7" t="n">
        <v>66317</v>
      </c>
      <c r="C4058" s="7" t="n">
        <v>312769</v>
      </c>
      <c r="D4058" s="7" t="n">
        <v>39892</v>
      </c>
      <c r="E4058" s="8" t="n">
        <v>38829</v>
      </c>
      <c r="F4058" s="7" t="n">
        <v>5</v>
      </c>
      <c r="G4058" s="7" t="inlineStr">
        <is>
          <t>great recipe! i always use recipes as a starter and wind up adding here or adjusting there. for this one i wanted a thicker creamier broth so i added a touch of flour to the broth about halfway through. it came out perfect! just thivk enough to melt in your mouth. it was a total hit with the family, and this is not a small bunch, 8 people! and all two thumbs up. i thought i made too much, but turns out i didnt make enough! A+++++++++++</t>
        </is>
      </c>
    </row>
    <row r="4059">
      <c r="A4059" s="7" t="n">
        <v>114548</v>
      </c>
      <c r="B4059" s="7" t="n">
        <v>645589</v>
      </c>
      <c r="C4059" s="7" t="n">
        <v>199848</v>
      </c>
      <c r="D4059" s="7" t="n">
        <v>367939</v>
      </c>
      <c r="E4059" s="8" t="n">
        <v>39999</v>
      </c>
      <c r="F4059" s="7" t="n">
        <v>5</v>
      </c>
      <c r="G4059" s="7" t="inlineStr">
        <is>
          <t>This is very similar to how I make summer squash.  I, too, prefer the yellow squash over the zucchini.  It's so sweet.  I only used the butter and not the oil, but otherwise stuck to the recipe.  It's simple and yummy.  Thanx!</t>
        </is>
      </c>
    </row>
    <row r="4060">
      <c r="A4060" s="7" t="n">
        <v>67214</v>
      </c>
      <c r="B4060" s="7" t="n">
        <v>47937</v>
      </c>
      <c r="C4060" s="7" t="n">
        <v>117221</v>
      </c>
      <c r="D4060" s="7" t="n">
        <v>113077</v>
      </c>
      <c r="E4060" s="8" t="n">
        <v>40146</v>
      </c>
      <c r="F4060" s="7" t="n">
        <v>5</v>
      </c>
      <c r="G4060" s="7" t="inlineStr">
        <is>
          <t>This pie is excellent...  Much better than plain chocolate pudding pies!  Thanks for a keeper :)</t>
        </is>
      </c>
    </row>
    <row r="4061">
      <c r="A4061" s="7" t="n">
        <v>70043</v>
      </c>
      <c r="B4061" s="7" t="n">
        <v>1022063</v>
      </c>
      <c r="C4061" s="7" t="n">
        <v>1802703914</v>
      </c>
      <c r="D4061" s="7" t="n">
        <v>21597</v>
      </c>
      <c r="E4061" s="8" t="n">
        <v>41757</v>
      </c>
      <c r="F4061" s="7" t="n">
        <v>5</v>
      </c>
      <c r="G4061" s="7" t="inlineStr">
        <is>
          <t>Very tasty, but the batter was enough to make 8 muffins only, when it said 12. But that&amp;#039;s ok. And I was wondering how much shall I fill the cup cakes, because it doesn&amp;#039;t say. So I just filled them up to three quarters of the muffin tray containers. Excellent recipe. And the the butter sugar and cinnamon icing is very important, it gives it such a great taste. I replaced the all spices by using two teaspoons of cinnamon and 1/4 teaspoon ground cloves.</t>
        </is>
      </c>
    </row>
    <row r="4062">
      <c r="A4062" s="7" t="n">
        <v>102045</v>
      </c>
      <c r="B4062" s="7" t="n">
        <v>706202</v>
      </c>
      <c r="C4062" s="7" t="n">
        <v>1802849661</v>
      </c>
      <c r="D4062" s="7" t="n">
        <v>30082</v>
      </c>
      <c r="E4062" s="8" t="n">
        <v>41954</v>
      </c>
      <c r="F4062" s="7" t="n">
        <v>5</v>
      </c>
      <c r="G4062" s="7" t="inlineStr">
        <is>
          <t>I couldn&amp;#039;t believe how easy and tasty these were! I adore cheesecake and with the wafer as a base, it really worked! The cheesecake baked up and set well and was sweet enough without overpowering the tang of cheese. I may have eaten 5 in one go!</t>
        </is>
      </c>
    </row>
    <row r="4063">
      <c r="A4063" s="7" t="n">
        <v>107431</v>
      </c>
      <c r="B4063" s="7" t="n">
        <v>741519</v>
      </c>
      <c r="C4063" s="7" t="n">
        <v>1169949</v>
      </c>
      <c r="D4063" s="7" t="n">
        <v>21220</v>
      </c>
      <c r="E4063" s="8" t="n">
        <v>39890</v>
      </c>
      <c r="F4063" s="7" t="n">
        <v>5</v>
      </c>
      <c r="G4063" s="7" t="inlineStr">
        <is>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is>
      </c>
    </row>
    <row r="4064">
      <c r="A4064" t="n">
        <v>6332</v>
      </c>
      <c r="B4064" t="n">
        <v>716020</v>
      </c>
      <c r="C4064" t="n">
        <v>785712</v>
      </c>
      <c r="D4064" t="n">
        <v>59148</v>
      </c>
      <c r="E4064" s="1" t="n">
        <v>39934</v>
      </c>
      <c r="F4064" t="n">
        <v>5</v>
      </c>
      <c r="G4064" t="inlineStr">
        <is>
          <t>We made this for a surprise 50th birthday party and EVERYONE was drinking it. It is great. Even some of the only-beer-no-fruity-drinks men had a glass! have made it again since!!</t>
        </is>
      </c>
    </row>
    <row r="4065">
      <c r="A4065" s="7" t="n">
        <v>49295</v>
      </c>
      <c r="B4065" s="7" t="n">
        <v>936177</v>
      </c>
      <c r="C4065" s="7" t="n">
        <v>28995</v>
      </c>
      <c r="D4065" s="7" t="n">
        <v>18294</v>
      </c>
      <c r="E4065" s="8" t="n">
        <v>37503</v>
      </c>
      <c r="F4065" s="7" t="n">
        <v>4</v>
      </c>
      <c r="G4065" s="7" t="inlineStr">
        <is>
          <t>VERY good!  Added a little more bacon - because I love bacon!  Big hit - very tasty!  Thank you!</t>
        </is>
      </c>
    </row>
    <row r="4066">
      <c r="A4066" s="7" t="n">
        <v>71116</v>
      </c>
      <c r="B4066" s="7" t="n">
        <v>33589</v>
      </c>
      <c r="C4066" s="7" t="n">
        <v>121457</v>
      </c>
      <c r="D4066" s="7" t="n">
        <v>82226</v>
      </c>
      <c r="E4066" s="8" t="n">
        <v>39600</v>
      </c>
      <c r="F4066" s="7" t="n">
        <v>5</v>
      </c>
      <c r="G4066" s="7" t="inlineStr">
        <is>
          <t>My son has loved this for a long time, but I always use imitation vanilla for him (and a little nutmeg too) He likes it warm before bedtime.</t>
        </is>
      </c>
    </row>
    <row r="4067">
      <c r="A4067" s="7" t="n">
        <v>41360</v>
      </c>
      <c r="B4067" s="7" t="n">
        <v>729345</v>
      </c>
      <c r="C4067" s="7" t="n">
        <v>212801</v>
      </c>
      <c r="D4067" s="7" t="n">
        <v>42367</v>
      </c>
      <c r="E4067" s="8" t="n">
        <v>39127</v>
      </c>
      <c r="F4067" s="7" t="n">
        <v>5</v>
      </c>
      <c r="G4067" s="7" t="inlineStr">
        <is>
          <t>YUUUUM!  These cupcakes were so moist and delicious.  I was surprised that the batter was eggless.  I made a couple cupcakes w/o the "surprise" for our little friends allergic to eggs.  Great recipe and one I can pass to those w/egg allergies (w/o filling of course)!</t>
        </is>
      </c>
    </row>
    <row r="4068">
      <c r="A4068" s="7" t="n">
        <v>60511</v>
      </c>
      <c r="B4068" s="7" t="n">
        <v>15869</v>
      </c>
      <c r="C4068" s="7" t="n">
        <v>646304</v>
      </c>
      <c r="D4068" s="7" t="n">
        <v>102734</v>
      </c>
      <c r="E4068" s="8" t="n">
        <v>40170</v>
      </c>
      <c r="F4068" s="7" t="n">
        <v>5</v>
      </c>
      <c r="G4068" s="7" t="inlineStr">
        <is>
          <t>I was nervous when I used a lot more flour than the recipe called for but when my Mom (whose bread is repeatedly asked for at dinners) asked me "these were store bought, right?" I knew I'd done good.  She went on to say "are you kidding me, yeast breads don't usually rise this much in the cold weather"   My little trick: When letting bread rise during the winter, I heat my oven to 200 and then turn it off, letting the covered bread rest in the warmed oven. This method has never failed me.  YUM</t>
        </is>
      </c>
    </row>
    <row r="4069">
      <c r="A4069" s="7" t="n">
        <v>26094</v>
      </c>
      <c r="B4069" s="7" t="n">
        <v>1005015</v>
      </c>
      <c r="C4069" s="7" t="n">
        <v>165308</v>
      </c>
      <c r="D4069" s="7" t="n">
        <v>34510</v>
      </c>
      <c r="E4069" s="8" t="n">
        <v>38529</v>
      </c>
      <c r="F4069" s="7" t="n">
        <v>3</v>
      </c>
      <c r="G4069" s="7" t="inlineStr">
        <is>
          <t>To my taste these were just another Reuben Sandwich, nothing special or outstanding. I followed directions exactly, found no need to heat the sauerkraut, it gets hot enough on the sandwich while it's grilling. Also the caraway seeds added nothing to the taste at all. Would not make them again. Sorry but that's my honest opinion. I gave it three stars for ease of preparation.</t>
        </is>
      </c>
    </row>
    <row r="4070">
      <c r="A4070" s="7" t="n">
        <v>70044</v>
      </c>
      <c r="B4070" s="7" t="n">
        <v>1102699</v>
      </c>
      <c r="C4070" s="7" t="n">
        <v>41984</v>
      </c>
      <c r="D4070" s="7" t="n">
        <v>234344</v>
      </c>
      <c r="E4070" s="8" t="n">
        <v>39793</v>
      </c>
      <c r="F4070" s="7" t="n">
        <v>5</v>
      </c>
      <c r="G4070" s="7" t="inlineStr">
        <is>
          <t>I just had this and feel better already!  Today was my first day back at work after a 2 day absence (fever, chills, sore throat).  Just going back to work would probably warrant a drink but I was congested and headachey too.  It was nice taking this for "medicinal purposes) and it was effective to boot!  Thank you for posting this recipe.  If I catch another cold or the flu this season I'll be sure to have some of this "medicine".  ;-)</t>
        </is>
      </c>
    </row>
    <row r="4071">
      <c r="A4071" s="7" t="n">
        <v>50538</v>
      </c>
      <c r="B4071" s="7" t="n">
        <v>440644</v>
      </c>
      <c r="C4071" s="7" t="n">
        <v>65502</v>
      </c>
      <c r="D4071" s="7" t="n">
        <v>249976</v>
      </c>
      <c r="E4071" s="8" t="n">
        <v>40034</v>
      </c>
      <c r="F4071" s="7" t="n">
        <v>5</v>
      </c>
      <c r="G4071" s="7" t="inlineStr">
        <is>
          <t>This was delicious!!! I used it on pork ribs and it was perfect. Sticky, sweet and spicy all at once. I used a local ale and NO cilantro - just can't eat that stuff! Made for 1,2,3 Tag. Thanks! :)</t>
        </is>
      </c>
    </row>
    <row r="4072">
      <c r="A4072" s="7" t="n">
        <v>116021</v>
      </c>
      <c r="B4072" s="7" t="n">
        <v>405106</v>
      </c>
      <c r="C4072" s="7" t="n">
        <v>2001908893</v>
      </c>
      <c r="D4072" s="7" t="n">
        <v>71849</v>
      </c>
      <c r="E4072" s="8" t="n">
        <v>43103</v>
      </c>
      <c r="F4072" s="7" t="n">
        <v>5</v>
      </c>
      <c r="G4072" s="7" t="inlineStr">
        <is>
          <t>Excellent. I've made this recipe many times over the last 5 months or so &amp;amp; tweeked it as needed. Probably the best peanut butter cookies I've ever had. VERY popular at my husband's work place. ;) Several tweeks - as other(s) have mentioned needs more liquid so I put in 1/4-1/2 cup milk (stir in after the flour &amp;amp; add teeny bit more flour if needed), don't pack the brown sugar, double the vanilla, scoop your flour with a spoon into your measuring cup (like you do for cake), and extra pb (probably 1/4 cup or more extra, I use Kraft all natural crunchy pb). They go crazy fast in our household.</t>
        </is>
      </c>
    </row>
    <row r="4073">
      <c r="A4073" s="7" t="n">
        <v>106812</v>
      </c>
      <c r="B4073" s="7" t="n">
        <v>876234</v>
      </c>
      <c r="C4073" s="7" t="n">
        <v>83093</v>
      </c>
      <c r="D4073" s="7" t="n">
        <v>245728</v>
      </c>
      <c r="E4073" s="8" t="n">
        <v>39353</v>
      </c>
      <c r="F4073" s="7" t="n">
        <v>4</v>
      </c>
      <c r="G4073" s="7" t="inlineStr">
        <is>
          <t>Thanks for creating and posting this recipe! I thought the butter was great! DH wasn't wild about the crunch of the carrots as it seemed _unnatural_ for butter to make noise. ;-) I, on the other hand, enjoyed the crunchy texture. So there! Perhaps if I'm feeling friendly the next time I make it, I'll nuke the carrots a bit to soften them before adding to the butter. The butter sets up pretty firm so it does need to soften a bit if you intend to spread it on bread. Again my friend, thanks! LU</t>
        </is>
      </c>
    </row>
    <row r="4074">
      <c r="A4074" s="7" t="n">
        <v>93335</v>
      </c>
      <c r="B4074" s="7" t="n">
        <v>270043</v>
      </c>
      <c r="C4074" s="7" t="n">
        <v>15502</v>
      </c>
      <c r="D4074" s="7" t="n">
        <v>239608</v>
      </c>
      <c r="E4074" s="8" t="n">
        <v>39845</v>
      </c>
      <c r="F4074" s="7" t="n">
        <v>5</v>
      </c>
      <c r="G4074" s="7" t="inlineStr">
        <is>
          <t>Great flavours - my family gobbled this down without any complaints! I added some dry white wine, and I just cooked this gently on top of the stove for a good couple of hours - delish!  Thanks for a new keeper:-)</t>
        </is>
      </c>
    </row>
    <row r="4075">
      <c r="A4075" s="7" t="n">
        <v>62443</v>
      </c>
      <c r="B4075" s="7" t="n">
        <v>315232</v>
      </c>
      <c r="C4075" s="7" t="n">
        <v>6258</v>
      </c>
      <c r="D4075" s="7" t="n">
        <v>35509</v>
      </c>
      <c r="E4075" s="8" t="n">
        <v>37817</v>
      </c>
      <c r="F4075" s="7" t="n">
        <v>5</v>
      </c>
      <c r="G4075" s="7" t="inlineStr">
        <is>
          <t xml:space="preserve">Great dish!  This is one of those recipes that you just keep wanting another bite.  We are on a low carb diet, so I omitted the crusts.  I layered the meat, some cream cheese, cabbage and mushrooms, and more cheese in a casserole dish.  The flavors were terrific together.  The cabbage was a lovely color which was very eye appealing.  Thanks so much for sharing this recipe, Denise.  It will definately be on my table again.  </t>
        </is>
      </c>
    </row>
    <row r="4076">
      <c r="A4076" s="7" t="n">
        <v>109913</v>
      </c>
      <c r="B4076" s="7" t="n">
        <v>790845</v>
      </c>
      <c r="C4076" s="7" t="n">
        <v>237951</v>
      </c>
      <c r="D4076" s="7" t="n">
        <v>185620</v>
      </c>
      <c r="E4076" s="8" t="n">
        <v>40104</v>
      </c>
      <c r="F4076" s="7" t="n">
        <v>5</v>
      </c>
      <c r="G4076" s="7" t="inlineStr">
        <is>
          <t>Delicious blueberry treat!  DH loves it, and he is not easy to please where his blueberries are concerned.  Used frozen berries which we did thaw.  I used a 7 x 11 inch dish, and it was fine---cooked in the same time.  The berries surprised me and ended up on the bottom.  Thanks for posting.</t>
        </is>
      </c>
    </row>
    <row r="4077">
      <c r="A4077" s="7" t="n">
        <v>33889</v>
      </c>
      <c r="B4077" s="7" t="n">
        <v>489653</v>
      </c>
      <c r="C4077" s="7" t="n">
        <v>909116</v>
      </c>
      <c r="D4077" s="7" t="n">
        <v>150898</v>
      </c>
      <c r="E4077" s="8" t="n">
        <v>40057</v>
      </c>
      <c r="F4077" s="7" t="n">
        <v>5</v>
      </c>
      <c r="G4077" s="7" t="inlineStr">
        <is>
          <t>Love this soup! and so did my roommates! easy, cheap, and delicious! Next time i might add ground chicken/turkey, or even some chicken sausage if i want to splurge on the calories. Some grated cheese on top recommended! Thanks!</t>
        </is>
      </c>
    </row>
    <row r="4078">
      <c r="A4078" s="7" t="n">
        <v>35885</v>
      </c>
      <c r="B4078" s="7" t="n">
        <v>318474</v>
      </c>
      <c r="C4078" s="7" t="n">
        <v>485329</v>
      </c>
      <c r="D4078" s="7" t="n">
        <v>120255</v>
      </c>
      <c r="E4078" s="8" t="n">
        <v>39412</v>
      </c>
      <c r="F4078" s="7" t="n">
        <v>3</v>
      </c>
      <c r="G4078" s="7" t="inlineStr">
        <is>
          <t>The rosemary infused the onions wonderfully.  This was a fun to make and beautifully presented dish, but it left something to be desired.  I would recomend smaller onions (about half the size) because they were really just to large for one person in my opinion, also the flavor of the bacon would come through better with smaller onions.  The filling was fantastic.  Perhaps Pancetta would have been better than the bacon also because it didn't really crisp up at all.</t>
        </is>
      </c>
    </row>
    <row r="4079">
      <c r="A4079" s="7" t="n">
        <v>73106</v>
      </c>
      <c r="B4079" s="7" t="n">
        <v>858729</v>
      </c>
      <c r="C4079" s="7" t="n">
        <v>255186</v>
      </c>
      <c r="D4079" s="7" t="n">
        <v>189858</v>
      </c>
      <c r="E4079" s="8" t="n">
        <v>39308</v>
      </c>
      <c r="F4079" s="7" t="n">
        <v>0</v>
      </c>
      <c r="G4079" s="7" t="inlineStr">
        <is>
          <t>I shouldn't rate this because I changed it quite a bit. First of all, I didn't think tha cornstarch would thicken without being heated first, so I stuck the whole batch of batter in the microwave for 3 or 4 minutes. Then I didn't think my old ice cream freezer  would do much to the thinish batter, so I added 2 whipped egg whites  to the recipe (folded in), then froze it in my maker. The end result was sooo light and fluffy and yum (I made it cinnamon flaveored-- heaven)that is was all worth it. Will be expreimenting with other flavors soon (although I wish Carb Countdown was't quite so expensive).</t>
        </is>
      </c>
    </row>
    <row r="4080">
      <c r="A4080" s="7" t="n">
        <v>47469</v>
      </c>
      <c r="B4080" s="7" t="n">
        <v>957226</v>
      </c>
      <c r="C4080" s="7" t="n">
        <v>157167</v>
      </c>
      <c r="D4080" s="7" t="n">
        <v>230004</v>
      </c>
      <c r="E4080" s="8" t="n">
        <v>41475</v>
      </c>
      <c r="F4080" s="7" t="n">
        <v>5</v>
      </c>
      <c r="G4080" s="7" t="inlineStr">
        <is>
          <t>These were a great side dish beside roast beef - I couldn&amp;#039;t find parsnips anywhere, so I ended up just using carrots.</t>
        </is>
      </c>
    </row>
    <row r="4081">
      <c r="A4081" s="7" t="n">
        <v>11096</v>
      </c>
      <c r="B4081" s="7" t="n">
        <v>1098892</v>
      </c>
      <c r="C4081" s="7" t="n">
        <v>2001330023</v>
      </c>
      <c r="D4081" s="7" t="n">
        <v>74275</v>
      </c>
      <c r="E4081" s="8" t="n">
        <v>42735</v>
      </c>
      <c r="F4081" s="7" t="n">
        <v>5</v>
      </c>
      <c r="G4081" s="7" t="inlineStr">
        <is>
          <t>Wonderful Highly recommend for a chilly Winter's day.</t>
        </is>
      </c>
    </row>
    <row r="4082">
      <c r="A4082" s="7" t="n">
        <v>9322</v>
      </c>
      <c r="B4082" s="7" t="n">
        <v>1026380</v>
      </c>
      <c r="C4082" s="7" t="n">
        <v>345915</v>
      </c>
      <c r="D4082" s="7" t="n">
        <v>377186</v>
      </c>
      <c r="E4082" s="8" t="n">
        <v>40077</v>
      </c>
      <c r="F4082" s="7" t="n">
        <v>5</v>
      </c>
      <c r="G4082" s="7" t="inlineStr">
        <is>
          <t>Very yummy!  I made mine in the bread maker on dough setting.  I put extra garlic powder in with it.  I spread it out and put sauce on it and cooked it for 12 minutes without toppings.  Then I put the toppings on and cooked it for another 10 minutes.  That way the crust is done and the toppings are not burnt.  Love home made pizza!!  Thanks for sharing!</t>
        </is>
      </c>
    </row>
    <row r="4083">
      <c r="A4083" s="7" t="n">
        <v>78188</v>
      </c>
      <c r="B4083" s="7" t="n">
        <v>528629</v>
      </c>
      <c r="C4083" s="7" t="n">
        <v>911006</v>
      </c>
      <c r="D4083" s="7" t="n">
        <v>105811</v>
      </c>
      <c r="E4083" s="8" t="n">
        <v>41643</v>
      </c>
      <c r="F4083" s="7" t="n">
        <v>5</v>
      </c>
      <c r="G4083" s="7" t="inlineStr">
        <is>
          <t>Way back in the early 90&amp;#039;s we made this same recipe in Home Ec class. Loved it then, love it now.  Easy and delish!</t>
        </is>
      </c>
    </row>
    <row r="4084">
      <c r="A4084" s="7" t="n">
        <v>35380</v>
      </c>
      <c r="B4084" s="7" t="n">
        <v>570555</v>
      </c>
      <c r="C4084" s="7" t="n">
        <v>64642</v>
      </c>
      <c r="D4084" s="7" t="n">
        <v>8877</v>
      </c>
      <c r="E4084" s="8" t="n">
        <v>39144</v>
      </c>
      <c r="F4084" s="7" t="n">
        <v>5</v>
      </c>
      <c r="G4084" s="7" t="inlineStr">
        <is>
          <t>An outstanding cocktail!</t>
        </is>
      </c>
    </row>
    <row r="4085">
      <c r="A4085" s="7" t="n">
        <v>15024</v>
      </c>
      <c r="B4085" s="7" t="n">
        <v>1098853</v>
      </c>
      <c r="C4085" s="7" t="n">
        <v>2442652</v>
      </c>
      <c r="D4085" s="7" t="n">
        <v>74275</v>
      </c>
      <c r="E4085" s="8" t="n">
        <v>41194</v>
      </c>
      <c r="F4085" s="7" t="n">
        <v>4</v>
      </c>
      <c r="G4085" s="7" t="inlineStr">
        <is>
          <t>I made this last night and it was AMAZING!! I did however add some kale, red pepper flakes, garlic, chives and a little bit of bacon!! This is a great base that you can add whatever it is that you and the fam will enjoy! Next time Im thinking of adding Italian sausage!! Thanks for posting this Vina!</t>
        </is>
      </c>
    </row>
    <row r="4086">
      <c r="A4086" s="7" t="n">
        <v>119253</v>
      </c>
      <c r="B4086" s="7" t="n">
        <v>224440</v>
      </c>
      <c r="C4086" s="7" t="n">
        <v>330545</v>
      </c>
      <c r="D4086" s="7" t="n">
        <v>300257</v>
      </c>
      <c r="E4086" s="8" t="n">
        <v>40309</v>
      </c>
      <c r="F4086" s="7" t="n">
        <v>5</v>
      </c>
      <c r="G4086" s="7" t="inlineStr">
        <is>
          <t>Used 1/3 of a European cuke leaving some of the peel on to add a bit more color to the spread I had about 3/4 cup finely diced total.  I had it first (with the mint) as a sandwich spread then on melba toast (without the mint) as a late night snack.  Yep, made it twice.  Still iffy about the mint.  TFS this scrumptious recipe.  Made for Aussie/NZ RS#40.</t>
        </is>
      </c>
    </row>
    <row r="4087">
      <c r="A4087" s="7" t="n">
        <v>50969</v>
      </c>
      <c r="B4087" s="7" t="n">
        <v>901668</v>
      </c>
      <c r="C4087" s="7" t="n">
        <v>2002015579</v>
      </c>
      <c r="D4087" s="7" t="n">
        <v>110548</v>
      </c>
      <c r="E4087" s="8" t="n">
        <v>43157</v>
      </c>
      <c r="F4087" s="7" t="n">
        <v>0</v>
      </c>
      <c r="G4087" s="7" t="inlineStr">
        <is>
          <t>First of all my daughter &amp;amp; her husband owns a skyline &amp;amp; McDonalds franchise., in kenton &amp;amp; campbell county's Kentucky....across the river from Cincinnati. First of all there is NO chocolate in the recipe....this MYTH started back in the 70's. There is NO white onions or apple cider vinegar or cayenne pepper ! NO meat is browned. I KNOW THE RECIPE...I'll tell you a few ingredients that you've got wrong &amp;amp; omitted , BUT not all ingredients. Water, red wine vinegar, White Pepper. One taster on this web site swore they tasted shredded beef....she's right it's .... 3/4 shredded &amp;amp; 1/4 ground chuck. The beef must be trimmed of all gristle &amp;amp; outside fat. Leave the marbleized meat. There are ingredients I will not TELL because I can be sued. The chilli is made at 5 gallons at a time. After being SLOWLY cooked it's stirred and put in a walk in box or refridge for 12 - to - 14 hours. The meat fat will rise &amp;amp; harden, its then skimmed off the top...and is now ready to be placed in a 2inch thick ceramic steam table kettle, steam table reheats it and is ready to serve ! I remember the Great Cincinnati Greek chilli WAR'S.....skyline, gold star, empress, Dixie , camp washinton, acropolis....all Greek style chilli's. Acropolis &amp;amp; camp washington were the only ones who could beat skyline. I always liked Dixie because of how thick it is. Way thicker than skyline. Acropolis had every know Greek spice in it &amp;amp; Feta. Very spicy. Empress &amp;amp; Acroplis does not exist any longer. I PERSONALY knew Tom Mirko's the founder of Acroplis Chilli along with his wife Marilyn, daughter Laurie and son Joe. When Tom passed away...the family sold off everything, 7 Acropolis chilli's, 2-bars and 2-deli's. But kept the real estate rental properties. OL' Tom had a small Empire in the 70's - 80's - 90's. Back to skyline you're missing Greek spices. And a Greek food every day diet staple....I think this is the unsweetened chocolate MYTH started at. And SO did TOM...</t>
        </is>
      </c>
    </row>
    <row r="4088" ht="409.5" customHeight="1">
      <c r="A4088" s="7" t="n">
        <v>37921</v>
      </c>
      <c r="B4088" s="7" t="n">
        <v>929349</v>
      </c>
      <c r="C4088" s="7" t="n">
        <v>58439</v>
      </c>
      <c r="D4088" s="7" t="n">
        <v>259198</v>
      </c>
      <c r="E4088" s="8" t="n">
        <v>39388</v>
      </c>
      <c r="F4088" s="7" t="n">
        <v>4</v>
      </c>
      <c r="G4088" s="9" t="inlineStr">
        <is>
          <t>This was really great!_x000D_
Recipe first rate!_x000D_
Used one large no fat pizza base and half the cheese!_x000D_
This pizza SURE did please!_x000D_
Used half the beef, 1 can chili refried beans...LOVE the versatility!_x000D_
GREAT taste and love the low fat versatility!</t>
        </is>
      </c>
    </row>
    <row r="4089">
      <c r="A4089" s="7" t="n">
        <v>36546</v>
      </c>
      <c r="B4089" s="7" t="n">
        <v>212820</v>
      </c>
      <c r="C4089" s="7" t="n">
        <v>1803289547</v>
      </c>
      <c r="D4089" s="7" t="n">
        <v>199579</v>
      </c>
      <c r="E4089" s="8" t="n">
        <v>43194</v>
      </c>
      <c r="F4089" s="7" t="n">
        <v>5</v>
      </c>
      <c r="G4089" s="7" t="inlineStr">
        <is>
          <t>Absolutely delicious! Small changes, probably not necessary. I added gouda along with the cheddar for added creamy texture. I topped casserole with parmessan/panko for texture.</t>
        </is>
      </c>
    </row>
    <row r="4090">
      <c r="A4090" s="7" t="n">
        <v>103631</v>
      </c>
      <c r="B4090" s="7" t="n">
        <v>1049901</v>
      </c>
      <c r="C4090" s="7" t="n">
        <v>296809</v>
      </c>
      <c r="D4090" s="7" t="n">
        <v>211471</v>
      </c>
      <c r="E4090" s="8" t="n">
        <v>42485</v>
      </c>
      <c r="F4090" s="7" t="n">
        <v>4</v>
      </c>
      <c r="G4090" s="7" t="inlineStr">
        <is>
          <t>This is certainly the easy quick-fix that all the reviewers have bragged on and it was ideal w/mashed potatoes and buttered carrots. It is tasty, ingredient-friendly and family-friendly -- even easier for me as I used canned mushrooms. It was a bit salty for us, but that is clearly a matter of personal preference. The gravy is a nice change of pace that you do not get w/a roasted or grilled tenderloin. Thx for sharing this recipe w/us.</t>
        </is>
      </c>
    </row>
    <row r="4091">
      <c r="A4091" s="7" t="n">
        <v>67984</v>
      </c>
      <c r="B4091" s="7" t="n">
        <v>20292</v>
      </c>
      <c r="C4091" s="7" t="n">
        <v>223169</v>
      </c>
      <c r="D4091" s="7" t="n">
        <v>133946</v>
      </c>
      <c r="E4091" s="8" t="n">
        <v>38899</v>
      </c>
      <c r="F4091" s="7" t="n">
        <v>5</v>
      </c>
      <c r="G4091" s="7" t="inlineStr">
        <is>
          <t>Something just after my fancy - easy to make and wonderful flavours. I couldn't get red snapper and so I used Tilapia instead and it was great. I like the combination of thyme and the fresh notes of mint here. The cayenne add just a hint of sharpness. If you like it spicier, take 1/4 teaspoon or more of cayenne. I use red bell pepper here, because the sweet notes are great with the mint flavours. Served it with bulgur. Thanks so much for sharing.</t>
        </is>
      </c>
    </row>
    <row r="4092">
      <c r="A4092" s="7" t="n">
        <v>68969</v>
      </c>
      <c r="B4092" s="7" t="n">
        <v>1063731</v>
      </c>
      <c r="C4092" s="7" t="n">
        <v>104087</v>
      </c>
      <c r="D4092" s="7" t="n">
        <v>137680</v>
      </c>
      <c r="E4092" s="8" t="n">
        <v>38613</v>
      </c>
      <c r="F4092" s="7" t="n">
        <v>0</v>
      </c>
      <c r="G4092" s="7" t="inlineStr">
        <is>
          <t xml:space="preserve">I have not made this so this is a comment not a rating, but my mother used to make a very similar dish with the only difference being she used fresh string beans in place of the cabbage.  She used salt, pepper and a bit of garlic powder, no butter.  </t>
        </is>
      </c>
    </row>
    <row r="4093">
      <c r="A4093" s="7" t="n">
        <v>69130</v>
      </c>
      <c r="B4093" s="7" t="n">
        <v>37217</v>
      </c>
      <c r="C4093" s="7" t="n">
        <v>2204786</v>
      </c>
      <c r="D4093" s="7" t="n">
        <v>518229</v>
      </c>
      <c r="E4093" s="8" t="n">
        <v>41881</v>
      </c>
      <c r="F4093" s="7" t="n">
        <v>5</v>
      </c>
      <c r="G4093" s="7" t="inlineStr">
        <is>
          <t>You always hit homeruns! Love this!</t>
        </is>
      </c>
    </row>
    <row r="4094">
      <c r="A4094" s="7" t="n">
        <v>61753</v>
      </c>
      <c r="B4094" s="7" t="n">
        <v>1084180</v>
      </c>
      <c r="C4094" s="7" t="n">
        <v>369715</v>
      </c>
      <c r="D4094" s="7" t="n">
        <v>121265</v>
      </c>
      <c r="E4094" s="8" t="n">
        <v>39855</v>
      </c>
      <c r="F4094" s="7" t="n">
        <v>4</v>
      </c>
      <c r="G4094" s="7" t="inlineStr">
        <is>
          <t>This got mixed reviews at my house. I did change it up some because of what I had on hand. I used raspberry sugar free jello, vanilla sugar free pudding, sugar free cool whip and omitted the oranges. I enjoyed it but my son wasn't crazy about it. More for me!</t>
        </is>
      </c>
    </row>
    <row r="4095">
      <c r="A4095" s="7" t="n">
        <v>97520</v>
      </c>
      <c r="B4095" s="7" t="n">
        <v>787272</v>
      </c>
      <c r="C4095" s="7" t="n">
        <v>452940</v>
      </c>
      <c r="D4095" s="7" t="n">
        <v>275983</v>
      </c>
      <c r="E4095" s="8" t="n">
        <v>40132</v>
      </c>
      <c r="F4095" s="7" t="n">
        <v>5</v>
      </c>
      <c r="G4095" s="7" t="inlineStr">
        <is>
          <t>Wow, fastest chili to make in the west, and here in PA too. :) Yes, This is more liquidy than regular chili, but easily remedied by adding 2 Tbsp of tomato paste during the final simmer. I cut the pork into thin strips and then diced it up (about the size of kidney beans). I like to prep pork for chili this way and use large cubes for stews. This recipe gets 5 stars for such a quick and very simple chili recipe that is wonderfully tasty &amp; flavorful. I served it over saffron rice. Thanks for sharing the recipe. :)</t>
        </is>
      </c>
    </row>
    <row r="4096">
      <c r="A4096" s="7" t="n">
        <v>34430</v>
      </c>
      <c r="B4096" s="7" t="n">
        <v>618743</v>
      </c>
      <c r="C4096" s="7" t="n">
        <v>89549</v>
      </c>
      <c r="D4096" s="7" t="n">
        <v>250470</v>
      </c>
      <c r="E4096" s="8" t="n">
        <v>39429</v>
      </c>
      <c r="F4096" s="7" t="n">
        <v>4</v>
      </c>
      <c r="G4096" s="7" t="inlineStr">
        <is>
          <t>This is a great tasting combination, but the recipe is a little incomplete.  I was not sure if I should pour the hot peanut butter mixture over the cooled cookie crust or the hot cookie crust.  I decided to wait until the cookie cooled.  It worked fine.  Would probably work fine on a hot crust too.  How do you do it?  I used to make something called Christmas chuckles which was just the peanut butter, butterscotch mixture with a bit more cornflakes and dropped into clumps on wax paper.  No cookie crust.  I like the idea of having it on a crust.  It is like a double treat.  Thank you for posting.</t>
        </is>
      </c>
    </row>
    <row r="4097">
      <c r="A4097" s="7" t="n">
        <v>48368</v>
      </c>
      <c r="B4097" s="7" t="n">
        <v>908796</v>
      </c>
      <c r="C4097" s="7" t="n">
        <v>9670</v>
      </c>
      <c r="D4097" s="7" t="n">
        <v>91267</v>
      </c>
      <c r="E4097" s="8" t="n">
        <v>38123</v>
      </c>
      <c r="F4097" s="7" t="n">
        <v>4</v>
      </c>
      <c r="G4097" s="7" t="inlineStr">
        <is>
          <t>This was to die for....all the ingredients I love! My only complaint is the pool of fat that was sitting on the bottom of the pan when it was cooked. From the olive oil? From the sausage? Prob'ly both....but much as I love fat and could scoop up every drop of it, it was a bit much. I just drained the whole thing with a slotted spoon and enjoyed! Oh....I halved the recipe for two of us, but I could have easily eaten the whole thing singlehandedly. Also I found that after an hour everything was more than done. I will definitely make this again.....it's easy to prepare.</t>
        </is>
      </c>
    </row>
    <row r="4098">
      <c r="A4098" s="7" t="n">
        <v>99345</v>
      </c>
      <c r="B4098" s="7" t="n">
        <v>1022333</v>
      </c>
      <c r="C4098" s="7" t="n">
        <v>305531</v>
      </c>
      <c r="D4098" s="7" t="n">
        <v>202181</v>
      </c>
      <c r="E4098" s="8" t="n">
        <v>39258</v>
      </c>
      <c r="F4098" s="7" t="n">
        <v>5</v>
      </c>
      <c r="G4098" s="7" t="inlineStr">
        <is>
          <t>Simple and delish! I used fresh dill and increased the amount a little. Very nice side dish. Thanks Mommy.</t>
        </is>
      </c>
    </row>
    <row r="4099">
      <c r="A4099" t="n">
        <v>102567</v>
      </c>
      <c r="B4099" t="n">
        <v>173737</v>
      </c>
      <c r="C4099" t="n">
        <v>1112060</v>
      </c>
      <c r="D4099" t="n">
        <v>69990</v>
      </c>
      <c r="E4099" s="1" t="n">
        <v>39865</v>
      </c>
      <c r="F4099" t="n">
        <v>2</v>
      </c>
      <c r="G4099" t="inlineStr">
        <is>
          <t>I really wanted to like this based on all the other great reviews, but I just didn't. Maybe my spices were to blame? Anyway, thanks for sharing!</t>
        </is>
      </c>
    </row>
    <row r="4100">
      <c r="A4100" t="n">
        <v>71272</v>
      </c>
      <c r="B4100" t="n">
        <v>344822</v>
      </c>
      <c r="C4100" t="n">
        <v>182358</v>
      </c>
      <c r="D4100" t="n">
        <v>75061</v>
      </c>
      <c r="E4100" s="1" t="n">
        <v>39438</v>
      </c>
      <c r="F4100" t="n">
        <v>5</v>
      </c>
      <c r="G4100" t="inlineStr">
        <is>
          <t>Just had a slice of this bread and it is perfect, imho!  I followed the directions exactly using bread flour.  Set the dough cycle, turned dough out onto floured surface, and shaped loaf.  Placed into greased loaf pan, covered, and let rise again.  Baked at 375* for 30 mins.  Smelled heavenly while baking.  I wouldn't change a thing next time... and I will be making this again!  Thanks for sharing this recipe, Marie!   Yummy!</t>
        </is>
      </c>
    </row>
    <row r="4101">
      <c r="A4101" s="7" t="n">
        <v>73358</v>
      </c>
      <c r="B4101" s="7" t="n">
        <v>210873</v>
      </c>
      <c r="C4101" s="7" t="n">
        <v>1049057</v>
      </c>
      <c r="D4101" s="7" t="n">
        <v>112936</v>
      </c>
      <c r="E4101" s="8" t="n">
        <v>39927</v>
      </c>
      <c r="F4101" s="7" t="n">
        <v>5</v>
      </c>
      <c r="G4101" s="7" t="inlineStr">
        <is>
          <t>This really quenched my salt craving!  I had this with some pita chips and boy were they yummy!</t>
        </is>
      </c>
    </row>
    <row r="4102">
      <c r="A4102" t="n">
        <v>54852</v>
      </c>
      <c r="B4102" t="n">
        <v>344290</v>
      </c>
      <c r="C4102" t="n">
        <v>339672</v>
      </c>
      <c r="D4102" t="n">
        <v>355438</v>
      </c>
      <c r="E4102" s="1" t="n">
        <v>39965</v>
      </c>
      <c r="F4102" t="n">
        <v>5</v>
      </c>
      <c r="G4102" t="inlineStr">
        <is>
          <t>Thank you for sharing this idea.  It's just what I was looking for and for the same reason - the turmeric!  It made me think of the basic coconut curry based sauces which I've loved in restaurants and which I've always thought that I could just drink by themselves... and it turns out not to be a bad idea!  I do find myself missing the rest of the curry flavor, though; so I think I'll be adding some curry powder to the recipe when I make it again.  I'm just so pleased to have found this recipe idea - thanks again.</t>
        </is>
      </c>
    </row>
    <row r="4103">
      <c r="A4103" s="7" t="n">
        <v>54377</v>
      </c>
      <c r="B4103" s="7" t="n">
        <v>834772</v>
      </c>
      <c r="C4103" s="7" t="n">
        <v>87023</v>
      </c>
      <c r="D4103" s="7" t="n">
        <v>32973</v>
      </c>
      <c r="E4103" s="8" t="n">
        <v>37848</v>
      </c>
      <c r="F4103" s="7" t="n">
        <v>5</v>
      </c>
      <c r="G4103" s="7" t="inlineStr">
        <is>
          <t>What can I say after all the other comments, simple, tasty, affordable just great.  I had sent this recipe to my daughter and her children raved over them so a keeper for 2 family's</t>
        </is>
      </c>
    </row>
    <row r="4104">
      <c r="A4104" s="7" t="n">
        <v>67679</v>
      </c>
      <c r="B4104" s="7" t="n">
        <v>236748</v>
      </c>
      <c r="C4104" s="7" t="n">
        <v>785178</v>
      </c>
      <c r="D4104" s="7" t="n">
        <v>34392</v>
      </c>
      <c r="E4104" s="8" t="n">
        <v>39515</v>
      </c>
      <c r="F4104" s="7" t="n">
        <v>5</v>
      </c>
      <c r="G4104" s="7" t="inlineStr">
        <is>
          <t>I remember this recipe from my childhood. My grandmother made these pies each Sunday for weeks because us grandkids begged for these. My little grandmother died last year at the age of 96. Thanks for the memories</t>
        </is>
      </c>
    </row>
    <row r="4105">
      <c r="A4105" t="n">
        <v>33317</v>
      </c>
      <c r="B4105" t="n">
        <v>462325</v>
      </c>
      <c r="C4105" t="n">
        <v>199213</v>
      </c>
      <c r="D4105" t="n">
        <v>116741</v>
      </c>
      <c r="E4105" s="1" t="n">
        <v>39185</v>
      </c>
      <c r="F4105" t="n">
        <v>0</v>
      </c>
      <c r="G4105" t="inlineStr">
        <is>
          <t>I am giving no stars because 7 reviewers can't be wrong. I am a V8 aholic, I couldn't wait to try this recipe, I was disappointed I didn't think it tasted like V8. To me it tasted like tomato juice with cloves in it. &amp; reviewers can't be wrong, try it.  Sorry HH#2</t>
        </is>
      </c>
    </row>
    <row r="4106">
      <c r="A4106" s="7" t="n">
        <v>7410</v>
      </c>
      <c r="B4106" s="7" t="n">
        <v>1125116</v>
      </c>
      <c r="C4106" s="7" t="n">
        <v>2036696</v>
      </c>
      <c r="D4106" s="7" t="n">
        <v>283443</v>
      </c>
      <c r="E4106" s="8" t="n">
        <v>40833</v>
      </c>
      <c r="F4106" s="7" t="n">
        <v>5</v>
      </c>
      <c r="G4106" s="7" t="inlineStr">
        <is>
          <t>This is a great recipe. I decided to make it a beer can chicked and it was yummy. Just set the chicken on top of a almost full beer can.</t>
        </is>
      </c>
    </row>
    <row r="4107">
      <c r="A4107" s="7" t="n">
        <v>44983</v>
      </c>
      <c r="B4107" s="7" t="n">
        <v>20745</v>
      </c>
      <c r="C4107" s="7" t="n">
        <v>217153</v>
      </c>
      <c r="D4107" s="7" t="n">
        <v>88804</v>
      </c>
      <c r="E4107" s="8" t="n">
        <v>38919</v>
      </c>
      <c r="F4107" s="7" t="n">
        <v>5</v>
      </c>
      <c r="G4107" s="7" t="inlineStr">
        <is>
          <t>Excellent!  I made a 9x13 pan and it turned out fabulous!</t>
        </is>
      </c>
    </row>
    <row r="4108">
      <c r="A4108" t="n">
        <v>113998</v>
      </c>
      <c r="B4108" t="n">
        <v>1091968</v>
      </c>
      <c r="C4108" t="n">
        <v>578328</v>
      </c>
      <c r="D4108" t="n">
        <v>243900</v>
      </c>
      <c r="E4108" s="1" t="n">
        <v>39685</v>
      </c>
      <c r="F4108" t="n">
        <v>4</v>
      </c>
      <c r="G4108" t="inlineStr">
        <is>
          <t>The only reason I give this recipe a "4-star" is that it didn't turn out with the crust and fudgy texture I expected.  My results were more cake-like, but still a 5-star for taste!  The aroma as they were cooking was absolutely wonderful!  If you're having an "open house" you definitely need to put these in the oven before your guests arrive.  I doubled the recipe but otherwise followed exactly, adding walnuts for crunch.  We will be keeping this recipe on hand!  Thanks for posting.</t>
        </is>
      </c>
    </row>
    <row r="4109">
      <c r="A4109" s="7" t="n">
        <v>123085</v>
      </c>
      <c r="B4109" s="7" t="n">
        <v>66989</v>
      </c>
      <c r="C4109" s="7" t="n">
        <v>1803534682</v>
      </c>
      <c r="D4109" s="7" t="n">
        <v>104703</v>
      </c>
      <c r="E4109" s="8" t="n">
        <v>41994</v>
      </c>
      <c r="F4109" s="7" t="n">
        <v>0</v>
      </c>
      <c r="G4109" s="7" t="inlineStr">
        <is>
          <t>how did you all get more than a dozen? the yeast taste/smell is a little strong, think ill pre yeast next time.</t>
        </is>
      </c>
    </row>
    <row r="4110">
      <c r="A4110" s="7" t="n">
        <v>6481</v>
      </c>
      <c r="B4110" s="7" t="n">
        <v>919968</v>
      </c>
      <c r="C4110" s="7" t="n">
        <v>186468</v>
      </c>
      <c r="D4110" s="7" t="n">
        <v>97694</v>
      </c>
      <c r="E4110" s="8" t="n">
        <v>41343</v>
      </c>
      <c r="F4110" s="7" t="n">
        <v>5</v>
      </c>
      <c r="G4110" s="7" t="inlineStr">
        <is>
          <t>I have made these many times now and they just get better every time! As the sourdough starter gets older, the muffins get more and more awesome. These rise up beautifully and are literally picture perfect. I always end up with about 19 beautiful muffins, and 1 "special" one that I have to eat right away so the other muffins don't make fun of it. I cook them on a griddle at 400, turning them often so they are cooked through. I once messed up and added all flour and butter at the same time and it was still good (but they are lighter if you do it right). I've also added a little more sugar and dried blueberries.</t>
        </is>
      </c>
    </row>
    <row r="4111">
      <c r="A4111" s="7" t="n">
        <v>105719</v>
      </c>
      <c r="B4111" s="7" t="n">
        <v>1047414</v>
      </c>
      <c r="C4111" s="7" t="n">
        <v>785604</v>
      </c>
      <c r="D4111" s="7" t="n">
        <v>273342</v>
      </c>
      <c r="E4111" s="8" t="n">
        <v>39688</v>
      </c>
      <c r="F4111" s="7" t="n">
        <v>5</v>
      </c>
      <c r="G4111" s="7" t="inlineStr">
        <is>
          <t>DD and I made these this morning and they were very easy to make. I sprayed the foil with cooking spray, and everything came right off.  I used 1 stick of parkay which is equal to 1/2 cup (had no butter) and 1 cup of brown sugar. I dissolved on the stove top for a few minutes and poured it on the crackers, and spread it around a bit.  I didn't count the crackers, but I used one "sleeve" of saltines, that I was afraid was gonna go stale.  It worked out perfectly, these are soooo addicting.  I crushed up some pecans and covered 1/2 of the pan with them, left the other 1/2 just the yummy chocolate.  I used mini chips, and they melted great, spread them around and put in the fridge...heavenly!</t>
        </is>
      </c>
    </row>
    <row r="4112">
      <c r="A4112" s="7" t="n">
        <v>80853</v>
      </c>
      <c r="B4112" s="7" t="n">
        <v>657441</v>
      </c>
      <c r="C4112" s="7" t="n">
        <v>1504087</v>
      </c>
      <c r="D4112" s="7" t="n">
        <v>27208</v>
      </c>
      <c r="E4112" s="8" t="n">
        <v>41581</v>
      </c>
      <c r="F4112" s="7" t="n">
        <v>0</v>
      </c>
      <c r="G4112" s="7" t="inlineStr">
        <is>
          <t>This recipe was honestly one of the worst roast recipes I have ever made.  One would think that all the spice packs it calls for would season it beautifully.  That turned out not to be the case.  This roast was dry and the seasoning didn&amp;#039;t even get into the meat.  The vegetables had a bit of flavor though.  I followed the instructions exactly but it fell way short.  Will not be using this recipe again.</t>
        </is>
      </c>
    </row>
    <row r="4113">
      <c r="A4113" s="7" t="n">
        <v>45683</v>
      </c>
      <c r="B4113" s="7" t="n">
        <v>977374</v>
      </c>
      <c r="C4113" s="7" t="n">
        <v>172369</v>
      </c>
      <c r="D4113" s="7" t="n">
        <v>210416</v>
      </c>
      <c r="E4113" s="8" t="n">
        <v>39433</v>
      </c>
      <c r="F4113" s="7" t="n">
        <v>5</v>
      </c>
      <c r="G4113" s="7" t="inlineStr">
        <is>
          <t>Made as directed and loved this cake, I always loved zingers and this is even better. Thanks for sharing this recipe!</t>
        </is>
      </c>
    </row>
    <row r="4114">
      <c r="A4114" s="7" t="n">
        <v>57969</v>
      </c>
      <c r="B4114" s="7" t="n">
        <v>508710</v>
      </c>
      <c r="C4114" s="7" t="n">
        <v>439066</v>
      </c>
      <c r="D4114" s="7" t="n">
        <v>104694</v>
      </c>
      <c r="E4114" s="8" t="n">
        <v>39425</v>
      </c>
      <c r="F4114" s="7" t="n">
        <v>3</v>
      </c>
      <c r="G4114" s="7" t="inlineStr">
        <is>
          <t>These are ok. It comes out very dense and wheat-y. We added some thawed frozen corn b/c good corn bread has corn :) Next time I would recommend using half all-purpose and half whole wheat flour.</t>
        </is>
      </c>
    </row>
    <row r="4115">
      <c r="A4115" s="7" t="n">
        <v>22109</v>
      </c>
      <c r="B4115" s="7" t="n">
        <v>397711</v>
      </c>
      <c r="C4115" s="7" t="n">
        <v>138799</v>
      </c>
      <c r="D4115" s="7" t="n">
        <v>288603</v>
      </c>
      <c r="E4115" s="8" t="n">
        <v>39727</v>
      </c>
      <c r="F4115" s="7" t="n">
        <v>5</v>
      </c>
      <c r="G4115" s="7" t="inlineStr">
        <is>
          <t>Simple and delicious!  I needed something quick for dinner tonight and this came off so easy it fit the bill! A cheesy pasta dish with a surprise veggie inside! Nice change without the usual meat! Thanks Hokies for sharing this, its definitely a winner here!:)</t>
        </is>
      </c>
    </row>
    <row r="4116" ht="120" customHeight="1">
      <c r="A4116" s="7" t="n">
        <v>14086</v>
      </c>
      <c r="B4116" s="7" t="n">
        <v>342374</v>
      </c>
      <c r="C4116" s="7" t="n">
        <v>160974</v>
      </c>
      <c r="D4116" s="7" t="n">
        <v>143901</v>
      </c>
      <c r="E4116" s="8" t="n">
        <v>39924</v>
      </c>
      <c r="F4116" s="7" t="n">
        <v>5</v>
      </c>
      <c r="G4116" s="9" t="inlineStr">
        <is>
          <t>Nice and versatile. Thanks for posting, FloridaGrl-
Roxygirl</t>
        </is>
      </c>
    </row>
    <row r="4117">
      <c r="A4117" s="7" t="n">
        <v>109775</v>
      </c>
      <c r="B4117" s="7" t="n">
        <v>333408</v>
      </c>
      <c r="C4117" s="7" t="n">
        <v>1244997</v>
      </c>
      <c r="D4117" s="7" t="n">
        <v>199326</v>
      </c>
      <c r="E4117" s="8" t="n">
        <v>40149</v>
      </c>
      <c r="F4117" s="7" t="n">
        <v>5</v>
      </c>
      <c r="G4117" s="7" t="inlineStr">
        <is>
          <t>I followed this recipe to a T, all I can say is that this recipe will be my "go to" for roast! Uncle Bill, this is AMAZING!!!</t>
        </is>
      </c>
    </row>
    <row r="4118">
      <c r="A4118" s="7" t="n">
        <v>58208</v>
      </c>
      <c r="B4118" s="7" t="n">
        <v>14315</v>
      </c>
      <c r="C4118" s="7" t="n">
        <v>187281</v>
      </c>
      <c r="D4118" s="7" t="n">
        <v>76857</v>
      </c>
      <c r="E4118" s="8" t="n">
        <v>39196</v>
      </c>
      <c r="F4118" s="7" t="n">
        <v>5</v>
      </c>
      <c r="G4118" s="7" t="inlineStr">
        <is>
          <t>This is very good and had a nice flavor.  I added some broccoli and french bread for a great meal.  It couldn't have been any easier.</t>
        </is>
      </c>
    </row>
    <row r="4119">
      <c r="A4119" s="7" t="n">
        <v>67600</v>
      </c>
      <c r="B4119" s="7" t="n">
        <v>531303</v>
      </c>
      <c r="C4119" s="7" t="n">
        <v>866965</v>
      </c>
      <c r="D4119" s="7" t="n">
        <v>131132</v>
      </c>
      <c r="E4119" s="8" t="n">
        <v>39646</v>
      </c>
      <c r="F4119" s="7" t="n">
        <v>5</v>
      </c>
      <c r="G4119" s="7" t="inlineStr">
        <is>
          <t>what a great sauce. I have one almost like it but the bar b que sauce made the difference. Love it. thanks</t>
        </is>
      </c>
    </row>
    <row r="4120">
      <c r="A4120" s="7" t="n">
        <v>40595</v>
      </c>
      <c r="B4120" s="7" t="n">
        <v>248257</v>
      </c>
      <c r="C4120" s="7" t="n">
        <v>174096</v>
      </c>
      <c r="D4120" s="7" t="n">
        <v>362382</v>
      </c>
      <c r="E4120" s="8" t="n">
        <v>41127</v>
      </c>
      <c r="F4120" s="7" t="n">
        <v>5</v>
      </c>
      <c r="G4120" s="7" t="inlineStr">
        <is>
          <t>Very nice salsa!  Quick and flavorful, very fresh, especially with summer's bounty of veggies.  Thanks for sharing!  ZWT8</t>
        </is>
      </c>
    </row>
    <row r="4121">
      <c r="A4121" s="7" t="n">
        <v>37539</v>
      </c>
      <c r="B4121" s="7" t="n">
        <v>843152</v>
      </c>
      <c r="C4121" s="7" t="n">
        <v>909910</v>
      </c>
      <c r="D4121" s="7" t="n">
        <v>298675</v>
      </c>
      <c r="E4121" s="8" t="n">
        <v>40332</v>
      </c>
      <c r="F4121" s="7" t="n">
        <v>3</v>
      </c>
      <c r="G4121" s="7" t="inlineStr">
        <is>
          <t>These have a lot going for them but my gluten free 2 year old did not like them! And she usually will eat everything. I think I would like to try this with something other than brown rice crispies...not sure what! Overall I like the flavors of the nut butters together and will try some variation of this in the future.</t>
        </is>
      </c>
    </row>
    <row r="4122">
      <c r="A4122" t="n">
        <v>90040</v>
      </c>
      <c r="B4122" t="n">
        <v>242687</v>
      </c>
      <c r="C4122" t="n">
        <v>1832758</v>
      </c>
      <c r="D4122" t="n">
        <v>305194</v>
      </c>
      <c r="E4122" s="1" t="n">
        <v>41349</v>
      </c>
      <c r="F4122" t="n">
        <v>0</v>
      </c>
      <c r="G4122" t="inlineStr">
        <is>
          <t>yuk</t>
        </is>
      </c>
    </row>
    <row r="4123">
      <c r="A4123" s="7" t="n">
        <v>2622</v>
      </c>
      <c r="B4123" s="7" t="n">
        <v>200584</v>
      </c>
      <c r="C4123" s="7" t="n">
        <v>34880</v>
      </c>
      <c r="D4123" s="7" t="n">
        <v>20304</v>
      </c>
      <c r="E4123" s="8" t="n">
        <v>37341</v>
      </c>
      <c r="F4123" s="7" t="n">
        <v>2</v>
      </c>
      <c r="G4123" s="7" t="inlineStr">
        <is>
          <t>This just had no flavor. Something was missing...</t>
        </is>
      </c>
    </row>
    <row r="4124">
      <c r="A4124" s="7" t="n">
        <v>4625</v>
      </c>
      <c r="B4124" s="7" t="n">
        <v>1121553</v>
      </c>
      <c r="C4124" s="7" t="n">
        <v>1268095</v>
      </c>
      <c r="D4124" s="7" t="n">
        <v>100505</v>
      </c>
      <c r="E4124" s="8" t="n">
        <v>39983</v>
      </c>
      <c r="F4124" s="7" t="n">
        <v>1</v>
      </c>
      <c r="G4124" s="7" t="inlineStr">
        <is>
          <t>I also made this cake with the left-over egg yolk from making an angel food cake. Looked good until about 20 minutes into the baking process. Cake rose nicely then fell. Did you leave something out of the recipe?</t>
        </is>
      </c>
    </row>
    <row r="4125">
      <c r="A4125" s="7" t="n">
        <v>34866</v>
      </c>
      <c r="B4125" s="7" t="n">
        <v>546598</v>
      </c>
      <c r="C4125" s="7" t="n">
        <v>168771</v>
      </c>
      <c r="D4125" s="7" t="n">
        <v>117574</v>
      </c>
      <c r="E4125" s="8" t="n">
        <v>39986</v>
      </c>
      <c r="F4125" s="7" t="n">
        <v>5</v>
      </c>
      <c r="G4125" s="7" t="inlineStr">
        <is>
          <t>I cooked this in a crock pot, layering the ingredients instead of rolling in the tortillas.  I'm sure I used fewer tortillas (8-10).  But, this was terrific.  Everyone loved it.</t>
        </is>
      </c>
    </row>
    <row r="4126">
      <c r="A4126" s="7" t="n">
        <v>39377</v>
      </c>
      <c r="B4126" s="7" t="n">
        <v>36481</v>
      </c>
      <c r="C4126" s="7" t="n">
        <v>1376400</v>
      </c>
      <c r="D4126" s="7" t="n">
        <v>57763</v>
      </c>
      <c r="E4126" s="8" t="n">
        <v>40574</v>
      </c>
      <c r="F4126" s="7" t="n">
        <v>4</v>
      </c>
      <c r="G4126" s="7" t="inlineStr">
        <is>
          <t>This is not bad. I used only 1/2 butter and 1/2 cup packed brown sugar. Tasted good with whipped cream. I also added 1/2 blueberry pie filling to make it apple-blueberry pie.</t>
        </is>
      </c>
    </row>
    <row r="4127">
      <c r="A4127" s="7" t="n">
        <v>70829</v>
      </c>
      <c r="B4127" s="7" t="n">
        <v>593624</v>
      </c>
      <c r="C4127" s="7" t="n">
        <v>2000457870</v>
      </c>
      <c r="D4127" s="7" t="n">
        <v>46690</v>
      </c>
      <c r="E4127" s="8" t="n">
        <v>42253</v>
      </c>
      <c r="F4127" s="7" t="n">
        <v>0</v>
      </c>
      <c r="G4127" s="7" t="inlineStr">
        <is>
          <t>I made this last week and it was awesome. My husband loved it but thought it was kind of sweet. Next tome I think I will leave the cool whip off the top and just sprinkle with cookies. Loved it though.</t>
        </is>
      </c>
    </row>
    <row r="4128" ht="375" customHeight="1">
      <c r="A4128" s="7" t="n">
        <v>26130</v>
      </c>
      <c r="B4128" s="7" t="n">
        <v>849857</v>
      </c>
      <c r="C4128" s="7" t="n">
        <v>52528</v>
      </c>
      <c r="D4128" s="7" t="n">
        <v>37770</v>
      </c>
      <c r="E4128" s="8" t="n">
        <v>37880</v>
      </c>
      <c r="F4128" s="7" t="n">
        <v>5</v>
      </c>
      <c r="G4128" s="9" t="inlineStr">
        <is>
          <t>Thses are marvelous, yes there was lots of chopping but thats what my husbands for lol._x000D_
I doubled the recipe. I will be making these often. Thanks Dancer^_x000D_
another great recipe.</t>
        </is>
      </c>
    </row>
    <row r="4129">
      <c r="A4129" s="7" t="n">
        <v>107470</v>
      </c>
      <c r="B4129" s="7" t="n">
        <v>422889</v>
      </c>
      <c r="C4129" s="7" t="n">
        <v>1334806</v>
      </c>
      <c r="D4129" s="7" t="n">
        <v>413122</v>
      </c>
      <c r="E4129" s="8" t="n">
        <v>41510</v>
      </c>
      <c r="F4129" s="7" t="n">
        <v>5</v>
      </c>
      <c r="G4129" s="7" t="inlineStr">
        <is>
          <t>Mmmm...this was so good!  Love the flavors of the peanut butter, sesame, and onions all together.  Definitely will make a again!  Made for ZWT9.</t>
        </is>
      </c>
    </row>
    <row r="4130">
      <c r="A4130" s="7" t="n">
        <v>12213</v>
      </c>
      <c r="B4130" s="7" t="n">
        <v>489705</v>
      </c>
      <c r="C4130" s="7" t="n">
        <v>41984476</v>
      </c>
      <c r="D4130" s="7" t="n">
        <v>150898</v>
      </c>
      <c r="E4130" s="8" t="n">
        <v>41626</v>
      </c>
      <c r="F4130" s="7" t="n">
        <v>5</v>
      </c>
      <c r="G4130" s="7" t="inlineStr">
        <is>
          <t>Substituted brown rice gluten free noodles. This really is surprisingly delicious. Absolutely yummy and quick to make for an exciting taste bud experience and stomach satisfying. Thanks for the recipe!</t>
        </is>
      </c>
    </row>
    <row r="4131">
      <c r="A4131" s="7" t="n">
        <v>88323</v>
      </c>
      <c r="B4131" s="7" t="n">
        <v>1001980</v>
      </c>
      <c r="C4131" s="7" t="n">
        <v>1711851</v>
      </c>
      <c r="D4131" s="7" t="n">
        <v>380814</v>
      </c>
      <c r="E4131" s="8" t="n">
        <v>40476</v>
      </c>
      <c r="F4131" s="7" t="n">
        <v>5</v>
      </c>
      <c r="G4131" s="7" t="inlineStr">
        <is>
          <t>This was perfect and a big hit with my company, it's definitely a keeper! I've had it several times at Cheddar's. Super easy to make; I served it like Cheddar's with the meat sauce on top with a salad, green beans, and garlic bread. It served 7 easily and still had left overs for lunch and maybe another night.</t>
        </is>
      </c>
    </row>
    <row r="4132">
      <c r="A4132" s="7" t="n">
        <v>60980</v>
      </c>
      <c r="B4132" s="7" t="n">
        <v>761280</v>
      </c>
      <c r="C4132" s="7" t="n">
        <v>183964</v>
      </c>
      <c r="D4132" s="7" t="n">
        <v>102672</v>
      </c>
      <c r="E4132" s="8" t="n">
        <v>38489</v>
      </c>
      <c r="F4132" s="7" t="n">
        <v>4</v>
      </c>
      <c r="G4132" s="7" t="inlineStr">
        <is>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is>
      </c>
    </row>
    <row r="4133">
      <c r="A4133" s="7" t="n">
        <v>88669</v>
      </c>
      <c r="B4133" s="7" t="n">
        <v>823806</v>
      </c>
      <c r="C4133" s="7" t="n">
        <v>52543</v>
      </c>
      <c r="D4133" s="7" t="n">
        <v>78814</v>
      </c>
      <c r="E4133" s="8" t="n">
        <v>38364</v>
      </c>
      <c r="F4133" s="7" t="n">
        <v>5</v>
      </c>
      <c r="G4133" s="7" t="inlineStr">
        <is>
          <t>All I can say is WOW!! I rarely cook with canned soup or packaged pastry but I'll be doing this again. I scaled it in half as there's just the 2 of us &amp; followed Crabzilla's suggestion about omitting the sauce on the bottom. I added salt &amp; pepper to the both the chicken mixture &amp; the sauce and sprinkled paprika on top to improve the colour. My cheese of choice was colby with chives &amp; I served with a side salad for a quick &amp; easy mid week dinner. Adding some diced celery to the leftover chicken mixture will make a great sandwich for lunch today. Thanx so much for posting Kitten!</t>
        </is>
      </c>
    </row>
    <row r="4134">
      <c r="A4134" s="7" t="n">
        <v>118608</v>
      </c>
      <c r="B4134" s="7" t="n">
        <v>1015209</v>
      </c>
      <c r="C4134" s="7" t="n">
        <v>878908</v>
      </c>
      <c r="D4134" s="7" t="n">
        <v>168742</v>
      </c>
      <c r="E4134" s="8" t="n">
        <v>39634</v>
      </c>
      <c r="F4134" s="7" t="n">
        <v>5</v>
      </c>
      <c r="G4134" s="7" t="inlineStr">
        <is>
          <t>I made these this weekend and they were really delicious! I had used a recipe that called for a little less of just about everything. After I made them I told everyone that I thought it needed more of the sauces and seasonings then what it called for. So I think this recipe would be PERFECT! It was great the way I made it but think this would put it over the top :) Also, I would leave the egg out as well!</t>
        </is>
      </c>
    </row>
    <row r="4135">
      <c r="A4135" s="7" t="n">
        <v>39402</v>
      </c>
      <c r="B4135" s="7" t="n">
        <v>536534</v>
      </c>
      <c r="C4135" s="7" t="n">
        <v>22015</v>
      </c>
      <c r="D4135" s="7" t="n">
        <v>216575</v>
      </c>
      <c r="E4135" s="8" t="n">
        <v>39213</v>
      </c>
      <c r="F4135" s="7" t="n">
        <v>5</v>
      </c>
      <c r="G4135" s="7" t="inlineStr">
        <is>
          <t>This went very well with the roasted chicken and steamed broccoli that I served.    The white wine gave it an added dimension from other chicken flavored rice recipes.</t>
        </is>
      </c>
    </row>
    <row r="4136">
      <c r="A4136" s="7" t="n">
        <v>40193</v>
      </c>
      <c r="B4136" s="7" t="n">
        <v>348923</v>
      </c>
      <c r="C4136" s="7" t="n">
        <v>2139358</v>
      </c>
      <c r="D4136" s="7" t="n">
        <v>50719</v>
      </c>
      <c r="E4136" s="8" t="n">
        <v>40922</v>
      </c>
      <c r="F4136" s="7" t="n">
        <v>5</v>
      </c>
      <c r="G4136" s="7" t="inlineStr">
        <is>
          <t>I really enjoyed these muffins.. I made them in mini muffin pans and they turned out great. I also used cinnamon  instead of nutmeg for the topping.  I will make this recipe again</t>
        </is>
      </c>
    </row>
    <row r="4137">
      <c r="A4137" s="7" t="n">
        <v>69005</v>
      </c>
      <c r="B4137" s="7" t="n">
        <v>194263</v>
      </c>
      <c r="C4137" s="7" t="n">
        <v>199848</v>
      </c>
      <c r="D4137" s="7" t="n">
        <v>126697</v>
      </c>
      <c r="E4137" s="8" t="n">
        <v>39968</v>
      </c>
      <c r="F4137" s="7" t="n">
        <v>5</v>
      </c>
      <c r="G4137" s="7" t="inlineStr">
        <is>
          <t>Awesome fresh salsa with just the perfect amount of heat!  I hand-chopped the ingredients instead of using a processor because I love chunky salsa.  It was worth the effort.  Thanx for sharing!</t>
        </is>
      </c>
    </row>
    <row r="4138">
      <c r="A4138" s="7" t="n">
        <v>51887</v>
      </c>
      <c r="B4138" s="7" t="n">
        <v>512859</v>
      </c>
      <c r="C4138" s="7" t="n">
        <v>179133</v>
      </c>
      <c r="D4138" s="7" t="n">
        <v>73056</v>
      </c>
      <c r="E4138" s="8" t="n">
        <v>39045</v>
      </c>
      <c r="F4138" s="7" t="n">
        <v>5</v>
      </c>
      <c r="G4138" s="7" t="inlineStr">
        <is>
          <t>This was excellent! Made as a sandwich filling so skipped the milk but made to the recipe otherwise. Love the Worcestershire and Tabasco flavors with the shrimp. Thanks for the recipe!</t>
        </is>
      </c>
    </row>
    <row r="4139">
      <c r="A4139" s="7" t="n">
        <v>77171</v>
      </c>
      <c r="B4139" s="7" t="n">
        <v>508400</v>
      </c>
      <c r="C4139" s="7" t="n">
        <v>2002164493</v>
      </c>
      <c r="D4139" s="7" t="n">
        <v>124413</v>
      </c>
      <c r="E4139" s="8" t="n">
        <v>43296</v>
      </c>
      <c r="F4139" s="7" t="n">
        <v>0</v>
      </c>
      <c r="G4139" s="7" t="inlineStr">
        <is>
          <t>Can I use almond milk?</t>
        </is>
      </c>
    </row>
    <row r="4140">
      <c r="A4140" s="7" t="n">
        <v>118219</v>
      </c>
      <c r="B4140" s="7" t="n">
        <v>655792</v>
      </c>
      <c r="C4140" s="7" t="n">
        <v>1160973</v>
      </c>
      <c r="D4140" s="7" t="n">
        <v>297085</v>
      </c>
      <c r="E4140" s="8" t="n">
        <v>39851</v>
      </c>
      <c r="F4140" s="7" t="n">
        <v>1</v>
      </c>
      <c r="G4140" s="7" t="inlineStr">
        <is>
          <t>I love champagne and I love cupcakes. I thought this sounded great. I was wrong. There was not a lot of flavor when I pulled them out of the oven. In the morning they smelled like fermented beer and tasted like it too. I will not make them again. I did not even bother icing them.</t>
        </is>
      </c>
    </row>
    <row r="4141">
      <c r="A4141" s="7" t="n">
        <v>11544</v>
      </c>
      <c r="B4141" s="7" t="n">
        <v>402925</v>
      </c>
      <c r="C4141" s="7" t="n">
        <v>168462</v>
      </c>
      <c r="D4141" s="7" t="n">
        <v>38607</v>
      </c>
      <c r="E4141" s="8" t="n">
        <v>39141</v>
      </c>
      <c r="F4141" s="7" t="n">
        <v>5</v>
      </c>
      <c r="G4141" s="7" t="inlineStr">
        <is>
          <t>We loved this easy dish. It goes together in no time and can be made ahead. The only thing I did different was to use oven ready noodles and dried rosemary. Thanks for such a wonderful recipe.</t>
        </is>
      </c>
    </row>
    <row r="4142">
      <c r="A4142" s="7" t="n">
        <v>51293</v>
      </c>
      <c r="B4142" s="7" t="n">
        <v>90912</v>
      </c>
      <c r="C4142" s="7" t="n">
        <v>179456</v>
      </c>
      <c r="D4142" s="7" t="n">
        <v>101897</v>
      </c>
      <c r="E4142" s="8" t="n">
        <v>38463</v>
      </c>
      <c r="F4142" s="7" t="n">
        <v>5</v>
      </c>
      <c r="G4142" s="7" t="inlineStr">
        <is>
          <t>It was the cocoa powder that drew me to this recipe, being the chocolate lover I am.  I cut it in half and used it on porkchops...It was great.  Next time I will make a full batch.</t>
        </is>
      </c>
    </row>
    <row r="4143">
      <c r="A4143" s="7" t="n">
        <v>60954</v>
      </c>
      <c r="B4143" s="7" t="n">
        <v>404885</v>
      </c>
      <c r="C4143" s="7" t="n">
        <v>175574</v>
      </c>
      <c r="D4143" s="7" t="n">
        <v>128874</v>
      </c>
      <c r="E4143" s="8" t="n">
        <v>38569</v>
      </c>
      <c r="F4143" s="7" t="n">
        <v>3</v>
      </c>
      <c r="G4143" s="7" t="inlineStr">
        <is>
          <t xml:space="preserve">I was really torn with how to rate this...I got the recipe from Bon Appetit and thought WOW! I HAVE to try this... it's a fair amount of work.  It made for a beautiful presentation, especially if you take the time to candy the rose petals, however I had some issues with the frosting being too soft and not really setting up, (maybe if I had used a touch of unflavored gelatin to stabilize?)  The cake itself kind of left me a little flat.  It's not a bad cake, and the flavor is exotic, but it's a lot of work for not quite the result I wanted.  I will take some of these ideas and put them into other recipes though. </t>
        </is>
      </c>
    </row>
    <row r="4144">
      <c r="A4144" s="7" t="n">
        <v>79787</v>
      </c>
      <c r="B4144" s="7" t="n">
        <v>54714</v>
      </c>
      <c r="C4144" s="7" t="n">
        <v>566005</v>
      </c>
      <c r="D4144" s="7" t="n">
        <v>52035</v>
      </c>
      <c r="E4144" s="8" t="n">
        <v>39498</v>
      </c>
      <c r="F4144" s="7" t="n">
        <v>5</v>
      </c>
      <c r="G4144" s="7" t="inlineStr">
        <is>
          <t>So easy to make &amp; delicious!</t>
        </is>
      </c>
    </row>
    <row r="4145">
      <c r="A4145" s="7" t="n">
        <v>68474</v>
      </c>
      <c r="B4145" s="7" t="n">
        <v>803694</v>
      </c>
      <c r="C4145" s="7" t="n">
        <v>333017</v>
      </c>
      <c r="D4145" s="7" t="n">
        <v>89734</v>
      </c>
      <c r="E4145" s="8" t="n">
        <v>39071</v>
      </c>
      <c r="F4145" s="7" t="n">
        <v>4</v>
      </c>
      <c r="G4145" s="7" t="inlineStr">
        <is>
          <t>I made this with a few modifications:  I changed the veggies to broccoli, mushrooms and snap peas as my girls don't care for bell peppers....I also added some minced ginger.  As I didn't have any sesame oil in the cupboard, I used olive oil (my bad, because it would have enhanced the flavour!!!)  I have always found soy sauce on the salty side, so I usually dilute it with a bit of water!  It is fast, easy and tasted great.  I would recommend this recipe!</t>
        </is>
      </c>
    </row>
    <row r="4146">
      <c r="A4146" s="7" t="n">
        <v>75239</v>
      </c>
      <c r="B4146" s="7" t="n">
        <v>822479</v>
      </c>
      <c r="C4146" s="7" t="n">
        <v>354166</v>
      </c>
      <c r="D4146" s="7" t="n">
        <v>113229</v>
      </c>
      <c r="E4146" s="8" t="n">
        <v>39517</v>
      </c>
      <c r="F4146" s="7" t="n">
        <v>3</v>
      </c>
      <c r="G4146" s="7" t="inlineStr">
        <is>
          <t>Good, but a bit soggy. I think I'd like it better with fresh green beans.</t>
        </is>
      </c>
    </row>
    <row r="4147">
      <c r="A4147" s="7" t="n">
        <v>6904</v>
      </c>
      <c r="B4147" s="7" t="n">
        <v>476518</v>
      </c>
      <c r="C4147" s="7" t="n">
        <v>2002184249</v>
      </c>
      <c r="D4147" s="7" t="n">
        <v>150802</v>
      </c>
      <c r="E4147" s="8" t="n">
        <v>43263</v>
      </c>
      <c r="F4147" s="7" t="n">
        <v>5</v>
      </c>
      <c r="G4147" s="7" t="inlineStr">
        <is>
          <t>Thank you for this recipe or rather roasting technique. I roasted some 3lbs of red potatoes (cut into chunks) this way, and it was the best I ever made. I added 1/4 cup of melted butter and only 1/4 cup of shortening. After arranging the potatoes on large roasting pan, lined with aluminum foil, I sprinkled sea salt, garlic powder, chili powder, and parsley flakes. Baked at 400F for 40 minutes. Magnifique!</t>
        </is>
      </c>
    </row>
    <row r="4148" ht="409.5" customHeight="1">
      <c r="A4148" s="7" t="n">
        <v>5626</v>
      </c>
      <c r="B4148" s="7" t="n">
        <v>111925</v>
      </c>
      <c r="C4148" s="7" t="n">
        <v>79946</v>
      </c>
      <c r="D4148" s="7" t="n">
        <v>81347</v>
      </c>
      <c r="E4148" s="8" t="n">
        <v>38559</v>
      </c>
      <c r="F4148" s="7" t="n">
        <v>5</v>
      </c>
      <c r="G4148" s="9" t="inlineStr">
        <is>
          <t>This cake is really moist delicious,_x000D_
I cut back on the cooking time by about 10 min. (my oven overheats) and I used only 1 cup of sugar. and added unsweetened dried cranberries, ground flax seeds and fine bran flakes for a little fiber boost. Will definately make again.</t>
        </is>
      </c>
    </row>
    <row r="4149">
      <c r="A4149" s="7" t="n">
        <v>7843</v>
      </c>
      <c r="B4149" s="7" t="n">
        <v>502963</v>
      </c>
      <c r="C4149" s="7" t="n">
        <v>785604</v>
      </c>
      <c r="D4149" s="7" t="n">
        <v>84396</v>
      </c>
      <c r="E4149" s="8" t="n">
        <v>39607</v>
      </c>
      <c r="F4149" s="7" t="n">
        <v>4</v>
      </c>
      <c r="G4149" s="7" t="inlineStr">
        <is>
          <t>Everyone liked this except for me... I did not make the dipping sauce because I simply ran out of time.  Will make again with sauce and see if that doesn't do the trick for me.  9 other people thought it was great!</t>
        </is>
      </c>
    </row>
    <row r="4150">
      <c r="A4150" s="7" t="n">
        <v>1272</v>
      </c>
      <c r="B4150" s="7" t="n">
        <v>938821</v>
      </c>
      <c r="C4150" s="7" t="n">
        <v>291292</v>
      </c>
      <c r="D4150" s="7" t="n">
        <v>42369</v>
      </c>
      <c r="E4150" s="8" t="n">
        <v>39775</v>
      </c>
      <c r="F4150" s="7" t="n">
        <v>5</v>
      </c>
      <c r="G4150" s="7" t="inlineStr">
        <is>
          <t>I just seen this again after many months. I thought I had reviewed them but looking I couldn't find my review. Anyway, they were delicious and we have made them a few times since i found the recipes. My boys ask for those graham craker cookies. lol Thanks so much for a great recipe.</t>
        </is>
      </c>
    </row>
    <row r="4151">
      <c r="A4151" s="7" t="n">
        <v>16506</v>
      </c>
      <c r="B4151" s="7" t="n">
        <v>62301</v>
      </c>
      <c r="C4151" s="7" t="n">
        <v>2052879</v>
      </c>
      <c r="D4151" s="7" t="n">
        <v>94031</v>
      </c>
      <c r="E4151" s="8" t="n">
        <v>40850</v>
      </c>
      <c r="F4151" s="7" t="n">
        <v>5</v>
      </c>
      <c r="G4151" s="7" t="inlineStr">
        <is>
          <t>Love this - but wanted to spice it up a bit.  I added Chili Garlic Sauce that I get at my Asian grocery. Wonderful!</t>
        </is>
      </c>
    </row>
    <row r="4152">
      <c r="A4152" s="7" t="n">
        <v>23786</v>
      </c>
      <c r="B4152" s="7" t="n">
        <v>380945</v>
      </c>
      <c r="C4152" s="7" t="n">
        <v>1243974</v>
      </c>
      <c r="D4152" s="7" t="n">
        <v>217031</v>
      </c>
      <c r="E4152" s="8" t="n">
        <v>40915</v>
      </c>
      <c r="F4152" s="7" t="n">
        <v>5</v>
      </c>
      <c r="G4152" s="7" t="inlineStr">
        <is>
          <t>WONDERFUL! Dense, not light, but still cakey, and a really strong banana flavor. Great recipe, and so healthy, thanks!</t>
        </is>
      </c>
    </row>
    <row r="4153">
      <c r="A4153" s="7" t="n">
        <v>17117</v>
      </c>
      <c r="B4153" s="7" t="n">
        <v>534040</v>
      </c>
      <c r="C4153" s="7" t="n">
        <v>999746</v>
      </c>
      <c r="D4153" s="7" t="n">
        <v>22850</v>
      </c>
      <c r="E4153" s="8" t="n">
        <v>40561</v>
      </c>
      <c r="F4153" s="7" t="n">
        <v>4</v>
      </c>
      <c r="G4153" s="7" t="inlineStr">
        <is>
          <t>I was looking for something different, and wow I found it. It was very good and had three of my favorite things.... a good ale, onions, and cheese.</t>
        </is>
      </c>
    </row>
    <row r="4154" ht="409.5" customHeight="1">
      <c r="A4154" s="7" t="n">
        <v>91972</v>
      </c>
      <c r="B4154" s="7" t="n">
        <v>676955</v>
      </c>
      <c r="C4154" s="7" t="n">
        <v>736896</v>
      </c>
      <c r="D4154" s="7" t="n">
        <v>42320</v>
      </c>
      <c r="E4154" s="8" t="n">
        <v>39469</v>
      </c>
      <c r="F4154" s="7" t="n">
        <v>5</v>
      </c>
      <c r="G4154" s="9" t="inlineStr">
        <is>
          <t>I have never tried Anise Cookies but heard about them from a friend. Excellent recipe and cookie!! Will certainly add this recipe to my favorites. I used a small cookie scoop and got 51_x000D_
( approx. 4 dozen ) cookies from the recipe not the 10 dozen as stated. Thank you LDJ for a great recipe !!</t>
        </is>
      </c>
    </row>
    <row r="4155">
      <c r="A4155" s="7" t="n">
        <v>61444</v>
      </c>
      <c r="B4155" s="7" t="n">
        <v>752871</v>
      </c>
      <c r="C4155" s="7" t="n">
        <v>1821704</v>
      </c>
      <c r="D4155" s="7" t="n">
        <v>434580</v>
      </c>
      <c r="E4155" s="8" t="n">
        <v>40684</v>
      </c>
      <c r="F4155" s="7" t="n">
        <v>5</v>
      </c>
      <c r="G4155" s="7" t="inlineStr">
        <is>
          <t>Indian chili. That's how I explained it. Hubby and I loved it. Mom said it was one of the best things she's ever eaten; and she rarely likes anything someone else makes.</t>
        </is>
      </c>
    </row>
    <row r="4156">
      <c r="A4156" s="7" t="n">
        <v>123975</v>
      </c>
      <c r="B4156" s="7" t="n">
        <v>416698</v>
      </c>
      <c r="C4156" s="7" t="n">
        <v>220433</v>
      </c>
      <c r="D4156" s="7" t="n">
        <v>112912</v>
      </c>
      <c r="E4156" s="8" t="n">
        <v>39886</v>
      </c>
      <c r="F4156" s="7" t="n">
        <v>5</v>
      </c>
      <c r="G4156" s="7" t="inlineStr">
        <is>
          <t>I was looking for a quick Comfort Food meal and this fit the bill nicely. I followed the recipe as is using canned Chicken. It was quick and easy and I thank you for sharing it. This is even a dish that kids would probably like.</t>
        </is>
      </c>
    </row>
    <row r="4157">
      <c r="A4157" s="7" t="n">
        <v>2537</v>
      </c>
      <c r="B4157" s="7" t="n">
        <v>319175</v>
      </c>
      <c r="C4157" s="7" t="n">
        <v>2482186</v>
      </c>
      <c r="D4157" s="7" t="n">
        <v>294059</v>
      </c>
      <c r="E4157" s="8" t="n">
        <v>41217</v>
      </c>
      <c r="F4157" s="7" t="n">
        <v>5</v>
      </c>
      <c r="G4157" s="7" t="inlineStr">
        <is>
          <t>I haven't had sugar, bread, pasta, etc. for over a month..so these hit the spot! Amazing! I followed the recipe exactly except for the cook time. Mine were perfect right around 30 minutes. They came out looking just like real brownies! Amazing recipe (:</t>
        </is>
      </c>
    </row>
    <row r="4158">
      <c r="A4158" s="7" t="n">
        <v>113655</v>
      </c>
      <c r="B4158" s="7" t="n">
        <v>778364</v>
      </c>
      <c r="C4158" s="7" t="n">
        <v>552613</v>
      </c>
      <c r="D4158" s="7" t="n">
        <v>255378</v>
      </c>
      <c r="E4158" s="8" t="n">
        <v>39736</v>
      </c>
      <c r="F4158" s="7" t="n">
        <v>5</v>
      </c>
      <c r="G4158" s="7" t="inlineStr">
        <is>
          <t>This was such a nice change of pace for breakfast.  I had cinnamon and raisin bagels so I used those and they worked really well with the other flavors.  I used fat free cream cheese and reduced sugar jam to make for a really tasty and pretty much guilt free breakfast.  Made for I Recommend Tag.</t>
        </is>
      </c>
    </row>
    <row r="4159">
      <c r="A4159" s="7" t="n">
        <v>89086</v>
      </c>
      <c r="B4159" s="7" t="n">
        <v>132462</v>
      </c>
      <c r="C4159" s="7" t="n">
        <v>242484</v>
      </c>
      <c r="D4159" s="7" t="n">
        <v>40744</v>
      </c>
      <c r="E4159" s="8" t="n">
        <v>39483</v>
      </c>
      <c r="F4159" s="7" t="n">
        <v>4</v>
      </c>
      <c r="G4159" s="7" t="inlineStr">
        <is>
          <t>I made this cake for my hubby's birthday last night and it was quite good.  A fun heirloom recipe to try out.  I made it with your icing recipe also.  I had my doubts that the frosting ingredients would come together but they sure did and it turned out delicious!  One suggestion I would have is if using 2 round, 8 inch pans as I did, 40 minutes is too long for cooking, start checking the cakes at about 30 minutes or so for doneness.</t>
        </is>
      </c>
    </row>
    <row r="4160">
      <c r="A4160" s="7" t="n">
        <v>60766</v>
      </c>
      <c r="B4160" s="7" t="n">
        <v>697532</v>
      </c>
      <c r="C4160" s="7" t="n">
        <v>192581</v>
      </c>
      <c r="D4160" s="7" t="n">
        <v>335353</v>
      </c>
      <c r="E4160" s="8" t="n">
        <v>40168</v>
      </c>
      <c r="F4160" s="7" t="n">
        <v>4</v>
      </c>
      <c r="G4160" s="7" t="inlineStr">
        <is>
          <t>This has more vodka and less cream than most other vodka sauces.  As such, I think I prefer the less vodka, more cream sauces.  As a result, this had bite and a half to me.  I'm used to low-fat, so I substituted half and half for the heavy cream and used less oil.  Even with these substitutions, and because I'm used to making and eating food with low-fat adjustments, I would still give this 4 stars.  Good for people who like the extra bite.  Thanks!</t>
        </is>
      </c>
    </row>
    <row r="4161">
      <c r="A4161" s="7" t="n">
        <v>61371</v>
      </c>
      <c r="B4161" s="7" t="n">
        <v>136665</v>
      </c>
      <c r="C4161" s="7" t="n">
        <v>402559</v>
      </c>
      <c r="D4161" s="7" t="n">
        <v>44888</v>
      </c>
      <c r="E4161" s="8" t="n">
        <v>39327</v>
      </c>
      <c r="F4161" s="7" t="n">
        <v>5</v>
      </c>
      <c r="G4161" s="7" t="inlineStr">
        <is>
          <t>I used this with chicken breasts instead and they came out great! Thanks so much, will make again.</t>
        </is>
      </c>
    </row>
    <row r="4162">
      <c r="A4162" s="7" t="n">
        <v>22625</v>
      </c>
      <c r="B4162" s="7" t="n">
        <v>815085</v>
      </c>
      <c r="C4162" s="7" t="n">
        <v>1706997</v>
      </c>
      <c r="D4162" s="7" t="n">
        <v>36952</v>
      </c>
      <c r="E4162" s="8" t="n">
        <v>40468</v>
      </c>
      <c r="F4162" s="7" t="n">
        <v>5</v>
      </c>
      <c r="G4162" s="7" t="inlineStr">
        <is>
          <t>It was a hit' including for those who had never had this casserole. I too added more rice,just a little more cheese. I have been asked to make it at Thanksgiving.</t>
        </is>
      </c>
    </row>
    <row r="4163">
      <c r="A4163" s="7" t="n">
        <v>73697</v>
      </c>
      <c r="B4163" s="7" t="n">
        <v>15285</v>
      </c>
      <c r="C4163" s="7" t="n">
        <v>464080</v>
      </c>
      <c r="D4163" s="7" t="n">
        <v>38426</v>
      </c>
      <c r="E4163" s="8" t="n">
        <v>39686</v>
      </c>
      <c r="F4163" s="7" t="n">
        <v>4</v>
      </c>
      <c r="G4163" s="7" t="inlineStr">
        <is>
          <t>Nice smoothie.  Didn't have yeast on hand, so left that out.  I always like smoothies with strawberry and banana!  Love a healthy smoothie for breakfast each morning.  Made for BEVY TAG.</t>
        </is>
      </c>
    </row>
    <row r="4164">
      <c r="A4164" t="n">
        <v>104981</v>
      </c>
      <c r="B4164" t="n">
        <v>1017412</v>
      </c>
      <c r="C4164" t="n">
        <v>59780</v>
      </c>
      <c r="D4164" t="n">
        <v>64771</v>
      </c>
      <c r="E4164" s="1" t="n">
        <v>38584</v>
      </c>
      <c r="F4164" t="n">
        <v>5</v>
      </c>
      <c r="G4164" t="inlineStr">
        <is>
          <t>oh yum! I made these as a breakfast treat for the kids and they loved them. I liked that these were easy to make and they froze very well. I have added this to my OAMC muffin-tried and true cookbook!</t>
        </is>
      </c>
    </row>
    <row r="4165">
      <c r="A4165" s="7" t="n">
        <v>98610</v>
      </c>
      <c r="B4165" s="7" t="n">
        <v>633870</v>
      </c>
      <c r="C4165" s="7" t="n">
        <v>396152</v>
      </c>
      <c r="D4165" s="7" t="n">
        <v>370964</v>
      </c>
      <c r="E4165" s="8" t="n">
        <v>40889</v>
      </c>
      <c r="F4165" s="7" t="n">
        <v>5</v>
      </c>
      <c r="G4165" s="7" t="inlineStr">
        <is>
          <t>These are delicious.  They weren't *quite* as crispy on the outside as I'd like, but they were super fluffy and very easy to put together.  Thank you!  I used a bottle of Sweetwater 420.</t>
        </is>
      </c>
    </row>
    <row r="4166">
      <c r="A4166" s="7" t="n">
        <v>38292</v>
      </c>
      <c r="B4166" s="7" t="n">
        <v>406466</v>
      </c>
      <c r="C4166" s="7" t="n">
        <v>1820887</v>
      </c>
      <c r="D4166" s="7" t="n">
        <v>145119</v>
      </c>
      <c r="E4166" s="8" t="n">
        <v>40580</v>
      </c>
      <c r="F4166" s="7" t="n">
        <v>0</v>
      </c>
      <c r="G4166" s="7" t="inlineStr">
        <is>
          <t>We've had this dish at the restaurant and this recipe is terrific. Unwilling to spend $26/lb. for prosciutto, I substituted lean ham. (Italians forgive me!)  I also substituted half and half for the cream with great final flavor.  Excellent!</t>
        </is>
      </c>
    </row>
    <row r="4167">
      <c r="A4167" s="7" t="n">
        <v>121831</v>
      </c>
      <c r="B4167" s="7" t="n">
        <v>213473</v>
      </c>
      <c r="C4167" s="7" t="n">
        <v>969481</v>
      </c>
      <c r="D4167" s="7" t="n">
        <v>125633</v>
      </c>
      <c r="E4167" s="8" t="n">
        <v>40180</v>
      </c>
      <c r="F4167" s="7" t="n">
        <v>4</v>
      </c>
      <c r="G4167" s="7" t="inlineStr">
        <is>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is>
      </c>
    </row>
    <row r="4168">
      <c r="A4168" s="7" t="n">
        <v>44916</v>
      </c>
      <c r="B4168" s="7" t="n">
        <v>579128</v>
      </c>
      <c r="C4168" s="7" t="n">
        <v>1072593</v>
      </c>
      <c r="D4168" s="7" t="n">
        <v>48606</v>
      </c>
      <c r="E4168" s="8" t="n">
        <v>41163</v>
      </c>
      <c r="F4168" s="7" t="n">
        <v>5</v>
      </c>
      <c r="G4168" s="7" t="inlineStr">
        <is>
          <t>Delicious and, btw, is this comment font big enough? Would it be easier to read IF I WROTE IN CAPITALS?  DELICIOUS!</t>
        </is>
      </c>
    </row>
    <row r="4169">
      <c r="A4169" s="7" t="n">
        <v>27082</v>
      </c>
      <c r="B4169" s="7" t="n">
        <v>539250</v>
      </c>
      <c r="C4169" s="7" t="n">
        <v>58038</v>
      </c>
      <c r="D4169" s="7" t="n">
        <v>88419</v>
      </c>
      <c r="E4169" s="8" t="n">
        <v>38271</v>
      </c>
      <c r="F4169" s="7" t="n">
        <v>5</v>
      </c>
      <c r="G4169" s="7" t="inlineStr">
        <is>
          <t>OMG!  We loved this and want to give it 10*.  It did have a kick to it with all the taco seasoning on it but it is so good that you eat through the pain.  I used chicken tenders and they had a good layer of taco seasoning on them.  There wasn't any salsa with which to mix the sour cream short of scraping it off the chicken.  I just served the chicken with the sour cream as a side to mix per the eater's desires.  This easy dish will be made often at this house.  Thanks.</t>
        </is>
      </c>
    </row>
    <row r="4170">
      <c r="A4170" s="7" t="n">
        <v>80047</v>
      </c>
      <c r="B4170" s="7" t="n">
        <v>1015596</v>
      </c>
      <c r="C4170" s="7" t="n">
        <v>142361</v>
      </c>
      <c r="D4170" s="7" t="n">
        <v>74359</v>
      </c>
      <c r="E4170" s="8" t="n">
        <v>39523</v>
      </c>
      <c r="F4170" s="7" t="n">
        <v>5</v>
      </c>
      <c r="G4170" s="7" t="inlineStr">
        <is>
          <t>This worked really well for me. I hardly EVER have buttermilk on-hand, so recipes like this are always a lifesaver. It doubles easily. I used it to make Recipe #53895 for dinner tomorrow and this recipe really did the trick. I will be using this recipe for many years to come, thanks so much for sharing!</t>
        </is>
      </c>
    </row>
    <row r="4171">
      <c r="A4171" s="7" t="n">
        <v>2528</v>
      </c>
      <c r="B4171" s="7" t="n">
        <v>253741</v>
      </c>
      <c r="C4171" s="7" t="n">
        <v>92006</v>
      </c>
      <c r="D4171" s="7" t="n">
        <v>536051</v>
      </c>
      <c r="E4171" s="8" t="n">
        <v>43299</v>
      </c>
      <c r="F4171" s="7" t="n">
        <v>5</v>
      </c>
      <c r="G4171" s="7" t="inlineStr">
        <is>
          <t>Delicious recipe for shrimp. My husband and I enjoyed it very much. Thank you! Made for Susie’s World Tour 2018.</t>
        </is>
      </c>
    </row>
    <row r="4172">
      <c r="A4172" s="7" t="n">
        <v>2249</v>
      </c>
      <c r="B4172" s="7" t="n">
        <v>449560</v>
      </c>
      <c r="C4172" s="7" t="n">
        <v>468945</v>
      </c>
      <c r="D4172" s="7" t="n">
        <v>218237</v>
      </c>
      <c r="E4172" s="8" t="n">
        <v>39190</v>
      </c>
      <c r="F4172" s="7" t="n">
        <v>0</v>
      </c>
      <c r="G4172" s="7" t="inlineStr">
        <is>
          <t>When I try this I will give it my stars rating.  Can't go wrong with MT Dew.  I may try it with a tavern ham.  Sounds wonderful.</t>
        </is>
      </c>
    </row>
    <row r="4173">
      <c r="A4173" s="7" t="n">
        <v>108991</v>
      </c>
      <c r="B4173" s="7" t="n">
        <v>977963</v>
      </c>
      <c r="C4173" s="7" t="n">
        <v>47559</v>
      </c>
      <c r="D4173" s="7" t="n">
        <v>60430</v>
      </c>
      <c r="E4173" s="8" t="n">
        <v>37759</v>
      </c>
      <c r="F4173" s="7" t="n">
        <v>4</v>
      </c>
      <c r="G4173" s="7" t="inlineStr">
        <is>
          <t>I loved the flavor of the onion, mushroom, garlic and rosemary combination and the crunchiness of the pine nuts.  The spinach was also good and added visual appeal.  The only thing I'll change when I make this again is to use a different bean, perhaps kidney beans for better texture.  Kidney beans would also add another color.  I loved the healthy aspect of the recipe, too.</t>
        </is>
      </c>
    </row>
    <row r="4174">
      <c r="A4174" s="7" t="n">
        <v>104872</v>
      </c>
      <c r="B4174" s="7" t="n">
        <v>802915</v>
      </c>
      <c r="C4174" s="7" t="n">
        <v>283251</v>
      </c>
      <c r="D4174" s="7" t="n">
        <v>130768</v>
      </c>
      <c r="E4174" s="8" t="n">
        <v>39295</v>
      </c>
      <c r="F4174" s="7" t="n">
        <v>4</v>
      </c>
      <c r="G4174" s="7" t="inlineStr">
        <is>
          <t>I used spinach fettuccini when I made this for our dinner guest. Very easy to throw together and very yummy. Thanks! :)</t>
        </is>
      </c>
    </row>
    <row r="4175">
      <c r="A4175" s="7" t="n">
        <v>79067</v>
      </c>
      <c r="B4175" s="7" t="n">
        <v>1092358</v>
      </c>
      <c r="C4175" s="7" t="n">
        <v>333017</v>
      </c>
      <c r="D4175" s="7" t="n">
        <v>68118</v>
      </c>
      <c r="E4175" s="8" t="n">
        <v>38945</v>
      </c>
      <c r="F4175" s="7" t="n">
        <v>5</v>
      </c>
      <c r="G4175" s="7" t="inlineStr">
        <is>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is>
      </c>
    </row>
    <row r="4176">
      <c r="A4176" s="7" t="n">
        <v>39305</v>
      </c>
      <c r="B4176" s="7" t="n">
        <v>212813</v>
      </c>
      <c r="C4176" s="7" t="n">
        <v>2001966160</v>
      </c>
      <c r="D4176" s="7" t="n">
        <v>199579</v>
      </c>
      <c r="E4176" s="8" t="n">
        <v>43132</v>
      </c>
      <c r="F4176" s="7" t="n">
        <v>5</v>
      </c>
      <c r="G4176" s="7" t="inlineStr">
        <is>
          <t>While going through scores of recipes, I spotted this one. It looked good, sounded good, seemed simple to do, and got great reviews. So I decided to try it. Unfortunately, I didn't have any noodles. So I used macaroni, and it was still wonderful! I'm looking forward to making it again (with noodles!) and tweaking it a bit. Like adding frozen peas to the mixture and topping it with crumbled potato chips and shredded cheddar.</t>
        </is>
      </c>
    </row>
    <row r="4177">
      <c r="A4177" s="7" t="n">
        <v>23175</v>
      </c>
      <c r="B4177" s="7" t="n">
        <v>323995</v>
      </c>
      <c r="C4177" s="7" t="n">
        <v>354689</v>
      </c>
      <c r="D4177" s="7" t="n">
        <v>80118</v>
      </c>
      <c r="E4177" s="8" t="n">
        <v>39052</v>
      </c>
      <c r="F4177" s="7" t="n">
        <v>5</v>
      </c>
      <c r="G4177" s="7" t="inlineStr">
        <is>
          <t>Yummo! Title of recipe completely true, not much more you need to say than that! I found it pretty sweet so it was a good icing for Lennie's Deep Dark Chocolate Cake - which is not overly sweet. Great recipe thanks!</t>
        </is>
      </c>
    </row>
    <row r="4178">
      <c r="A4178" s="7" t="n">
        <v>91917</v>
      </c>
      <c r="B4178" s="7" t="n">
        <v>264223</v>
      </c>
      <c r="C4178" s="7" t="n">
        <v>440324</v>
      </c>
      <c r="D4178" s="7" t="n">
        <v>302812</v>
      </c>
      <c r="E4178" s="8" t="n">
        <v>40062</v>
      </c>
      <c r="F4178" s="7" t="n">
        <v>5</v>
      </c>
      <c r="G4178" s="7" t="inlineStr">
        <is>
          <t>I made these with ground turkey, and it turned out really well. I used fresh garlic, and served it with warm whole wheat pitas and a simple tomato and cucumber salad. Next time I'm going to make some tzatziki to go along with it. Yummy!</t>
        </is>
      </c>
    </row>
    <row r="4179">
      <c r="A4179" s="7" t="n">
        <v>4960</v>
      </c>
      <c r="B4179" s="7" t="n">
        <v>85454</v>
      </c>
      <c r="C4179" s="7" t="n">
        <v>39835</v>
      </c>
      <c r="D4179" s="7" t="n">
        <v>363721</v>
      </c>
      <c r="E4179" s="8" t="n">
        <v>41506</v>
      </c>
      <c r="F4179" s="7" t="n">
        <v>4</v>
      </c>
      <c r="G4179" s="7" t="inlineStr">
        <is>
          <t>Very good and easy! I made a medium loaf and an individual loaf (for the freezer). Thanks for sharing!</t>
        </is>
      </c>
    </row>
    <row r="4180">
      <c r="A4180" s="7" t="n">
        <v>87286</v>
      </c>
      <c r="B4180" s="7" t="n">
        <v>530125</v>
      </c>
      <c r="C4180" s="7" t="n">
        <v>87144</v>
      </c>
      <c r="D4180" s="7" t="n">
        <v>56452</v>
      </c>
      <c r="E4180" s="8" t="n">
        <v>38003</v>
      </c>
      <c r="F4180" s="7" t="n">
        <v>5</v>
      </c>
      <c r="G4180" s="7" t="inlineStr">
        <is>
          <t xml:space="preserve">these were so good and actually very easy to make. i didn't deep fry the chilies to remove the skins and boy how i wish i would have, the next time i make them i will use that tip. thanks mean these were great.  </t>
        </is>
      </c>
    </row>
    <row r="4181" ht="409.5" customHeight="1">
      <c r="A4181" s="7" t="n">
        <v>108414</v>
      </c>
      <c r="B4181" s="7" t="n">
        <v>244578</v>
      </c>
      <c r="C4181" s="7" t="n">
        <v>2310</v>
      </c>
      <c r="D4181" s="7" t="n">
        <v>41337</v>
      </c>
      <c r="E4181" s="8" t="n">
        <v>37697</v>
      </c>
      <c r="F4181" s="7" t="n">
        <v>5</v>
      </c>
      <c r="G4181" s="9" t="inlineStr">
        <is>
          <t xml:space="preserve">I usually always like Jim Beard's recipes and this was no exception. I cut the recipe in half because I think that 2 lbs of cabbage is way too much for just 6 people.  I also added more horseradish...more than twice as much...since we like it sharp and spicy.  I suppose the brand that you use will determine how much you put in the recipe to get it right._x000D_
I hope you've tried this by now Lennie and enjoyed it as much as we did._x000D_
</t>
        </is>
      </c>
    </row>
    <row r="4182">
      <c r="A4182" s="7" t="n">
        <v>52089</v>
      </c>
      <c r="B4182" s="7" t="n">
        <v>247060</v>
      </c>
      <c r="C4182" s="7" t="n">
        <v>12891697</v>
      </c>
      <c r="D4182" s="7" t="n">
        <v>178437</v>
      </c>
      <c r="E4182" s="8" t="n">
        <v>41704</v>
      </c>
      <c r="F4182" s="7" t="n">
        <v>5</v>
      </c>
      <c r="G4182" s="7" t="inlineStr">
        <is>
          <t>Great Bulgar Recipe.   We had it alongside roasted lamb.  Tasty and easy!</t>
        </is>
      </c>
    </row>
    <row r="4183">
      <c r="A4183" t="n">
        <v>39683</v>
      </c>
      <c r="B4183" t="n">
        <v>55046</v>
      </c>
      <c r="C4183" t="n">
        <v>68376</v>
      </c>
      <c r="D4183" t="n">
        <v>12467</v>
      </c>
      <c r="E4183" s="1" t="n">
        <v>37939</v>
      </c>
      <c r="F4183" t="n">
        <v>3</v>
      </c>
      <c r="G4183" t="inlineStr">
        <is>
          <t>A good chewy cookie; however, I did make some changes.  After dropping on the sheets, I flattened them with a glass dipped in sugar and also added an additional cup of flour to the dough.  Next time I'd like to try a little more spice (perhaps cloves?) or maybe chocolate chips to see how they taste. Overall, I do like them and my children enjoyed them, which is rare for them when no chocolate chips are involved! LOL</t>
        </is>
      </c>
    </row>
    <row r="4184" ht="409.5" customHeight="1">
      <c r="A4184" s="7" t="n">
        <v>86017</v>
      </c>
      <c r="B4184" s="7" t="n">
        <v>984260</v>
      </c>
      <c r="C4184" s="7" t="n">
        <v>30355</v>
      </c>
      <c r="D4184" s="7" t="n">
        <v>9272</v>
      </c>
      <c r="E4184" s="8" t="n">
        <v>38572</v>
      </c>
      <c r="F4184" s="7" t="n">
        <v>5</v>
      </c>
      <c r="G4184" s="9" t="inlineStr">
        <is>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is>
      </c>
    </row>
    <row r="4185">
      <c r="A4185" s="7" t="n">
        <v>100271</v>
      </c>
      <c r="B4185" s="7" t="n">
        <v>1048100</v>
      </c>
      <c r="C4185" s="7" t="n">
        <v>37636</v>
      </c>
      <c r="D4185" s="7" t="n">
        <v>13675</v>
      </c>
      <c r="E4185" s="8" t="n">
        <v>38306</v>
      </c>
      <c r="F4185" s="7" t="n">
        <v>5</v>
      </c>
      <c r="G4185" s="7" t="inlineStr">
        <is>
          <t>These are great! I put my garlic in just a few minutes earlier (since I like it nicely done) and at the end of the cooking time, the garlic was done perfectly although I found I needed to cook the parsnips and potatoes just a bit extra, so next time I will add those just a little early when I put the garlic in. I like this served with a little  grated horseradish on the side for extra flavor. Thanks for posting!</t>
        </is>
      </c>
    </row>
    <row r="4186">
      <c r="A4186" s="7" t="n">
        <v>103721</v>
      </c>
      <c r="B4186" s="7" t="n">
        <v>981925</v>
      </c>
      <c r="C4186" s="7" t="n">
        <v>1662442</v>
      </c>
      <c r="D4186" s="7" t="n">
        <v>96322</v>
      </c>
      <c r="E4186" s="8" t="n">
        <v>40396</v>
      </c>
      <c r="F4186" s="7" t="n">
        <v>5</v>
      </c>
      <c r="G4186" s="7" t="inlineStr">
        <is>
          <t>I just made a batch of these cookies and I %u2665 them!!!! The only thing I did different was use one and a half cups of brown sugar instead of just one. The recipe made 18 very large cookies! Yummy! Thanks for sharing! %u263A</t>
        </is>
      </c>
    </row>
    <row r="4187">
      <c r="A4187" s="7" t="n">
        <v>66254</v>
      </c>
      <c r="B4187" s="7" t="n">
        <v>72148</v>
      </c>
      <c r="C4187" s="7" t="n">
        <v>383795</v>
      </c>
      <c r="D4187" s="7" t="n">
        <v>54219</v>
      </c>
      <c r="E4187" s="8" t="n">
        <v>40324</v>
      </c>
      <c r="F4187" s="7" t="n">
        <v>5</v>
      </c>
      <c r="G4187" s="7" t="inlineStr">
        <is>
          <t>Fabulous! I cut back the sour cream to a half a carton, added a handful of cheese to the mixture as well as sprinkled on top, and it was wonderful. I will be making this again.</t>
        </is>
      </c>
    </row>
    <row r="4188">
      <c r="A4188" s="7" t="n">
        <v>94675</v>
      </c>
      <c r="B4188" s="7" t="n">
        <v>996521</v>
      </c>
      <c r="C4188" s="7" t="n">
        <v>227454</v>
      </c>
      <c r="D4188" s="7" t="n">
        <v>65481</v>
      </c>
      <c r="E4188" s="8" t="n">
        <v>38667</v>
      </c>
      <c r="F4188" s="7" t="n">
        <v>5</v>
      </c>
      <c r="G4188" s="7" t="inlineStr">
        <is>
          <t>I made this several months ago and forgot to post a review... but it was delicious!  Can't wait till the cold weather is over so we can pull out the BBQ and make them again.  I am not usually a "saucy" gal, but this sauce has a lot of flavor and complements the ribs well.</t>
        </is>
      </c>
    </row>
    <row r="4189">
      <c r="A4189" s="7" t="n">
        <v>53311</v>
      </c>
      <c r="B4189" s="7" t="n">
        <v>446922</v>
      </c>
      <c r="C4189" s="7" t="n">
        <v>287945</v>
      </c>
      <c r="D4189" s="7" t="n">
        <v>30219</v>
      </c>
      <c r="E4189" s="8" t="n">
        <v>40885</v>
      </c>
      <c r="F4189" s="7" t="n">
        <v>5</v>
      </c>
      <c r="G4189" s="7" t="inlineStr">
        <is>
          <t>I made this last night and it was so good!  I made one change since my DD is allergic to dairy.  Instead of using butter, I used sesame oil and that really makes it yummy.  I served it with Dan's Asian Rice (found on food.com) and on a bed of cooked spinach.  Cooked the spinach in sesame oil also with garlic and soy sauce.  My kids gobbled it up!  Thanks for the recipe!</t>
        </is>
      </c>
    </row>
    <row r="4190">
      <c r="A4190" s="7" t="n">
        <v>61998</v>
      </c>
      <c r="B4190" s="7" t="n">
        <v>704438</v>
      </c>
      <c r="C4190" s="7" t="n">
        <v>203053</v>
      </c>
      <c r="D4190" s="7" t="n">
        <v>135850</v>
      </c>
      <c r="E4190" s="8" t="n">
        <v>39016</v>
      </c>
      <c r="F4190" s="7" t="n">
        <v>1</v>
      </c>
      <c r="G4190" s="7" t="inlineStr">
        <is>
          <t>wonderful.   Do not peel the almonds.  They pick up the red food color.  It took days to get the food color off my fingers. Next time I will wear plastic goves to handle the almonds.  It was a hit at the party.  It also takes good.  Sheila D. L.</t>
        </is>
      </c>
    </row>
    <row r="4191">
      <c r="A4191" s="7" t="n">
        <v>112126</v>
      </c>
      <c r="B4191" s="7" t="n">
        <v>269483</v>
      </c>
      <c r="C4191" s="7" t="n">
        <v>715589</v>
      </c>
      <c r="D4191" s="7" t="n">
        <v>169227</v>
      </c>
      <c r="E4191" s="8" t="n">
        <v>39597</v>
      </c>
      <c r="F4191" s="7" t="n">
        <v>5</v>
      </c>
      <c r="G4191" s="7" t="inlineStr">
        <is>
          <t>This is a tasty and satisfying supper. It is, what we considered, very light. I will be making it again. I did just as the directions said, which is rare becasue I always add something, but this didn't need it. Thank you for sharing!</t>
        </is>
      </c>
    </row>
    <row r="4192" ht="409.5" customHeight="1">
      <c r="A4192" s="7" t="n">
        <v>46432</v>
      </c>
      <c r="B4192" s="7" t="n">
        <v>62280</v>
      </c>
      <c r="C4192" s="7" t="n">
        <v>938290</v>
      </c>
      <c r="D4192" s="7" t="n">
        <v>94031</v>
      </c>
      <c r="E4192" s="8" t="n">
        <v>40043</v>
      </c>
      <c r="F4192" s="7" t="n">
        <v>5</v>
      </c>
      <c r="G4192" s="9" t="inlineStr">
        <is>
          <t>I went with the deli roast beef, very rare, and used an electric skillet, just had to do some timing to get everything done simultaneously. They were outstanding. My GF is from South Jersey and hasn't been home in 10 years but said this is the exact sandwich she traveled to Philly for in her youth. 
Thanks for posting it....</t>
        </is>
      </c>
    </row>
    <row r="4193">
      <c r="A4193" s="7" t="n">
        <v>1458</v>
      </c>
      <c r="B4193" s="7" t="n">
        <v>877730</v>
      </c>
      <c r="C4193" s="7" t="n">
        <v>552613</v>
      </c>
      <c r="D4193" s="7" t="n">
        <v>172664</v>
      </c>
      <c r="E4193" s="8" t="n">
        <v>39734</v>
      </c>
      <c r="F4193" s="7" t="n">
        <v>5</v>
      </c>
      <c r="G4193" s="7" t="inlineStr">
        <is>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is>
      </c>
    </row>
    <row r="4194">
      <c r="A4194" s="7" t="n">
        <v>64989</v>
      </c>
      <c r="B4194" s="7" t="n">
        <v>1123601</v>
      </c>
      <c r="C4194" s="7" t="n">
        <v>1535</v>
      </c>
      <c r="D4194" s="7" t="n">
        <v>57679</v>
      </c>
      <c r="E4194" s="8" t="n">
        <v>38586</v>
      </c>
      <c r="F4194" s="7" t="n">
        <v>5</v>
      </c>
      <c r="G4194" s="7" t="inlineStr">
        <is>
          <t>I made this pie for my birthday "cake" this year. It was wonderful!! I've made similar pies before but the addition of the cream cheese really took this treat to a new level. I used recipe #134190 for the crust and the Key Lime juice my brother had just brought me from Key Largo. An extraordinary treat that was extremely easy to put together.</t>
        </is>
      </c>
    </row>
    <row r="4195">
      <c r="A4195" s="7" t="n">
        <v>31939</v>
      </c>
      <c r="B4195" s="7" t="n">
        <v>961265</v>
      </c>
      <c r="C4195" s="7" t="n">
        <v>6836</v>
      </c>
      <c r="D4195" s="7" t="n">
        <v>118477</v>
      </c>
      <c r="E4195" s="8" t="n">
        <v>38755</v>
      </c>
      <c r="F4195" s="7" t="n">
        <v>5</v>
      </c>
      <c r="G4195" s="7" t="inlineStr">
        <is>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is>
      </c>
    </row>
    <row r="4196">
      <c r="A4196" s="7" t="n">
        <v>92719</v>
      </c>
      <c r="B4196" s="7" t="n">
        <v>408244</v>
      </c>
      <c r="C4196" s="7" t="n">
        <v>424680</v>
      </c>
      <c r="D4196" s="7" t="n">
        <v>387486</v>
      </c>
      <c r="E4196" s="8" t="n">
        <v>40123</v>
      </c>
      <c r="F4196" s="7" t="n">
        <v>5</v>
      </c>
      <c r="G4196" s="7" t="inlineStr">
        <is>
          <t>Made my own rather coarse breadcrumbs (from a nutty, whole wheat bread that we like) &amp; followed the recipe right on down! For us these were a VERY UNUSUAL, VERY TASTY SIDE! Most enjoyable! Thanks for sharing the recipe! [Tagged, made &amp; reviewed as a recipenap in the Vegetarian/Vegan Recipe Swap 16]</t>
        </is>
      </c>
    </row>
    <row r="4197">
      <c r="A4197" s="7" t="n">
        <v>17173</v>
      </c>
      <c r="B4197" s="7" t="n">
        <v>28467</v>
      </c>
      <c r="C4197" s="7" t="n">
        <v>114027</v>
      </c>
      <c r="D4197" s="7" t="n">
        <v>68609</v>
      </c>
      <c r="E4197" s="8" t="n">
        <v>39871</v>
      </c>
      <c r="F4197" s="7" t="n">
        <v>5</v>
      </c>
      <c r="G4197" s="7" t="inlineStr">
        <is>
          <t>I served this at the fine-dining restaurant I'm the chef at and it want over very well. The sauce is delicious and can be served with anything from chicken to pasta to steak to fish. I will definatly be keeping this recipe around for future use.</t>
        </is>
      </c>
    </row>
    <row r="4198">
      <c r="A4198" s="7" t="n">
        <v>13447</v>
      </c>
      <c r="B4198" s="7" t="n">
        <v>845947</v>
      </c>
      <c r="C4198" s="7" t="n">
        <v>2395384</v>
      </c>
      <c r="D4198" s="7" t="n">
        <v>395623</v>
      </c>
      <c r="E4198" s="8" t="n">
        <v>41414</v>
      </c>
      <c r="F4198" s="7" t="n">
        <v>5</v>
      </c>
      <c r="G4198" s="7" t="inlineStr">
        <is>
          <t>I made a batch and they turned out amazing, they were gone in less than an 2 hours. I absolutely recommend this recipe. They were delicious and turned out beautifully! Thank you so much!</t>
        </is>
      </c>
    </row>
    <row r="4199">
      <c r="A4199" s="7" t="n">
        <v>108650</v>
      </c>
      <c r="B4199" s="7" t="n">
        <v>620165</v>
      </c>
      <c r="C4199" s="7" t="n">
        <v>1048179</v>
      </c>
      <c r="D4199" s="7" t="n">
        <v>151316</v>
      </c>
      <c r="E4199" s="8" t="n">
        <v>40157</v>
      </c>
      <c r="F4199" s="7" t="n">
        <v>4</v>
      </c>
      <c r="G4199" s="7" t="inlineStr">
        <is>
          <t>I wanted this to be the salad a friend brought to a picnic last year and it wasn't quite right. Good but probably won't make again. Thanks for posting!</t>
        </is>
      </c>
    </row>
    <row r="4200">
      <c r="A4200" s="7" t="n">
        <v>10187</v>
      </c>
      <c r="B4200" s="7" t="n">
        <v>343951</v>
      </c>
      <c r="C4200" s="7" t="n">
        <v>254614</v>
      </c>
      <c r="D4200" s="7" t="n">
        <v>167284</v>
      </c>
      <c r="E4200" s="8" t="n">
        <v>38869</v>
      </c>
      <c r="F4200" s="7" t="n">
        <v>5</v>
      </c>
      <c r="G4200" s="7" t="inlineStr">
        <is>
          <t>This is delicious. I put 1/2 tsp of olive oil on the bottom of packet before the fillets. I also sprinkled a tad of Old Bay seasoning used margarine and no salt.A sprinkling of Mrs. Dash</t>
        </is>
      </c>
    </row>
    <row r="4201">
      <c r="A4201" s="7" t="n">
        <v>33639</v>
      </c>
      <c r="B4201" s="7" t="n">
        <v>1057486</v>
      </c>
      <c r="C4201" s="7" t="n">
        <v>32143</v>
      </c>
      <c r="D4201" s="7" t="n">
        <v>148952</v>
      </c>
      <c r="E4201" s="8" t="n">
        <v>38969</v>
      </c>
      <c r="F4201" s="7" t="n">
        <v>5</v>
      </c>
      <c r="G4201" s="7" t="inlineStr">
        <is>
          <t xml:space="preserve">Very good and easy! I also halved the recipe, put it on in the afternoon to have after soccer practice. It was a little too sweet for me, but my husband and daughter loved it! Put leftovers in tortillas with sour cream and cheese, yum! Thank-you! </t>
        </is>
      </c>
    </row>
    <row r="4202">
      <c r="A4202" s="7" t="n">
        <v>76721</v>
      </c>
      <c r="B4202" s="7" t="n">
        <v>1024296</v>
      </c>
      <c r="C4202" s="7" t="n">
        <v>517578</v>
      </c>
      <c r="D4202" s="7" t="n">
        <v>111777</v>
      </c>
      <c r="E4202" s="8" t="n">
        <v>39726</v>
      </c>
      <c r="F4202" s="7" t="n">
        <v>5</v>
      </c>
      <c r="G4202" s="7" t="inlineStr">
        <is>
          <t>This was my first time making chicken pot pie and it was AMAZING! Thanks for a great and simple recipe!</t>
        </is>
      </c>
    </row>
    <row r="4203">
      <c r="A4203" s="7" t="n">
        <v>121194</v>
      </c>
      <c r="B4203" s="7" t="n">
        <v>428483</v>
      </c>
      <c r="C4203" s="7" t="n">
        <v>527886</v>
      </c>
      <c r="D4203" s="7" t="n">
        <v>263512</v>
      </c>
      <c r="E4203" s="8" t="n">
        <v>39627</v>
      </c>
      <c r="F4203" s="7" t="n">
        <v>4</v>
      </c>
      <c r="G4203" s="7" t="inlineStr">
        <is>
          <t>I used a slower oven (300) and got a good crispy chip. Cayenne is pretty hot - I'd suggest dusting (rather than sprinkling). A powdered smoked chile might give a more interesting flavor.</t>
        </is>
      </c>
    </row>
    <row r="4204">
      <c r="A4204" s="7" t="n">
        <v>112457</v>
      </c>
      <c r="B4204" s="7" t="n">
        <v>136623</v>
      </c>
      <c r="C4204" s="7" t="n">
        <v>29539</v>
      </c>
      <c r="D4204" s="7" t="n">
        <v>44888</v>
      </c>
      <c r="E4204" s="8" t="n">
        <v>38978</v>
      </c>
      <c r="F4204" s="7" t="n">
        <v>5</v>
      </c>
      <c r="G4204" s="7" t="inlineStr">
        <is>
          <t>Wow!  So simple and everyone loves them!  I fixed 10 lbs of wings - No Leftovers!!!</t>
        </is>
      </c>
    </row>
    <row r="4205">
      <c r="A4205" s="7" t="n">
        <v>96775</v>
      </c>
      <c r="B4205" s="7" t="n">
        <v>313400</v>
      </c>
      <c r="C4205" s="7" t="n">
        <v>140787</v>
      </c>
      <c r="D4205" s="7" t="n">
        <v>246989</v>
      </c>
      <c r="E4205" s="8" t="n">
        <v>40893</v>
      </c>
      <c r="F4205" s="7" t="n">
        <v>5</v>
      </c>
      <c r="G4205" s="7" t="inlineStr">
        <is>
          <t>This went over GREAT...too much for the three of us so I shared with a friend and took some to work..All wanted the recipe.  Perfect blend of Choc and PB...Did use a German Chocolate Mix  and added Reese Peanut Butter chips in the middle with the Reeses....But, what I kept hearing was about the Icing...Thank you for posting</t>
        </is>
      </c>
    </row>
    <row r="4206">
      <c r="A4206" s="7" t="n">
        <v>112570</v>
      </c>
      <c r="B4206" s="7" t="n">
        <v>732485</v>
      </c>
      <c r="C4206" s="7" t="n">
        <v>39365</v>
      </c>
      <c r="D4206" s="7" t="n">
        <v>255041</v>
      </c>
      <c r="E4206" s="8" t="n">
        <v>39708</v>
      </c>
      <c r="F4206" s="7" t="n">
        <v>5</v>
      </c>
      <c r="G4206" s="7" t="inlineStr">
        <is>
          <t>This was very easy to make and it tasted great. Even my hubby liked it (and he is not much of a soup person). We made it for dinner, but we are taking the left overs for lunch tomorrow.  Thanks for posting this! It really makes the SBD alot easier when we have good tasting food!</t>
        </is>
      </c>
    </row>
    <row r="4207">
      <c r="A4207" s="7" t="n">
        <v>95651</v>
      </c>
      <c r="B4207" s="7" t="n">
        <v>1098536</v>
      </c>
      <c r="C4207" s="7" t="n">
        <v>126440</v>
      </c>
      <c r="D4207" s="7" t="n">
        <v>53520</v>
      </c>
      <c r="E4207" s="8" t="n">
        <v>39799</v>
      </c>
      <c r="F4207" s="7" t="n">
        <v>5</v>
      </c>
      <c r="G4207" s="7" t="inlineStr">
        <is>
          <t>This is a great recipe!  I have used it many times.  Love the chicken broth to add flavor.  I try to keep some in the refrigerator for fried rice or to serve with other recipes.</t>
        </is>
      </c>
    </row>
    <row r="4208">
      <c r="A4208" s="7" t="n">
        <v>15063</v>
      </c>
      <c r="B4208" s="7" t="n">
        <v>450829</v>
      </c>
      <c r="C4208" s="7" t="n">
        <v>88099</v>
      </c>
      <c r="D4208" s="7" t="n">
        <v>141308</v>
      </c>
      <c r="E4208" s="8" t="n">
        <v>38891</v>
      </c>
      <c r="F4208" s="7" t="n">
        <v>3</v>
      </c>
      <c r="G4208" s="7" t="inlineStr">
        <is>
          <t xml:space="preserve">We just didn't care for the combination of flavors on this one.  I really didn't care for the ginger, coriander and nutmeg.  Gave it an off balance flavor to us.  I think that is just a personal preference for us.  </t>
        </is>
      </c>
    </row>
    <row r="4209">
      <c r="A4209" s="7" t="n">
        <v>121159</v>
      </c>
      <c r="B4209" s="7" t="n">
        <v>317692</v>
      </c>
      <c r="C4209" s="7" t="n">
        <v>2698251</v>
      </c>
      <c r="D4209" s="7" t="n">
        <v>377679</v>
      </c>
      <c r="E4209" s="8" t="n">
        <v>41322</v>
      </c>
      <c r="F4209" s="7" t="n">
        <v>5</v>
      </c>
      <c r="G4209" s="7" t="inlineStr">
        <is>
          <t>These are really great muffins. My family loved them. I made them as is. It is now one of our favorites.</t>
        </is>
      </c>
    </row>
    <row r="4210">
      <c r="A4210" s="7" t="n">
        <v>32816</v>
      </c>
      <c r="B4210" s="7" t="n">
        <v>94709</v>
      </c>
      <c r="C4210" s="7" t="n">
        <v>13796</v>
      </c>
      <c r="D4210" s="7" t="n">
        <v>361341</v>
      </c>
      <c r="E4210" s="8" t="n">
        <v>41932</v>
      </c>
      <c r="F4210" s="7" t="n">
        <v>5</v>
      </c>
      <c r="G4210" s="7" t="inlineStr">
        <is>
          <t>This was very good. We enjoy this as well as many other recipes of Kittencal&amp;#039;s.</t>
        </is>
      </c>
    </row>
    <row r="4211">
      <c r="A4211" s="7" t="n">
        <v>26506</v>
      </c>
      <c r="B4211" s="7" t="n">
        <v>75869</v>
      </c>
      <c r="C4211" s="7" t="n">
        <v>462571</v>
      </c>
      <c r="D4211" s="7" t="n">
        <v>215989</v>
      </c>
      <c r="E4211" s="8" t="n">
        <v>39214</v>
      </c>
      <c r="F4211" s="7" t="n">
        <v>3</v>
      </c>
      <c r="G4211" s="7" t="inlineStr">
        <is>
          <t>Quite a tasty dish! 3 1/2 stars. I used half a large vidalia onion and this seemed to be a bit too much, as the onion flavour was quite prominent. I used only 1 cup of water and still had to simmer this 20 minutes to get the sauce to the desired thickness. For the chicken I used thighs. I served this dish with basmati rice. Made for PAC Spring 2007.</t>
        </is>
      </c>
    </row>
    <row r="4212">
      <c r="A4212" s="7" t="n">
        <v>114687</v>
      </c>
      <c r="B4212" s="7" t="n">
        <v>1061439</v>
      </c>
      <c r="C4212" s="7" t="n">
        <v>465829</v>
      </c>
      <c r="D4212" s="7" t="n">
        <v>195558</v>
      </c>
      <c r="E4212" s="8" t="n">
        <v>39791</v>
      </c>
      <c r="F4212" s="7" t="n">
        <v>5</v>
      </c>
      <c r="G4212" s="7" t="inlineStr">
        <is>
          <t>Oh very nice pie! I like that it used all things that I already had on hand in my pantry and freezer. The crust came out fairly well, but that is mostly user error on my part. The filling is sweet and tart. This would work out well as a Crumble or Crisp, which is more up my alley. Made and Reviewed for Bargain Basement Tag Game - Thanks! :)</t>
        </is>
      </c>
    </row>
    <row r="4213">
      <c r="A4213" s="7" t="n">
        <v>114315</v>
      </c>
      <c r="B4213" s="7" t="n">
        <v>942135</v>
      </c>
      <c r="C4213" s="7" t="n">
        <v>145352</v>
      </c>
      <c r="D4213" s="7" t="n">
        <v>169353</v>
      </c>
      <c r="E4213" s="8" t="n">
        <v>39392</v>
      </c>
      <c r="F4213" s="7" t="n">
        <v>5</v>
      </c>
      <c r="G4213" s="7" t="inlineStr">
        <is>
          <t>This was really good!!!! Instead of putting in a pan, I just free formed it on a cookie sheet. Sooooo yummy!!!!</t>
        </is>
      </c>
    </row>
    <row r="4214">
      <c r="A4214" s="7" t="n">
        <v>30116</v>
      </c>
      <c r="B4214" s="7" t="n">
        <v>105060</v>
      </c>
      <c r="C4214" s="7" t="n">
        <v>173579</v>
      </c>
      <c r="D4214" s="7" t="n">
        <v>98279</v>
      </c>
      <c r="E4214" s="8" t="n">
        <v>38573</v>
      </c>
      <c r="F4214" s="7" t="n">
        <v>5</v>
      </c>
      <c r="G4214" s="7" t="inlineStr">
        <is>
          <t>These were great.  I served these at a party and before I could turn around they were gone.  I will be making these many more times.  Thanks for sharing.</t>
        </is>
      </c>
    </row>
    <row r="4215">
      <c r="A4215" s="7" t="n">
        <v>119588</v>
      </c>
      <c r="B4215" s="7" t="n">
        <v>531954</v>
      </c>
      <c r="C4215" s="7" t="n">
        <v>135470</v>
      </c>
      <c r="D4215" s="7" t="n">
        <v>308056</v>
      </c>
      <c r="E4215" s="8" t="n">
        <v>39867</v>
      </c>
      <c r="F4215" s="7" t="n">
        <v>4</v>
      </c>
      <c r="G4215" s="7" t="inlineStr">
        <is>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is>
      </c>
    </row>
    <row r="4216">
      <c r="A4216" t="n">
        <v>31145</v>
      </c>
      <c r="B4216" t="n">
        <v>895407</v>
      </c>
      <c r="C4216" t="n">
        <v>172662</v>
      </c>
      <c r="D4216" t="n">
        <v>59552</v>
      </c>
      <c r="E4216" s="1" t="n">
        <v>38878</v>
      </c>
      <c r="F4216" t="n">
        <v>4</v>
      </c>
      <c r="G4216" t="inlineStr">
        <is>
          <t>Excellent! I only roughly chopped the garlic, and the processor did the rest. similarly, instead of mincing the parsley, I just put it in the centre of the processor after the rest was done and gave it a couple of pulses. I also added a bit more lemon juice, and maybe a bit more garlic (I didn't really measure it). For the water, I ended up using 1/8 cup for a half recipe of hummus.</t>
        </is>
      </c>
    </row>
    <row r="4217">
      <c r="A4217" s="7" t="n">
        <v>13617</v>
      </c>
      <c r="B4217" s="7" t="n">
        <v>233436</v>
      </c>
      <c r="C4217" s="7" t="n">
        <v>860079</v>
      </c>
      <c r="D4217" s="7" t="n">
        <v>170952</v>
      </c>
      <c r="E4217" s="8" t="n">
        <v>40275</v>
      </c>
      <c r="F4217" s="7" t="n">
        <v>5</v>
      </c>
      <c r="G4217" s="7" t="inlineStr">
        <is>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is>
      </c>
    </row>
    <row r="4218">
      <c r="A4218" s="7" t="n">
        <v>16467</v>
      </c>
      <c r="B4218" s="7" t="n">
        <v>1103663</v>
      </c>
      <c r="C4218" s="7" t="n">
        <v>424680</v>
      </c>
      <c r="D4218" s="7" t="n">
        <v>99340</v>
      </c>
      <c r="E4218" s="8" t="n">
        <v>39681</v>
      </c>
      <c r="F4218" s="7" t="n">
        <v>5</v>
      </c>
      <c r="G4218" s="7" t="inlineStr">
        <is>
          <t>Did use the carrot but opted out when it came to the cayenne pepper ~ I find the combo of jicama, carrot &amp; apple just great! Yet another wonderful way to use jicama! Thanks for a very nice keeper of a recipe! [Tagged, made &amp; reviewed in Healthy CHoices ABC cooking game]</t>
        </is>
      </c>
    </row>
    <row r="4219">
      <c r="A4219" s="7" t="n">
        <v>57184</v>
      </c>
      <c r="B4219" s="7" t="n">
        <v>1126221</v>
      </c>
      <c r="C4219" s="7" t="n">
        <v>169674</v>
      </c>
      <c r="D4219" s="7" t="n">
        <v>67204</v>
      </c>
      <c r="E4219" s="8" t="n">
        <v>39642</v>
      </c>
      <c r="F4219" s="7" t="n">
        <v>0</v>
      </c>
      <c r="G4219" s="7" t="inlineStr">
        <is>
          <t>I followed this recipe exactly and voila!  Perfect Muffins!  Thank you so much for this one.  I did not sprinkle the tops with sugar, because I like sweets to be for dessert.  This is my new "go-to" formula for blueberry muffins.</t>
        </is>
      </c>
    </row>
    <row r="4220">
      <c r="A4220" s="7" t="n">
        <v>7472</v>
      </c>
      <c r="B4220" s="7" t="n">
        <v>363611</v>
      </c>
      <c r="C4220" s="7" t="n">
        <v>169128</v>
      </c>
      <c r="D4220" s="7" t="n">
        <v>33642</v>
      </c>
      <c r="E4220" s="8" t="n">
        <v>38289</v>
      </c>
      <c r="F4220" s="7" t="n">
        <v>5</v>
      </c>
      <c r="G4220" s="7" t="inlineStr">
        <is>
          <t>Very good way to prepare salmon. Everyone loved it. It was easy to prepare and didn't take long at all. Thanks.  Jim</t>
        </is>
      </c>
    </row>
    <row r="4221">
      <c r="A4221" s="7" t="n">
        <v>23142</v>
      </c>
      <c r="B4221" s="7" t="n">
        <v>510255</v>
      </c>
      <c r="C4221" s="7" t="n">
        <v>542891</v>
      </c>
      <c r="D4221" s="7" t="n">
        <v>89207</v>
      </c>
      <c r="E4221" s="8" t="n">
        <v>40103</v>
      </c>
      <c r="F4221" s="7" t="n">
        <v>5</v>
      </c>
      <c r="G4221" s="7" t="inlineStr">
        <is>
          <t>i use this recipe every time i need chocolate frosting--perfection!</t>
        </is>
      </c>
    </row>
    <row r="4222" ht="409.5" customHeight="1">
      <c r="A4222" s="7" t="n">
        <v>72233</v>
      </c>
      <c r="B4222" s="7" t="n">
        <v>253277</v>
      </c>
      <c r="C4222" s="7" t="n">
        <v>345297</v>
      </c>
      <c r="D4222" s="7" t="n">
        <v>102617</v>
      </c>
      <c r="E4222" s="8" t="n">
        <v>39503</v>
      </c>
      <c r="F4222" s="7" t="n">
        <v>5</v>
      </c>
      <c r="G4222" s="9" t="inlineStr">
        <is>
          <t>This was wonderful.  I actually used a bag of coleslaw mix(cabbage and carrot mix) and just cut the rest of the ingredients in half.  It was amazing.  
For those who thought it to be too tangy...make sure you let it sit for at least a few hours.  I made it in the morning the night we were having it.  It was perfectly sweet and tangy.  Nothing was overbearing.</t>
        </is>
      </c>
    </row>
    <row r="4223">
      <c r="A4223" s="7" t="n">
        <v>101181</v>
      </c>
      <c r="B4223" s="7" t="n">
        <v>1020226</v>
      </c>
      <c r="C4223" s="7" t="n">
        <v>2001863255</v>
      </c>
      <c r="D4223" s="7" t="n">
        <v>49591</v>
      </c>
      <c r="E4223" s="8" t="n">
        <v>43085</v>
      </c>
      <c r="F4223" s="7" t="n">
        <v>2</v>
      </c>
      <c r="G4223" s="7" t="inlineStr">
        <is>
          <t>I can't give an honest star rating since I didn't follow the recipe above but used some tweaks I saw on this website. Bad move. The cookies were only passable and I'll pretend not to know who brought them to the party!</t>
        </is>
      </c>
    </row>
    <row r="4224">
      <c r="A4224" s="7" t="n">
        <v>79685</v>
      </c>
      <c r="B4224" s="7" t="n">
        <v>389274</v>
      </c>
      <c r="C4224" s="7" t="n">
        <v>1419705</v>
      </c>
      <c r="D4224" s="7" t="n">
        <v>146749</v>
      </c>
      <c r="E4224" s="8" t="n">
        <v>40109</v>
      </c>
      <c r="F4224" s="7" t="n">
        <v>0</v>
      </c>
      <c r="G4224" s="7" t="inlineStr">
        <is>
          <t>Fabulous!  thanks</t>
        </is>
      </c>
    </row>
    <row r="4225">
      <c r="A4225" s="7" t="n">
        <v>1490</v>
      </c>
      <c r="B4225" s="7" t="n">
        <v>744701</v>
      </c>
      <c r="C4225" s="7" t="n">
        <v>428885</v>
      </c>
      <c r="D4225" s="7" t="n">
        <v>350447</v>
      </c>
      <c r="E4225" s="8" t="n">
        <v>40273</v>
      </c>
      <c r="F4225" s="7" t="n">
        <v>5</v>
      </c>
      <c r="G4225" s="7" t="inlineStr">
        <is>
          <t>This is exactly what I needed today to make something so easy and so good that stopping off at a Chinese pick-up would of been harder and not as tasty as this. I followed this pretty much as close to the recipe as I could get. The only small changes I made was 1) instead of a can of diced tomatoes, mine had some zesty jalapeno's in them 2) and added some pre-cooked grilled chicken breasts - shredded. 3) Instead of frozen corn, I had a can of white corn with chipolte by *Jolly Green Giant*  There was and there is no need to change anything ~ it's perfection plus! Great recipe that I will make again! Made for *Everyday is a Holiday* April 2010</t>
        </is>
      </c>
    </row>
    <row r="4226">
      <c r="A4226" s="7" t="n">
        <v>76346</v>
      </c>
      <c r="B4226" s="7" t="n">
        <v>937718</v>
      </c>
      <c r="C4226" s="7" t="n">
        <v>528197</v>
      </c>
      <c r="D4226" s="7" t="n">
        <v>215652</v>
      </c>
      <c r="E4226" s="8" t="n">
        <v>39865</v>
      </c>
      <c r="F4226" s="7" t="n">
        <v>5</v>
      </c>
      <c r="G4226" s="7" t="inlineStr">
        <is>
          <t>I made this last night for our date night (ie, cooking together after kiddos are asleep). This was PERFECT for our intentions. Like I hoped, it was very easy to make, and tasty! We munched on bread and oil and drank cold beer while it baked, then had the crab dish with a salad.</t>
        </is>
      </c>
    </row>
    <row r="4227">
      <c r="A4227" s="7" t="n">
        <v>80510</v>
      </c>
      <c r="B4227" s="7" t="n">
        <v>642609</v>
      </c>
      <c r="C4227" s="7" t="n">
        <v>341338</v>
      </c>
      <c r="D4227" s="7" t="n">
        <v>35988</v>
      </c>
      <c r="E4227" s="8" t="n">
        <v>39408</v>
      </c>
      <c r="F4227" s="7" t="n">
        <v>3</v>
      </c>
      <c r="G4227" s="7" t="inlineStr">
        <is>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is>
      </c>
    </row>
    <row r="4228">
      <c r="A4228" s="7" t="n">
        <v>46205</v>
      </c>
      <c r="B4228" s="7" t="n">
        <v>639355</v>
      </c>
      <c r="C4228" s="7" t="n">
        <v>987458</v>
      </c>
      <c r="D4228" s="7" t="n">
        <v>319758</v>
      </c>
      <c r="E4228" s="8" t="n">
        <v>39854</v>
      </c>
      <c r="F4228" s="7" t="n">
        <v>5</v>
      </c>
      <c r="G4228" s="7" t="inlineStr">
        <is>
          <t>Great recipe thankyou. Great for using up green tomatoes too. I think this would also double as a pasta sauce :)</t>
        </is>
      </c>
    </row>
    <row r="4229">
      <c r="A4229" s="7" t="n">
        <v>118411</v>
      </c>
      <c r="B4229" s="7" t="n">
        <v>66965</v>
      </c>
      <c r="C4229" s="7" t="n">
        <v>396152</v>
      </c>
      <c r="D4229" s="7" t="n">
        <v>104703</v>
      </c>
      <c r="E4229" s="8" t="n">
        <v>39951</v>
      </c>
      <c r="F4229" s="7" t="n">
        <v>5</v>
      </c>
      <c r="G4229" s="7" t="inlineStr">
        <is>
          <t>After finding this recipe, I will NEVER NEVER NEVER make another dinner roll recipe again.  These were without a doubt the BEST rolls I've ever eaten.  Super soft and fluffy, with *just* the right amount of sweetness.  There was some confusion on how many times to let it rise (2 times vs. 3) and I let mine rise a total of three times (rise for an hour, punch down and rise for another hour, punch down, shape into rolls and let rise another hour before baking).  I'm sure they're very good with only two rises, but if you have the time, please add the extra rise...you will NOT be disappointed!  I have never had rolls quite so light and fluffy.  These are 10 times better than rolls you get at a restaurant (even restaurants known for their bread!).  Thank you SO much Gwen for an excellent recipe!</t>
        </is>
      </c>
    </row>
    <row r="4230">
      <c r="A4230" s="7" t="n">
        <v>104753</v>
      </c>
      <c r="B4230" s="7" t="n">
        <v>419590</v>
      </c>
      <c r="C4230" s="7" t="n">
        <v>176615</v>
      </c>
      <c r="D4230" s="7" t="n">
        <v>125960</v>
      </c>
      <c r="E4230" s="8" t="n">
        <v>39292</v>
      </c>
      <c r="F4230" s="7" t="n">
        <v>5</v>
      </c>
      <c r="G4230" s="7" t="inlineStr">
        <is>
          <t>We really enjoyed these! Gorgeous and delicious. Loved the fresh pineapple and tomatoes. Used Sprite and beef. Thanks for sharing the recipe!</t>
        </is>
      </c>
    </row>
    <row r="4231">
      <c r="A4231" s="7" t="n">
        <v>43366</v>
      </c>
      <c r="B4231" s="7" t="n">
        <v>1033168</v>
      </c>
      <c r="C4231" s="7" t="n">
        <v>38560</v>
      </c>
      <c r="D4231" s="7" t="n">
        <v>48401</v>
      </c>
      <c r="E4231" s="8" t="n">
        <v>38323</v>
      </c>
      <c r="F4231" s="7" t="n">
        <v>5</v>
      </c>
      <c r="G4231" s="7" t="inlineStr">
        <is>
          <t>I actually found the recipe in the newspaper.  IT IS FABULOUS!!!  Went to post it here and found it was already posted.  This case is terrific and will be a hit at any party.</t>
        </is>
      </c>
    </row>
    <row r="4232">
      <c r="A4232" s="7" t="n">
        <v>44237</v>
      </c>
      <c r="B4232" s="7" t="n">
        <v>438827</v>
      </c>
      <c r="C4232" s="7" t="n">
        <v>358095</v>
      </c>
      <c r="D4232" s="7" t="n">
        <v>76470</v>
      </c>
      <c r="E4232" s="8" t="n">
        <v>39530</v>
      </c>
      <c r="F4232" s="7" t="n">
        <v>5</v>
      </c>
      <c r="G4232" s="7" t="inlineStr">
        <is>
          <t>This is fabulous!  I made it according to the recipe, but added more garlic.  I served it with whole wheat pasta and a tiny bit of alfredo sauce.  I tossed the pasta with the shrimp after cooking, which gave the pasta a nice flavor.  This is great - thanks ms_bold!</t>
        </is>
      </c>
    </row>
    <row r="4233">
      <c r="A4233" s="7" t="n">
        <v>92087</v>
      </c>
      <c r="B4233" s="7" t="n">
        <v>376089</v>
      </c>
      <c r="C4233" s="7" t="n">
        <v>171788</v>
      </c>
      <c r="D4233" s="7" t="n">
        <v>60238</v>
      </c>
      <c r="E4233" s="8" t="n">
        <v>39131</v>
      </c>
      <c r="F4233" s="7" t="n">
        <v>4</v>
      </c>
      <c r="G4233" s="7" t="inlineStr">
        <is>
          <t>This was really good and easy to put together. One tip though..don't use the "no boil" lasagna noodles because they come out a little hard. I will definately be making this again</t>
        </is>
      </c>
    </row>
    <row r="4234">
      <c r="A4234" s="7" t="n">
        <v>49424</v>
      </c>
      <c r="B4234" s="7" t="n">
        <v>922318</v>
      </c>
      <c r="C4234" s="7" t="n">
        <v>146991</v>
      </c>
      <c r="D4234" s="7" t="n">
        <v>176016</v>
      </c>
      <c r="E4234" s="8" t="n">
        <v>39804</v>
      </c>
      <c r="F4234" s="7" t="n">
        <v>5</v>
      </c>
      <c r="G4234" s="7" t="inlineStr">
        <is>
          <t>DIVINE!! It was GONE at supper, not a drop left!</t>
        </is>
      </c>
    </row>
    <row r="4235" ht="409.5" customHeight="1">
      <c r="A4235" s="7" t="n">
        <v>63490</v>
      </c>
      <c r="B4235" s="7" t="n">
        <v>870164</v>
      </c>
      <c r="C4235" s="7" t="n">
        <v>6357</v>
      </c>
      <c r="D4235" s="7" t="n">
        <v>24729</v>
      </c>
      <c r="E4235" s="8" t="n">
        <v>37376</v>
      </c>
      <c r="F4235" s="7" t="n">
        <v>5</v>
      </c>
      <c r="G4235" s="9" t="inlineStr">
        <is>
          <t>Anu, I made this today and LOVED IT! It really is "funky", lol :)_x000D_
But yummy!!_x000D_
And in these summer months, this is just 'THE' Drink to have :)_x000D_
Thanks a TONNE for sharing it, I'm going to make it many many times!!</t>
        </is>
      </c>
    </row>
    <row r="4236">
      <c r="A4236" s="7" t="n">
        <v>111412</v>
      </c>
      <c r="B4236" s="7" t="n">
        <v>536379</v>
      </c>
      <c r="C4236" s="7" t="n">
        <v>1628373</v>
      </c>
      <c r="D4236" s="7" t="n">
        <v>373944</v>
      </c>
      <c r="E4236" s="8" t="n">
        <v>40810</v>
      </c>
      <c r="F4236" s="7" t="n">
        <v>0</v>
      </c>
      <c r="G4236" s="7" t="inlineStr">
        <is>
          <t>To a Louisiana-born native, I think that it is a total joke to call this "gumbo."  It is okay, but definitely more of a "stew" over rice.  Just trying to clarify for people that think this is what "us cajun's" eat.</t>
        </is>
      </c>
    </row>
    <row r="4237">
      <c r="A4237" s="7" t="n">
        <v>76984</v>
      </c>
      <c r="B4237" s="7" t="n">
        <v>183929</v>
      </c>
      <c r="C4237" s="7" t="n">
        <v>1056692</v>
      </c>
      <c r="D4237" s="7" t="n">
        <v>65816</v>
      </c>
      <c r="E4237" s="8" t="n">
        <v>40727</v>
      </c>
      <c r="F4237" s="7" t="n">
        <v>5</v>
      </c>
      <c r="G4237" s="7" t="inlineStr">
        <is>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is>
      </c>
    </row>
    <row r="4238">
      <c r="A4238" s="7" t="n">
        <v>94643</v>
      </c>
      <c r="B4238" s="7" t="n">
        <v>156234</v>
      </c>
      <c r="C4238" s="7" t="n">
        <v>110875</v>
      </c>
      <c r="D4238" s="7" t="n">
        <v>82325</v>
      </c>
      <c r="E4238" s="8" t="n">
        <v>39732</v>
      </c>
      <c r="F4238" s="7" t="n">
        <v>5</v>
      </c>
      <c r="G4238" s="7" t="inlineStr">
        <is>
          <t>The spices in this recipe are really good. I think my mangoes weren't unripe enough, as my pickle didn't come out "hot".  My kids really like it, the flavor is great. It makes a lot, we have eonough for the next year...maybe two.  Thanks for sharing.</t>
        </is>
      </c>
    </row>
    <row r="4239">
      <c r="A4239" s="7" t="n">
        <v>68886</v>
      </c>
      <c r="B4239" s="7" t="n">
        <v>716863</v>
      </c>
      <c r="C4239" s="7" t="n">
        <v>1601799</v>
      </c>
      <c r="D4239" s="7" t="n">
        <v>137204</v>
      </c>
      <c r="E4239" s="8" t="n">
        <v>40303</v>
      </c>
      <c r="F4239" s="7" t="n">
        <v>5</v>
      </c>
      <c r="G4239" s="7" t="inlineStr">
        <is>
          <t>Great compliment to Asian Cabbage salad and spring rolls. No leftovers at my party as it was the first dish to run out.</t>
        </is>
      </c>
    </row>
    <row r="4240">
      <c r="A4240" s="7" t="n">
        <v>105865</v>
      </c>
      <c r="B4240" s="7" t="n">
        <v>315237</v>
      </c>
      <c r="C4240" s="7" t="n">
        <v>178452</v>
      </c>
      <c r="D4240" s="7" t="n">
        <v>35509</v>
      </c>
      <c r="E4240" s="8" t="n">
        <v>38348</v>
      </c>
      <c r="F4240" s="7" t="n">
        <v>3</v>
      </c>
      <c r="G4240" s="7" t="inlineStr">
        <is>
          <t>I was a little disappointed in this recipe.  It was a little dry for my liking.  I am going try and do some of the addi-ins from the other reviews.</t>
        </is>
      </c>
    </row>
    <row r="4241">
      <c r="A4241" s="7" t="n">
        <v>7403</v>
      </c>
      <c r="B4241" s="7" t="n">
        <v>726386</v>
      </c>
      <c r="C4241" s="7" t="n">
        <v>136997</v>
      </c>
      <c r="D4241" s="7" t="n">
        <v>133907</v>
      </c>
      <c r="E4241" s="8" t="n">
        <v>39762</v>
      </c>
      <c r="F4241" s="7" t="n">
        <v>5</v>
      </c>
      <c r="G4241" s="7" t="inlineStr">
        <is>
          <t>Fabulous carrots. I chose to use regular, as I don't care for the baby ones when they are cooked. :)</t>
        </is>
      </c>
    </row>
    <row r="4242">
      <c r="A4242" s="7" t="n">
        <v>36568</v>
      </c>
      <c r="B4242" s="7" t="n">
        <v>496658</v>
      </c>
      <c r="C4242" s="7" t="n">
        <v>173314</v>
      </c>
      <c r="D4242" s="7" t="n">
        <v>86853</v>
      </c>
      <c r="E4242" s="8" t="n">
        <v>38519</v>
      </c>
      <c r="F4242" s="7" t="n">
        <v>5</v>
      </c>
      <c r="G4242" s="7" t="inlineStr">
        <is>
          <t>delicious!  Great with refried beans and mexican rice.  Reduced cook time about 5 minutes.thankyou...</t>
        </is>
      </c>
    </row>
    <row r="4243">
      <c r="A4243" s="7" t="n">
        <v>46341</v>
      </c>
      <c r="B4243" s="7" t="n">
        <v>694277</v>
      </c>
      <c r="C4243" s="7" t="n">
        <v>1802488341</v>
      </c>
      <c r="D4243" s="7" t="n">
        <v>289943</v>
      </c>
      <c r="E4243" s="8" t="n">
        <v>41683</v>
      </c>
      <c r="F4243" s="7" t="n">
        <v>5</v>
      </c>
      <c r="G4243" s="7" t="inlineStr">
        <is>
          <t>I used 1 stick of butter &amp;amp; 1/2 cup peanut butter in this recipe and the cookies were delicious.  They were so light and had such a wonderful taste of peanut butter, my kids and husband devoured them.  A definite cookie recipe that I will make again and again!</t>
        </is>
      </c>
    </row>
    <row r="4244">
      <c r="A4244" s="7" t="n">
        <v>33292</v>
      </c>
      <c r="B4244" s="7" t="n">
        <v>707068</v>
      </c>
      <c r="C4244" s="7" t="n">
        <v>6651</v>
      </c>
      <c r="D4244" s="7" t="n">
        <v>9556</v>
      </c>
      <c r="E4244" s="8" t="n">
        <v>37317</v>
      </c>
      <c r="F4244" s="7" t="n">
        <v>5</v>
      </c>
      <c r="G4244" s="7" t="inlineStr">
        <is>
          <t>Wonderful!  Since we like food a bit spicy, I used Monterey Jack w/hot peppers for added zing.</t>
        </is>
      </c>
    </row>
    <row r="4245">
      <c r="A4245" s="7" t="n">
        <v>99151</v>
      </c>
      <c r="B4245" s="7" t="n">
        <v>723476</v>
      </c>
      <c r="C4245" s="7" t="n">
        <v>262312</v>
      </c>
      <c r="D4245" s="7" t="n">
        <v>263428</v>
      </c>
      <c r="E4245" s="8" t="n">
        <v>40341</v>
      </c>
      <c r="F4245" s="7" t="n">
        <v>5</v>
      </c>
      <c r="G4245" s="7" t="inlineStr">
        <is>
          <t>this was out of this world!!  we all loved this chicken dish, and the sauce is to die for!  the only changes i made were to cut the chicken into thin strips, so i doubled the walnuts (which i seasoned with salt, pepper and garlic powder).  as for the sauce, i skipped out on the eggs for dh's sake and i just added some heavy cream in at the end instead.  i also doubled the zest and juice per other reviews.  this was insanely delicious!  we will make this often!!</t>
        </is>
      </c>
    </row>
    <row r="4246">
      <c r="A4246" s="7" t="n">
        <v>6396</v>
      </c>
      <c r="B4246" s="7" t="n">
        <v>657431</v>
      </c>
      <c r="C4246" s="7" t="n">
        <v>456858</v>
      </c>
      <c r="D4246" s="7" t="n">
        <v>27208</v>
      </c>
      <c r="E4246" s="8" t="n">
        <v>41542</v>
      </c>
      <c r="F4246" s="7" t="n">
        <v>3</v>
      </c>
      <c r="G4246" s="7" t="inlineStr">
        <is>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is>
      </c>
    </row>
    <row r="4247">
      <c r="A4247" s="7" t="n">
        <v>120148</v>
      </c>
      <c r="B4247" s="7" t="n">
        <v>1027709</v>
      </c>
      <c r="C4247" s="7" t="n">
        <v>238387</v>
      </c>
      <c r="D4247" s="7" t="n">
        <v>60582</v>
      </c>
      <c r="E4247" s="8" t="n">
        <v>38932</v>
      </c>
      <c r="F4247" s="7" t="n">
        <v>5</v>
      </c>
      <c r="G4247" s="7" t="inlineStr">
        <is>
          <t>Fantastic! We marinate and bbq drumsticks on the grill. No burning problems using medium temp and turning avery 5-7 min. for 35 min. Son and girlfriend request it when they come over and bought a bbq grill to duplicate recipe at home! We usually marinate for a few hours but it's still good if we don't. BTW we all love spicy hot.</t>
        </is>
      </c>
    </row>
    <row r="4248">
      <c r="A4248" s="7" t="n">
        <v>106459</v>
      </c>
      <c r="B4248" s="7" t="n">
        <v>1074674</v>
      </c>
      <c r="C4248" s="7" t="n">
        <v>2026880</v>
      </c>
      <c r="D4248" s="7" t="n">
        <v>135350</v>
      </c>
      <c r="E4248" s="8" t="n">
        <v>40844</v>
      </c>
      <c r="F4248" s="7" t="n">
        <v>5</v>
      </c>
      <c r="G4248" s="7" t="inlineStr">
        <is>
          <t>I have been looking for a good macaroni &amp; cheese recipe for years, this is it.  I used evaporated milk and 1/2 the bread crumbs.  It came out perfect.  This is one of the side dishes I will be making over the holidays from now on. Thankyou for sharing this simple, but fabulous recipe!</t>
        </is>
      </c>
    </row>
    <row r="4249">
      <c r="A4249" s="7" t="n">
        <v>121998</v>
      </c>
      <c r="B4249" s="7" t="n">
        <v>852453</v>
      </c>
      <c r="C4249" s="7" t="n">
        <v>708214</v>
      </c>
      <c r="D4249" s="7" t="n">
        <v>216290</v>
      </c>
      <c r="E4249" s="8" t="n">
        <v>40569</v>
      </c>
      <c r="F4249" s="7" t="n">
        <v>5</v>
      </c>
      <c r="G4249" s="7" t="inlineStr">
        <is>
          <t>I didn't bother to make the meat mixture-I just splashed some soy sauce on the pork as it was cooking.  I used ramen noodles and mixed it all together before serving.  This will be added to our favourites-insanely easy, fast, we usually have all the ingredients in the house, and it ended up being a super cheap meal.  &lt;br/&gt;&lt;br/&gt;Thanks for the recipe!</t>
        </is>
      </c>
    </row>
    <row r="4250">
      <c r="A4250" s="7" t="n">
        <v>102052</v>
      </c>
      <c r="B4250" s="7" t="n">
        <v>748534</v>
      </c>
      <c r="C4250" s="7" t="n">
        <v>106608</v>
      </c>
      <c r="D4250" s="7" t="n">
        <v>99272</v>
      </c>
      <c r="E4250" s="8" t="n">
        <v>40179</v>
      </c>
      <c r="F4250" s="7" t="n">
        <v>5</v>
      </c>
      <c r="G4250" s="7" t="inlineStr">
        <is>
          <t>These were a hit with my family. I doubled the recipe. And added raisins, chopped pecans, and used 1 part vanilla extract to one part almond extract in the glaze. Yummy!</t>
        </is>
      </c>
    </row>
    <row r="4251" ht="255" customHeight="1">
      <c r="A4251" s="7" t="n">
        <v>107558</v>
      </c>
      <c r="B4251" s="7" t="n">
        <v>460278</v>
      </c>
      <c r="C4251" s="7" t="n">
        <v>136726</v>
      </c>
      <c r="D4251" s="7" t="n">
        <v>223625</v>
      </c>
      <c r="E4251" s="8" t="n">
        <v>39716</v>
      </c>
      <c r="F4251" s="7" t="n">
        <v>4</v>
      </c>
      <c r="G4251" s="9" t="inlineStr">
        <is>
          <t>We really liked this one, it really makes a nice quick week night dinner. We will be making this again._x000D_
Thanks</t>
        </is>
      </c>
    </row>
    <row r="4252" ht="409.5" customHeight="1">
      <c r="A4252" s="7" t="n">
        <v>60964</v>
      </c>
      <c r="B4252" s="7" t="n">
        <v>135584</v>
      </c>
      <c r="C4252" s="7" t="n">
        <v>625680</v>
      </c>
      <c r="D4252" s="7" t="n">
        <v>106899</v>
      </c>
      <c r="E4252" s="8" t="n">
        <v>39644</v>
      </c>
      <c r="F4252" s="7" t="n">
        <v>5</v>
      </c>
      <c r="G4252" s="9" t="inlineStr">
        <is>
          <t>Having a cup now!_x000D_
I will never buy another box of hot chocolame mix! I made 1/2 batch of this and I think it's WONDERFUL! I had all ingredients in the pantry!!_x000D_
I also used White Chocolate pudding mix insteasd of the vanilla but will try it with the rest of the suggestions. I also increased the chocolate by 2 tbls as I like the strong chocolate flavor in my cocoa. _x000D_
Thank you!!</t>
        </is>
      </c>
    </row>
    <row r="4253">
      <c r="A4253" s="7" t="n">
        <v>36263</v>
      </c>
      <c r="B4253" s="7" t="n">
        <v>377266</v>
      </c>
      <c r="C4253" s="7" t="n">
        <v>62264</v>
      </c>
      <c r="D4253" s="7" t="n">
        <v>66655</v>
      </c>
      <c r="E4253" s="8" t="n">
        <v>40950</v>
      </c>
      <c r="F4253" s="7" t="n">
        <v>5</v>
      </c>
      <c r="G4253" s="7" t="inlineStr">
        <is>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is>
      </c>
    </row>
    <row r="4254" ht="409.5" customHeight="1">
      <c r="A4254" s="7" t="n">
        <v>98898</v>
      </c>
      <c r="B4254" s="7" t="n">
        <v>592920</v>
      </c>
      <c r="C4254" s="7" t="n">
        <v>748736</v>
      </c>
      <c r="D4254" s="7" t="n">
        <v>21178</v>
      </c>
      <c r="E4254" s="8" t="n">
        <v>39583</v>
      </c>
      <c r="F4254" s="7" t="n">
        <v>5</v>
      </c>
      <c r="G4254" s="9" t="inlineStr">
        <is>
          <t>Ok, this is the best brownie I ever made!_x000D_
I did change a couple things though._x000D_
First I used pecans instead of the walnuts because I only had pecans in my fridge.  I will try with walnuts the next time I make these._x000D_
I also did not make the frosting and used ready made.  I ran out of time and needed them done but next time I will be making the frosting._x000D_
I found that these brownies cut easily for me and were just the right flavour._x000D_
I will be using this from now on as my recipe for brownies!_x000D_
The best ever!</t>
        </is>
      </c>
    </row>
    <row r="4255">
      <c r="A4255" s="7" t="n">
        <v>61272</v>
      </c>
      <c r="B4255" s="7" t="n">
        <v>193831</v>
      </c>
      <c r="C4255" s="7" t="n">
        <v>729254</v>
      </c>
      <c r="D4255" s="7" t="n">
        <v>258522</v>
      </c>
      <c r="E4255" s="8" t="n">
        <v>40052</v>
      </c>
      <c r="F4255" s="7" t="n">
        <v>5</v>
      </c>
      <c r="G4255" s="7" t="inlineStr">
        <is>
          <t>These are SO good, good is not the correct word to describe, these are ridiculous! Make sure and follow the recipe as written. The bars will look like they are not completely done but do not keep baking them. Take them out and let them cool for several hours and they are perfect! I used natural peanut butter and dark chocolate chips.</t>
        </is>
      </c>
    </row>
    <row r="4256">
      <c r="A4256" s="7" t="n">
        <v>38053</v>
      </c>
      <c r="B4256" s="7" t="n">
        <v>130785</v>
      </c>
      <c r="C4256" s="7" t="n">
        <v>90051</v>
      </c>
      <c r="D4256" s="7" t="n">
        <v>62255</v>
      </c>
      <c r="E4256" s="8" t="n">
        <v>37789</v>
      </c>
      <c r="F4256" s="7" t="n">
        <v>4</v>
      </c>
      <c r="G4256" s="7" t="inlineStr">
        <is>
          <t>This bread was Fantastic! It has wonderful texture and taste. My family asked me to make it again the next day. This one will go in my favorite's cookbook!</t>
        </is>
      </c>
    </row>
    <row r="4257">
      <c r="A4257" s="7" t="n">
        <v>91379</v>
      </c>
      <c r="B4257" s="7" t="n">
        <v>366450</v>
      </c>
      <c r="C4257" s="7" t="n">
        <v>153188</v>
      </c>
      <c r="D4257" s="7" t="n">
        <v>109818</v>
      </c>
      <c r="E4257" s="8" t="n">
        <v>39417</v>
      </c>
      <c r="F4257" s="7" t="n">
        <v>3</v>
      </c>
      <c r="G4257" s="7" t="inlineStr">
        <is>
          <t>These were good.  Definitely a different twist on the same old carrot dish.  I liked the bacon in it, but I like bacon in anything!  Thanks for a change of pace.</t>
        </is>
      </c>
    </row>
    <row r="4258">
      <c r="A4258" s="7" t="n">
        <v>65413</v>
      </c>
      <c r="B4258" s="7" t="n">
        <v>775476</v>
      </c>
      <c r="C4258" s="7" t="n">
        <v>101823</v>
      </c>
      <c r="D4258" s="7" t="n">
        <v>10529</v>
      </c>
      <c r="E4258" s="8" t="n">
        <v>39531</v>
      </c>
      <c r="F4258" s="7" t="n">
        <v>4</v>
      </c>
      <c r="G4258" s="7" t="inlineStr">
        <is>
          <t>The fresh cilantro adds a fresh flavor dimension to guacamole that is sometimes lacking.  I only had a Serrano pepper on hand, not a jalapeno, and WOW, my guac has a kick, especially after sitting for a bit.  This is great with Recipe #98402.</t>
        </is>
      </c>
    </row>
    <row r="4259">
      <c r="A4259" t="n">
        <v>92427</v>
      </c>
      <c r="B4259" t="n">
        <v>388946</v>
      </c>
      <c r="C4259" t="n">
        <v>220348</v>
      </c>
      <c r="D4259" t="n">
        <v>397198</v>
      </c>
      <c r="E4259" s="1" t="n">
        <v>40148</v>
      </c>
      <c r="F4259" t="n">
        <v>5</v>
      </c>
      <c r="G4259" t="inlineStr">
        <is>
          <t>This is a great recipe! I used many of the vegetables here, but left out the pinapple chunks. I added pumpkin pieces instead and used boneless, skinless chicken breasts, cubed as well (although I had to cook that first before adding the other ingredients), It is really a great recipe to try!</t>
        </is>
      </c>
    </row>
    <row r="4260">
      <c r="A4260" t="n">
        <v>63861</v>
      </c>
      <c r="B4260" t="n">
        <v>173693</v>
      </c>
      <c r="C4260" t="n">
        <v>383802</v>
      </c>
      <c r="D4260" t="n">
        <v>69990</v>
      </c>
      <c r="E4260" s="1" t="n">
        <v>39677</v>
      </c>
      <c r="F4260" t="n">
        <v>5</v>
      </c>
      <c r="G4260" t="inlineStr">
        <is>
          <t>Very good.  Just a few tweaks:  Added garlic powder, didn't use the parsley.  I would reduce the salt by at least half next time just because it was incredibly salty with all the parmesan and butter.  HOWEVER, even salty, there wasn't a single piece left.  Very nice alternative to breading.</t>
        </is>
      </c>
    </row>
    <row r="4261">
      <c r="A4261" s="7" t="n">
        <v>42160</v>
      </c>
      <c r="B4261" s="7" t="n">
        <v>1057930</v>
      </c>
      <c r="C4261" s="7" t="n">
        <v>281399</v>
      </c>
      <c r="D4261" s="7" t="n">
        <v>290539</v>
      </c>
      <c r="E4261" s="8" t="n">
        <v>39566</v>
      </c>
      <c r="F4261" s="7" t="n">
        <v>5</v>
      </c>
      <c r="G4261" s="7" t="inlineStr">
        <is>
          <t>*wow* Im not a coffee drinker but this was delicious!  I had coffee ice cubes in the freezer and used them but next time I want to try adding the sugar and see the difference. This drink isnt overly sweet. I couldnt find java chip ice cream so I used Breyers (fat free) cappuchino chocolate brownie chunk.  Very good idea with the chocolate milk. I agree with Hope they do taste like the star drinks without the heavy price tag and something you can easily make at home. Thanks for sharing this drink one I look forward to making again.</t>
        </is>
      </c>
    </row>
    <row r="4262">
      <c r="A4262" s="7" t="n">
        <v>65065</v>
      </c>
      <c r="B4262" s="7" t="n">
        <v>464635</v>
      </c>
      <c r="C4262" s="7" t="n">
        <v>1195537</v>
      </c>
      <c r="D4262" s="7" t="n">
        <v>381503</v>
      </c>
      <c r="E4262" s="8" t="n">
        <v>40014</v>
      </c>
      <c r="F4262" s="7" t="n">
        <v>5</v>
      </c>
      <c r="G4262" s="7" t="inlineStr">
        <is>
          <t>This was a very delicious dish! I used less water, added the juice of one orange and served it over a scoop of vanilla ice cream.Fast and easy to make with ingredients that I usually have at home, this is a keeper! Thank you, taste tester, from another Florida girl!</t>
        </is>
      </c>
    </row>
    <row r="4263">
      <c r="A4263" s="7" t="n">
        <v>36538</v>
      </c>
      <c r="B4263" s="7" t="n">
        <v>1005432</v>
      </c>
      <c r="C4263" s="7" t="n">
        <v>225722</v>
      </c>
      <c r="D4263" s="7" t="n">
        <v>112478</v>
      </c>
      <c r="E4263" s="8" t="n">
        <v>38550</v>
      </c>
      <c r="F4263" s="7" t="n">
        <v>5</v>
      </c>
      <c r="G4263" s="7" t="inlineStr">
        <is>
          <t xml:space="preserve"> It's nice to get a healthy recipe that tastes so yummy.  However, it took 55 minutes to cook (just like any other banana bread recipe) and a pinch of salt  in the batter wouldn't have hurt.</t>
        </is>
      </c>
    </row>
    <row r="4264">
      <c r="A4264" s="7" t="n">
        <v>81236</v>
      </c>
      <c r="B4264" s="7" t="n">
        <v>72868</v>
      </c>
      <c r="C4264" s="7" t="n">
        <v>138870</v>
      </c>
      <c r="D4264" s="7" t="n">
        <v>54269</v>
      </c>
      <c r="E4264" s="8" t="n">
        <v>38162</v>
      </c>
      <c r="F4264" s="7" t="n">
        <v>5</v>
      </c>
      <c r="G4264" s="7" t="inlineStr">
        <is>
          <t>Excellent results as per all the reviews.  I'll be using this every time I use a cake mix.  Thanks, Laurie!</t>
        </is>
      </c>
    </row>
    <row r="4265">
      <c r="A4265" s="7" t="n">
        <v>20433</v>
      </c>
      <c r="B4265" s="7" t="n">
        <v>799810</v>
      </c>
      <c r="C4265" s="7" t="n">
        <v>2156777</v>
      </c>
      <c r="D4265" s="7" t="n">
        <v>237769</v>
      </c>
      <c r="E4265" s="8" t="n">
        <v>42537</v>
      </c>
      <c r="F4265" s="7" t="n">
        <v>4</v>
      </c>
      <c r="G4265" s="7" t="inlineStr">
        <is>
          <t>Ok, this was amazing. It paired well with a mushroom knish I made. My only problem was that it didn't thicken as it should have and I let a lot of time go by and added more chicken cube. Next time I will probably use corn starch if it doesn't thicken for me. Thanks for sharing!!!</t>
        </is>
      </c>
    </row>
    <row r="4266">
      <c r="A4266" s="7" t="n">
        <v>13387</v>
      </c>
      <c r="B4266" s="7" t="n">
        <v>859755</v>
      </c>
      <c r="C4266" s="7" t="n">
        <v>446143</v>
      </c>
      <c r="D4266" s="7" t="n">
        <v>334290</v>
      </c>
      <c r="E4266" s="8" t="n">
        <v>39774</v>
      </c>
      <c r="F4266" s="7" t="n">
        <v>5</v>
      </c>
      <c r="G4266" s="7" t="inlineStr">
        <is>
          <t>Delicious and simple.  I made this just for myself with a smaller chicken breast.  I used a couple of tablespoons of the roasted red peppers.  I also used extra salt and pepper and Italian seasoning.  I pounded my chicken breast so it would cook evenly in the pan.  I think another option would be to bake this with the sauce.  Anyways, it was full of flavor and just great!</t>
        </is>
      </c>
    </row>
    <row r="4267">
      <c r="A4267" s="7" t="n">
        <v>8587</v>
      </c>
      <c r="B4267" s="7" t="n">
        <v>622313</v>
      </c>
      <c r="C4267" s="7" t="n">
        <v>542159</v>
      </c>
      <c r="D4267" s="7" t="n">
        <v>502613</v>
      </c>
      <c r="E4267" s="8" t="n">
        <v>41742</v>
      </c>
      <c r="F4267" s="7" t="n">
        <v>5</v>
      </c>
      <c r="G4267" s="7" t="inlineStr">
        <is>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is>
      </c>
    </row>
    <row r="4268">
      <c r="A4268" s="7" t="n">
        <v>67393</v>
      </c>
      <c r="B4268" s="7" t="n">
        <v>136722</v>
      </c>
      <c r="C4268" s="7" t="n">
        <v>424494</v>
      </c>
      <c r="D4268" s="7" t="n">
        <v>44888</v>
      </c>
      <c r="E4268" s="8" t="n">
        <v>39913</v>
      </c>
      <c r="F4268" s="7" t="n">
        <v>5</v>
      </c>
      <c r="G4268" s="7" t="inlineStr">
        <is>
          <t>I love these wings. I do bake them first and drain before adding the sauce. Today we are going to see how they do on the grill!</t>
        </is>
      </c>
    </row>
    <row r="4269">
      <c r="A4269" s="7" t="n">
        <v>115752</v>
      </c>
      <c r="B4269" s="7" t="n">
        <v>291035</v>
      </c>
      <c r="C4269" s="7" t="n">
        <v>325091</v>
      </c>
      <c r="D4269" s="7" t="n">
        <v>50767</v>
      </c>
      <c r="E4269" s="8" t="n">
        <v>38884</v>
      </c>
      <c r="F4269" s="7" t="n">
        <v>4</v>
      </c>
      <c r="G4269" s="7" t="inlineStr">
        <is>
          <t xml:space="preserve">Great recipe.  I think next time I'll try a vegetable cream cheese.  That should add some zip. </t>
        </is>
      </c>
    </row>
    <row r="4270" ht="409.5" customHeight="1">
      <c r="A4270" s="7" t="n">
        <v>49643</v>
      </c>
      <c r="B4270" s="7" t="n">
        <v>461077</v>
      </c>
      <c r="C4270" s="7" t="n">
        <v>446403</v>
      </c>
      <c r="D4270" s="7" t="n">
        <v>86314</v>
      </c>
      <c r="E4270" s="8" t="n">
        <v>40109</v>
      </c>
      <c r="F4270" s="7" t="n">
        <v>5</v>
      </c>
      <c r="G4270" s="9" t="inlineStr">
        <is>
          <t>I followed the directions, except that:  I used a single sweet onion.  I used a single .75 oz packet of McCormick Dry Gravy Mix, prepared to gravy consistency, according to the instructions; and then I added 1 tbs red wine and 1/4 tsp Good Seasons Salad Dressing Mix Italian from an 8oz pkt.  
I tossed cooked, wide egg noodles in a 1/4 tbs butter, a sprinkle of sea salt and 3-4 dashes of Lawry's Seasoning Lemon Pepper.  Needless to say, I served the meatballs over the noodles.  
Prepared with the alterations I made, I warn you:  There is no gravy, except for a nice glaze over the meatballs and a bit of sauce to be scraped out of the pan for extra flavor.  Lighter, in my opinion and great with steamed crinkle-cut carrots...or any other veggie.</t>
        </is>
      </c>
    </row>
    <row r="4271">
      <c r="A4271" s="7" t="n">
        <v>5634</v>
      </c>
      <c r="B4271" s="7" t="n">
        <v>65804</v>
      </c>
      <c r="C4271" s="7" t="n">
        <v>88390</v>
      </c>
      <c r="D4271" s="7" t="n">
        <v>204341</v>
      </c>
      <c r="E4271" s="8" t="n">
        <v>39091</v>
      </c>
      <c r="F4271" s="7" t="n">
        <v>5</v>
      </c>
      <c r="G4271" s="7" t="inlineStr">
        <is>
          <t>My mom has made this exact recipe for years! They are AWESOME! Everyone asks for the recipe!</t>
        </is>
      </c>
    </row>
    <row r="4272">
      <c r="A4272" s="7" t="n">
        <v>85048</v>
      </c>
      <c r="B4272" s="7" t="n">
        <v>1096202</v>
      </c>
      <c r="C4272" s="7" t="n">
        <v>237008</v>
      </c>
      <c r="D4272" s="7" t="n">
        <v>109884</v>
      </c>
      <c r="E4272" s="8" t="n">
        <v>40012</v>
      </c>
      <c r="F4272" s="7" t="n">
        <v>4</v>
      </c>
      <c r="G4272" s="7" t="inlineStr">
        <is>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is>
      </c>
    </row>
    <row r="4273" ht="409.5" customHeight="1">
      <c r="A4273" t="n">
        <v>118532</v>
      </c>
      <c r="B4273" t="n">
        <v>902668</v>
      </c>
      <c r="C4273" t="n">
        <v>59199</v>
      </c>
      <c r="D4273" t="n">
        <v>23507</v>
      </c>
      <c r="E4273" s="1" t="n">
        <v>37675</v>
      </c>
      <c r="F4273" t="n">
        <v>3</v>
      </c>
      <c r="G4273" s="2" t="inlineStr">
        <is>
          <t>For being a healthy banana bread I'd have to say that this was pretty good.  It definitely tastes the best warm.  It came out fairly moist.  It just lacked something...it could have been sweeter; though I DO have a big sweet tooth!_x000D_
_x000D_
To make this recipe five stars I would suggest adding maybe some walnuts to the bread?  I personally added a glaze to it using:_x000D_
_x000D_
- 1 cup powered sugar_x000D_
- 2 Tablespoons low fat milk_x000D_
- 1 tsp. vanilla_x000D_
_x000D_
Stir over med. heat w/ a whisk and put a little on the banana bread!  That made this recipe delish!</t>
        </is>
      </c>
    </row>
    <row r="4274">
      <c r="A4274" s="7" t="n">
        <v>12217</v>
      </c>
      <c r="B4274" s="7" t="n">
        <v>868881</v>
      </c>
      <c r="C4274" s="7" t="n">
        <v>313371</v>
      </c>
      <c r="D4274" s="7" t="n">
        <v>7974</v>
      </c>
      <c r="E4274" s="8" t="n">
        <v>40283</v>
      </c>
      <c r="F4274" s="7" t="n">
        <v>5</v>
      </c>
      <c r="G4274" s="7" t="inlineStr">
        <is>
          <t>Very simple. very quick &amp; easy &amp; oh so very tasty. Nothing to add to other reviews except my thanks. Definitely a good keeper.</t>
        </is>
      </c>
    </row>
    <row r="4275">
      <c r="A4275" s="7" t="n">
        <v>116220</v>
      </c>
      <c r="B4275" s="7" t="n">
        <v>278706</v>
      </c>
      <c r="C4275" s="7" t="n">
        <v>693933</v>
      </c>
      <c r="D4275" s="7" t="n">
        <v>63640</v>
      </c>
      <c r="E4275" s="8" t="n">
        <v>39444</v>
      </c>
      <c r="F4275" s="7" t="n">
        <v>5</v>
      </c>
      <c r="G4275" s="7" t="inlineStr">
        <is>
          <t>This is a wonderful treat especially in the summer. We like to have ours served over warm biscuits!</t>
        </is>
      </c>
    </row>
    <row r="4276">
      <c r="A4276" s="7" t="n">
        <v>76259</v>
      </c>
      <c r="B4276" s="7" t="n">
        <v>795201</v>
      </c>
      <c r="C4276" s="7" t="n">
        <v>88378</v>
      </c>
      <c r="D4276" s="7" t="n">
        <v>67422</v>
      </c>
      <c r="E4276" s="8" t="n">
        <v>41066</v>
      </c>
      <c r="F4276" s="7" t="n">
        <v>4</v>
      </c>
      <c r="G4276" s="7" t="inlineStr">
        <is>
          <t>Very tasty chicken, went over well with the family.  I think it definitely needed some savory pan drippings to drizzle over the top.  Next time I will provide that, because it was *just* this side of too dry.</t>
        </is>
      </c>
    </row>
    <row r="4277">
      <c r="A4277" s="7" t="n">
        <v>88918</v>
      </c>
      <c r="B4277" s="7" t="n">
        <v>373916</v>
      </c>
      <c r="C4277" s="7" t="n">
        <v>49482</v>
      </c>
      <c r="D4277" s="7" t="n">
        <v>20414</v>
      </c>
      <c r="E4277" s="8" t="n">
        <v>37494</v>
      </c>
      <c r="F4277" s="7" t="n">
        <v>5</v>
      </c>
      <c r="G4277" s="7" t="inlineStr">
        <is>
          <t>Delicious!  I used a whole can of beer and substituted the kidney beans with spicy chili beans just for personal preference. I also added quite a bit of water as we like our chili a bit watery. I also added cayenne pepper for some more kick. Served with elbow macaroni, shredded cheddar, sour cream and some raw chopped onions on top.  I let the whole pot cook about 4 hours just b/c it was making the house smell so good! Lots of thanks to "Mama Mull"!</t>
        </is>
      </c>
    </row>
    <row r="4278">
      <c r="A4278" s="7" t="n">
        <v>98167</v>
      </c>
      <c r="B4278" s="7" t="n">
        <v>1116434</v>
      </c>
      <c r="C4278" s="7" t="n">
        <v>985766</v>
      </c>
      <c r="D4278" s="7" t="n">
        <v>86043</v>
      </c>
      <c r="E4278" s="8" t="n">
        <v>39927</v>
      </c>
      <c r="F4278" s="7" t="n">
        <v>4</v>
      </c>
      <c r="G4278" s="7" t="inlineStr">
        <is>
          <t>This was a really good salad, that was enjoyed with our dinner.  I liked the sweetness of the sugar, and the tartness of the vinegar together.  Made for a very nice salad!</t>
        </is>
      </c>
    </row>
    <row r="4279" ht="409.5" customHeight="1">
      <c r="A4279" s="7" t="n">
        <v>124313</v>
      </c>
      <c r="B4279" s="7" t="n">
        <v>8775</v>
      </c>
      <c r="C4279" s="7" t="n">
        <v>58439</v>
      </c>
      <c r="D4279" s="7" t="n">
        <v>343946</v>
      </c>
      <c r="E4279" s="8" t="n">
        <v>39949</v>
      </c>
      <c r="F4279" s="7" t="n">
        <v>5</v>
      </c>
      <c r="G4279" s="9" t="inlineStr">
        <is>
          <t>FANTASTIC raves me! This is a GREAT recipe! ok, sliced chicken breasts horizontally, then cut in three, I like a thinnner, pounded chicken breast to see! Warmed pieces in oven til all were browned, TRUE! Couldn't help myself but added 1/2 cup white wine too! Makes you feel special as if you did fuss for dinner, This recipe IS a winner! Next time MIGHT consider pureeing peas, As think the drizzle sauce on chicken to me would please! THANKS!_x000D_
Note: Because I cut breasts in so many pieces, TRUE!_x000D_
Took ALOT more flour to dredge and added oil to HOT pan after every batch too!</t>
        </is>
      </c>
    </row>
    <row r="4280">
      <c r="A4280" s="7" t="n">
        <v>43863</v>
      </c>
      <c r="B4280" s="7" t="n">
        <v>279746</v>
      </c>
      <c r="C4280" s="7" t="n">
        <v>426229</v>
      </c>
      <c r="D4280" s="7" t="n">
        <v>377638</v>
      </c>
      <c r="E4280" s="8" t="n">
        <v>39986</v>
      </c>
      <c r="F4280" s="7" t="n">
        <v>5</v>
      </c>
      <c r="G4280" s="7" t="inlineStr">
        <is>
          <t>Received this exact recipe in a e-mail from eggs.ca. Made as stated ,did not use the chocolate drizzle. They cut better if refrigerated first. The pineapple gives a light taste to this sweet square.Easy to put together, another new family favorite.</t>
        </is>
      </c>
    </row>
    <row r="4281">
      <c r="A4281" s="7" t="n">
        <v>32011</v>
      </c>
      <c r="B4281" s="7" t="n">
        <v>997880</v>
      </c>
      <c r="C4281" s="7" t="n">
        <v>67728</v>
      </c>
      <c r="D4281" s="7" t="n">
        <v>406586</v>
      </c>
      <c r="E4281" s="8" t="n">
        <v>40294</v>
      </c>
      <c r="F4281" s="7" t="n">
        <v>5</v>
      </c>
      <c r="G4281" s="7" t="inlineStr">
        <is>
          <t>Great flavor combo! This makes a super-hearty salad, packed with lots of savory ingredients. I didn't have any cherry tomatoes, so I just chopped up some plum tomatoes instead. I think I also messed up and only used 1/2 cup of uncooked barley instead of a full cup (not good at multitasking after 10pm, lol), which would explain why the salad seemed a teensy bit salty to me. I guess that if you only use half the barley, you can definitely leave the salt out, because the prosciutto is salty enough on it's own. When I make this again (with the full amount of barley, of course), I'll have to taste it pre-salt to see if the prosciutto still gives enough salt for the dish.  Even with my screw-up, I still loved this salad. This would be a good addition to a potluck meal, and it's a great way to use a grain that's not that commonly used in this way. Thanks for posting! Made for PAC Spring '10 :)</t>
        </is>
      </c>
    </row>
    <row r="4282">
      <c r="A4282" t="n">
        <v>102273</v>
      </c>
      <c r="B4282" t="n">
        <v>462128</v>
      </c>
      <c r="C4282" t="n">
        <v>116854</v>
      </c>
      <c r="D4282" t="n">
        <v>250635</v>
      </c>
      <c r="E4282" s="1" t="n">
        <v>41053</v>
      </c>
      <c r="F4282" t="n">
        <v>5</v>
      </c>
      <c r="G4282" t="inlineStr">
        <is>
          <t>I made these for a potluck at work and they were a huge success.  I doubled the recipe (and reduced sugar as suggested) and baked in a 12 x 17-inch rimmed baking pan.  It made 48 decent sized bars.  I added chopped macadamia nuts and coconut to the reserved topping, but otherwise followed the recipe as posted.  I would definitely make these again, but since almost everyone asked for the recipe, maybe I won't have to :).</t>
        </is>
      </c>
    </row>
    <row r="4283">
      <c r="A4283" t="n">
        <v>7559</v>
      </c>
      <c r="B4283" t="n">
        <v>388948</v>
      </c>
      <c r="C4283" t="n">
        <v>527607</v>
      </c>
      <c r="D4283" t="n">
        <v>397198</v>
      </c>
      <c r="E4283" s="1" t="n">
        <v>41893</v>
      </c>
      <c r="F4283" t="n">
        <v>5</v>
      </c>
      <c r="G4283" t="inlineStr">
        <is>
          <t>Made this with chicken and it was one of the best sweet and sour&amp;#039;s i have had.</t>
        </is>
      </c>
    </row>
    <row r="4284">
      <c r="A4284" s="7" t="n">
        <v>121962</v>
      </c>
      <c r="B4284" s="7" t="n">
        <v>1092187</v>
      </c>
      <c r="C4284" s="7" t="n">
        <v>20480</v>
      </c>
      <c r="D4284" s="7" t="n">
        <v>16983</v>
      </c>
      <c r="E4284" s="8" t="n">
        <v>38685</v>
      </c>
      <c r="F4284" s="7" t="n">
        <v>5</v>
      </c>
      <c r="G4284" s="7" t="inlineStr">
        <is>
          <t>MizzNezz I have to tell you this is one of the best recipes and so easy to prepare; my husband gives you 10 stars.Thank you for sharing; we loved it; I served with linguini; Devine!</t>
        </is>
      </c>
    </row>
    <row r="4285">
      <c r="A4285" s="7" t="n">
        <v>115047</v>
      </c>
      <c r="B4285" s="7" t="n">
        <v>379782</v>
      </c>
      <c r="C4285" s="7" t="n">
        <v>4470</v>
      </c>
      <c r="D4285" s="7" t="n">
        <v>103157</v>
      </c>
      <c r="E4285" s="8" t="n">
        <v>38358</v>
      </c>
      <c r="F4285" s="7" t="n">
        <v>5</v>
      </c>
      <c r="G4285" s="7" t="inlineStr">
        <is>
          <t>Perfect winter night dinner. I threw in a couple of potatoes and only put my cabbage in for the last half hour - I like it crisp. I like the flavor of caraway it seems to give a refreshing flavor. I prepared the recipe ahead of time right up to when you pour in the beer cover &amp; simmer for 1 hour. Eas just turn on 1 hour before dinner Thanks DarkLove for a comfort food dinner</t>
        </is>
      </c>
    </row>
    <row r="4286">
      <c r="A4286" s="7" t="n">
        <v>37120</v>
      </c>
      <c r="B4286" s="7" t="n">
        <v>576049</v>
      </c>
      <c r="C4286" s="7" t="n">
        <v>2006260</v>
      </c>
      <c r="D4286" s="7" t="n">
        <v>15242</v>
      </c>
      <c r="E4286" s="8" t="n">
        <v>42511</v>
      </c>
      <c r="F4286" s="7" t="n">
        <v>5</v>
      </c>
      <c r="G4286" s="7" t="inlineStr">
        <is>
          <t>Thank you for this recipe. I made this last night. I made my own cream of chicken soup because I dont like the taste of the can and it was delicious. I also made this as the topping for shepherd's pie and it came out perfect.</t>
        </is>
      </c>
    </row>
    <row r="4287">
      <c r="A4287" s="7" t="n">
        <v>125738</v>
      </c>
      <c r="B4287" s="7" t="n">
        <v>660382</v>
      </c>
      <c r="C4287" s="7" t="n">
        <v>463435</v>
      </c>
      <c r="D4287" s="7" t="n">
        <v>202087</v>
      </c>
      <c r="E4287" s="8" t="n">
        <v>41460</v>
      </c>
      <c r="F4287" s="7" t="n">
        <v>5</v>
      </c>
      <c r="G4287" s="7" t="inlineStr">
        <is>
          <t>Sorry for such a late review...I actually made this for the May AUS/NZ Recipe Swap on May 17th but did not have access to a computer so I wrote out my review to type up later. As you can see that didn&amp;#039;t quite happen :( &amp;lt;br/&amp;gt;&amp;lt;br/&amp;gt;Had planned on making this recipe a bit later in the month for some friends, but my chicken that was not fully defrosted for last nights meal is now ready to go, so I guess I will adjust my plans. First off I will let you know that I used the water in the recipe as I do not have Sherry or a suitable wine in the house. Don&amp;#039;t think it would make that much of a taste difference. Also, I had a bag of mini sweet peppers that I needed to use up so I used them in place of the green bell peppers (look like small jalape&amp;ntilde;o peppers but taste like red, yellow and orange bells). The last adjustment I made was to use cashews in place of the walnuts do to an allergy. The dish was simple to prepare and very flavorful. I served it alongside some steamed broccoli and snow pea pods. Really wanted rice to go with it but forgot to add it to the shopping list. Will definitely be making this again soon. Thanks for sharing LP.</t>
        </is>
      </c>
    </row>
    <row r="4288">
      <c r="A4288" s="7" t="n">
        <v>76329</v>
      </c>
      <c r="B4288" s="7" t="n">
        <v>654423</v>
      </c>
      <c r="C4288" s="7" t="n">
        <v>690498</v>
      </c>
      <c r="D4288" s="7" t="n">
        <v>196352</v>
      </c>
      <c r="E4288" s="8" t="n">
        <v>39432</v>
      </c>
      <c r="F4288" s="7" t="n">
        <v>5</v>
      </c>
      <c r="G4288" s="7" t="inlineStr">
        <is>
          <t>I found this recipe in my KitchenAid stand mixer's "Use and Care" book. Quite possibly my new favorite cookie.</t>
        </is>
      </c>
    </row>
    <row r="4289">
      <c r="A4289" s="7" t="n">
        <v>117611</v>
      </c>
      <c r="B4289" s="7" t="n">
        <v>475941</v>
      </c>
      <c r="C4289" s="7" t="n">
        <v>112561</v>
      </c>
      <c r="D4289" s="7" t="n">
        <v>155753</v>
      </c>
      <c r="E4289" s="8" t="n">
        <v>38852</v>
      </c>
      <c r="F4289" s="7" t="n">
        <v>4</v>
      </c>
      <c r="G4289" s="7" t="inlineStr">
        <is>
          <t>Easy recipe but seemed to be lacking something.  I did add some sour cream to the 2nd helping and that seemed to help.  For a quick dinner this was good.</t>
        </is>
      </c>
    </row>
    <row r="4290">
      <c r="A4290" s="7" t="n">
        <v>53190</v>
      </c>
      <c r="B4290" s="7" t="n">
        <v>351540</v>
      </c>
      <c r="C4290" s="7" t="n">
        <v>337389</v>
      </c>
      <c r="D4290" s="7" t="n">
        <v>27470</v>
      </c>
      <c r="E4290" s="8" t="n">
        <v>39484</v>
      </c>
      <c r="F4290" s="7" t="n">
        <v>5</v>
      </c>
      <c r="G4290" s="7" t="inlineStr">
        <is>
          <t>This is GREAT!! It was rel easy to make and tasted delish I had never tried fennel before now that I have I willl be using it more. This sauce is sooooo tastey. I didn't have a green onion so I used half a small sweet one. Oterwise I made as written. Please try this it is great!!!</t>
        </is>
      </c>
    </row>
    <row r="4291">
      <c r="A4291" t="n">
        <v>20982</v>
      </c>
      <c r="B4291" t="n">
        <v>1073037</v>
      </c>
      <c r="C4291" t="n">
        <v>1803697112</v>
      </c>
      <c r="D4291" t="n">
        <v>58976</v>
      </c>
      <c r="E4291" s="1" t="n">
        <v>42028</v>
      </c>
      <c r="F4291" t="n">
        <v>5</v>
      </c>
      <c r="G4291" t="inlineStr">
        <is>
          <t>This soup was excellent! Only reason I gave it 4 instead of 5 stars is bc the masa harina is difficult to find...but it&amp;#039;s worth 5 so I changed it! I used regular flour in it&amp;#039;s place. Due to the previous reviews, I used about 3/4 the amount of processed cheese. I added diced jalapenos, 1 can rotel, undrained, 1 can black beans, drained and rinsed, and 1 cup frozen corn. Also topped it off with shredded cheddar cheese, sour cream, diced onion and tomato, jalapenos and crumbled tortilla chips! Yum! I haven&amp;#039;t had the Chili&amp;#039;s version of this soup and years, so I can&amp;#039;t really compare the two. I remember I used to love the Chili&amp;#039;s version, but who cares if this recipe isn&amp;#039;t an exact copycat! It tasted pretty close to what I remember, but all in all it&amp;#039;s delicious! And like most soups it tastes even better the next day! My husband really enjoyed this recipe as well! Definitely will be making this again! Thanks for the recipe!</t>
        </is>
      </c>
    </row>
    <row r="4292">
      <c r="A4292" s="7" t="n">
        <v>121235</v>
      </c>
      <c r="B4292" s="7" t="n">
        <v>675078</v>
      </c>
      <c r="C4292" s="7" t="n">
        <v>480195</v>
      </c>
      <c r="D4292" s="7" t="n">
        <v>189583</v>
      </c>
      <c r="E4292" s="8" t="n">
        <v>41145</v>
      </c>
      <c r="F4292" s="7" t="n">
        <v>5</v>
      </c>
      <c r="G4292" s="7" t="inlineStr">
        <is>
          <t>With that introduction, I had to try your recipe. With the addition of my choice of various herbs, mainly thyme, some salt and lots of freshly ground black pepper, it was wonderful. I found the recommended crackers to complete the meal. I served it in a crock. It was even tastier the next day! Thanks for sharing this with us.</t>
        </is>
      </c>
    </row>
    <row r="4293" ht="409.5" customHeight="1">
      <c r="A4293" s="7" t="n">
        <v>120300</v>
      </c>
      <c r="B4293" s="7" t="n">
        <v>949985</v>
      </c>
      <c r="C4293" s="7" t="n">
        <v>804234</v>
      </c>
      <c r="D4293" s="7" t="n">
        <v>298512</v>
      </c>
      <c r="E4293" s="8" t="n">
        <v>39570</v>
      </c>
      <c r="F4293" s="7" t="n">
        <v>1</v>
      </c>
      <c r="G4293" s="9" t="inlineStr">
        <is>
          <t>I would rate this a zero if I could. I followed the recipe to the T, the dough ended up extremely sticky, almost unworkable. The only way to pick the dough up was to completely cover you hands in flour and even then it was falling apart and sticking to my hands. I needed a bunch more flour into the gooey mess and was finally able to press out a few cookies that turned out very much like a shortbread, not at all like what Ive tasted at cookies by design. I was able to salvage the leftover dough and just roll them into a ball with lots of flour and press them onto a greased cookie sheet without the sticks and then pour on chocolate frosting. they will be a little treat for my kids. Not at all what i was wanting for my daughters birthday party in a few days._x000D_
So I would suggest to anyone looking at this recipe to look elsewear OR add more flour untill its a more dough like consistancy if you want a shortbread cookie.</t>
        </is>
      </c>
    </row>
    <row r="4294">
      <c r="A4294" s="7" t="n">
        <v>55795</v>
      </c>
      <c r="B4294" s="7" t="n">
        <v>493379</v>
      </c>
      <c r="C4294" s="7" t="n">
        <v>128302</v>
      </c>
      <c r="D4294" s="7" t="n">
        <v>71373</v>
      </c>
      <c r="E4294" s="8" t="n">
        <v>38990</v>
      </c>
      <c r="F4294" s="7" t="n">
        <v>5</v>
      </c>
      <c r="G4294" s="7" t="inlineStr">
        <is>
          <t>I have fixed this recipe for bread several times, very good. Of coarse that was easy. This week I used the recipe for rolls. Now that was fantastic and easy. Thanks for sharing this easy recipe .</t>
        </is>
      </c>
    </row>
    <row r="4295">
      <c r="A4295" s="7" t="n">
        <v>99520</v>
      </c>
      <c r="B4295" s="7" t="n">
        <v>673727</v>
      </c>
      <c r="C4295" s="7" t="n">
        <v>804550</v>
      </c>
      <c r="D4295" s="7" t="n">
        <v>129180</v>
      </c>
      <c r="E4295" s="8" t="n">
        <v>40011</v>
      </c>
      <c r="F4295" s="7" t="n">
        <v>4</v>
      </c>
      <c r="G4295" s="7" t="inlineStr">
        <is>
          <t>This was very good, however if it is going to have "coffee" in the title it should have more coffee besides one teaspoon. made for Comfort Cafe Summer 2009.</t>
        </is>
      </c>
    </row>
    <row r="4296">
      <c r="A4296" s="7" t="n">
        <v>117254</v>
      </c>
      <c r="B4296" s="7" t="n">
        <v>83293</v>
      </c>
      <c r="C4296" s="7" t="n">
        <v>639886</v>
      </c>
      <c r="D4296" s="7" t="n">
        <v>390150</v>
      </c>
      <c r="E4296" s="8" t="n">
        <v>40099</v>
      </c>
      <c r="F4296" s="7" t="n">
        <v>0</v>
      </c>
      <c r="G4296" s="7" t="inlineStr">
        <is>
          <t>I've been looking for a generic meatloaf recipe using ingredients I already have on hand and this is it!  This will be great for the weeks when we're running low on groceries and I need to throw something together for dinner.</t>
        </is>
      </c>
    </row>
    <row r="4297" ht="409.5" customHeight="1">
      <c r="A4297" s="7" t="n">
        <v>122654</v>
      </c>
      <c r="B4297" s="7" t="n">
        <v>500073</v>
      </c>
      <c r="C4297" s="7" t="n">
        <v>160974</v>
      </c>
      <c r="D4297" s="7" t="n">
        <v>89608</v>
      </c>
      <c r="E4297" s="8" t="n">
        <v>38347</v>
      </c>
      <c r="F4297" s="7" t="n">
        <v>5</v>
      </c>
      <c r="G4297" s="9" t="inlineStr">
        <is>
          <t>We made this for Christmas dinner and we all loved it. I liked it better than corn pudding. I doubled it and added some Tabasco to it. The shredded carrots added nice color and flavor. I can't wait to make it again._x000D_
_x000D_
Roxygirl in Colorado</t>
        </is>
      </c>
    </row>
    <row r="4298">
      <c r="A4298" s="7" t="n">
        <v>38120</v>
      </c>
      <c r="B4298" s="7" t="n">
        <v>1054580</v>
      </c>
      <c r="C4298" s="7" t="n">
        <v>2582697</v>
      </c>
      <c r="D4298" s="7" t="n">
        <v>62909</v>
      </c>
      <c r="E4298" s="8" t="n">
        <v>41266</v>
      </c>
      <c r="F4298" s="7" t="n">
        <v>5</v>
      </c>
      <c r="G4298" s="7" t="inlineStr">
        <is>
          <t>Really good and easy, I Added some chives, we enjoyed very much! Thanks for sharing ratherbeswimmin'</t>
        </is>
      </c>
    </row>
    <row r="4299">
      <c r="A4299" s="7" t="n">
        <v>93804</v>
      </c>
      <c r="B4299" s="7" t="n">
        <v>340765</v>
      </c>
      <c r="C4299" s="7" t="n">
        <v>1800557196</v>
      </c>
      <c r="D4299" s="7" t="n">
        <v>136589</v>
      </c>
      <c r="E4299" s="8" t="n">
        <v>41616</v>
      </c>
      <c r="F4299" s="7" t="n">
        <v>4</v>
      </c>
      <c r="G4299" s="7" t="inlineStr">
        <is>
          <t>Ok so I&amp;#039;m going to be one of those people as someone posted earlier, that rated high and changed it a bit. I thought this cake was a very good base to altar to your own personal tastes. I added a teaspoon of whole grated  nutmeg and an extra teaspoon of vanilla. I left the nuts completely out and used the entire cup of oil. When i made the sauce I added a teaspoon of vanilla and salt to taste, creating a a salted Carmel sauce.  The only thing I think was a bit off was that there wasn&amp;#039;t quite enough salt in the cake, but the salted Carmel remedied that problem. I let my sauce cool 10 mins and added it to a warm cake.   It was perfect. I will make this for Christmas Eve Dinner!!!</t>
        </is>
      </c>
    </row>
    <row r="4300">
      <c r="A4300" t="n">
        <v>88815</v>
      </c>
      <c r="B4300" t="n">
        <v>1076640</v>
      </c>
      <c r="C4300" t="n">
        <v>1802750096</v>
      </c>
      <c r="D4300" t="n">
        <v>329804</v>
      </c>
      <c r="E4300" s="1" t="n">
        <v>41777</v>
      </c>
      <c r="F4300" t="n">
        <v>4</v>
      </c>
      <c r="G4300" t="inlineStr">
        <is>
          <t>I love this recipe. It is so easy and delicious! After reading previous reviews, I used 1 1/2 cups of sugar instead of 2. I am a chocoholic with a major sweet-tooth, but I thought even that was too sweet. Next time I&amp;#039;ll try using 1 cup. It is much better than Hershey&amp;#039;s, with a much richer chocolate flavor.</t>
        </is>
      </c>
    </row>
    <row r="4301" ht="409.5" customHeight="1">
      <c r="A4301" s="7" t="n">
        <v>109569</v>
      </c>
      <c r="B4301" s="7" t="n">
        <v>17284</v>
      </c>
      <c r="C4301" s="7" t="n">
        <v>46545</v>
      </c>
      <c r="D4301" s="7" t="n">
        <v>17031</v>
      </c>
      <c r="E4301" s="8" t="n">
        <v>37534</v>
      </c>
      <c r="F4301" s="7" t="n">
        <v>5</v>
      </c>
      <c r="G4301" s="9" t="inlineStr">
        <is>
          <t>Thankyou!  Thankyou!
I don't like too much mayo, either.  This was perfect.  I used low fat cream cheese, used 1/2 the amount of cream cheese and sour cream, and substituted 1/2 the cheddar and jack with a veggie cheddar jack cheese blend.  I realize mine was a bit thicker because of this but hey, more stayed on my crackers!!</t>
        </is>
      </c>
    </row>
    <row r="4302">
      <c r="A4302" s="7" t="n">
        <v>112760</v>
      </c>
      <c r="B4302" s="7" t="n">
        <v>367861</v>
      </c>
      <c r="C4302" s="7" t="n">
        <v>285039</v>
      </c>
      <c r="D4302" s="7" t="n">
        <v>375799</v>
      </c>
      <c r="E4302" s="8" t="n">
        <v>39979</v>
      </c>
      <c r="F4302" s="7" t="n">
        <v>5</v>
      </c>
      <c r="G4302" s="7" t="inlineStr">
        <is>
          <t>This is a wonderful tasting sauce.  I am a 4th generation Italian-American and both my Paternal Great-Grandparents came from Calabria.  Nono Frank passed down a recipe for spaghetti sauce that uses similar ingredients, but includes pork.  This is a nice alternative for the Summer!  I loved it!  The only changes I made were to use 3 cans of crushed tomatos instead of processing the whole; and I used a jar of basil pesto I needed to use up in place of the fresh basil.   I let mine cook about 1 1/2 hours ; Most excellent!</t>
        </is>
      </c>
    </row>
    <row r="4303">
      <c r="A4303" s="7" t="n">
        <v>48177</v>
      </c>
      <c r="B4303" s="7" t="n">
        <v>750208</v>
      </c>
      <c r="C4303" s="7" t="n">
        <v>2001754215</v>
      </c>
      <c r="D4303" s="7" t="n">
        <v>519642</v>
      </c>
      <c r="E4303" s="8" t="n">
        <v>43024</v>
      </c>
      <c r="F4303" s="7" t="n">
        <v>5</v>
      </c>
      <c r="G4303" s="7" t="inlineStr">
        <is>
          <t>This recipe is great!! My 10 year old daughter helped me, we had fun making these and making memories!!</t>
        </is>
      </c>
    </row>
    <row r="4304">
      <c r="A4304" s="7" t="n">
        <v>26203</v>
      </c>
      <c r="B4304" s="7" t="n">
        <v>479649</v>
      </c>
      <c r="C4304" s="7" t="n">
        <v>599450</v>
      </c>
      <c r="D4304" s="7" t="n">
        <v>277167</v>
      </c>
      <c r="E4304" s="8" t="n">
        <v>39479</v>
      </c>
      <c r="F4304" s="7" t="n">
        <v>5</v>
      </c>
      <c r="G4304" s="7" t="inlineStr">
        <is>
          <t>Made these for my office's Super Bowl party. I used grated fresh ginger, sesame oil, and no other changes. My co-workers loved these -- none left! Thanks, Bonnette!</t>
        </is>
      </c>
    </row>
    <row r="4305">
      <c r="A4305" s="7" t="n">
        <v>107484</v>
      </c>
      <c r="B4305" s="7" t="n">
        <v>543251</v>
      </c>
      <c r="C4305" s="7" t="n">
        <v>1278514</v>
      </c>
      <c r="D4305" s="7" t="n">
        <v>116887</v>
      </c>
      <c r="E4305" s="8" t="n">
        <v>40333</v>
      </c>
      <c r="F4305" s="7" t="n">
        <v>5</v>
      </c>
      <c r="G4305" s="7" t="inlineStr">
        <is>
          <t>I also was looking for a crust for a banana cream pie. I bake a lot; pastries, cakes, bread (even sourdough!) but for some reason making a pie crust from scratch makes my blood run cold. So I figured graham was the way to go. This recipe is super simple (not that this sort of thing is at all hard) and makes a delicious crust. People will compliment you endlessly. I do something similar with several of my cheesecake recipes. You can sub the graham crumbs for nutter butter cookies, oreos, nilla wafers; the possibilities are endless. Get creative!</t>
        </is>
      </c>
    </row>
    <row r="4306">
      <c r="A4306" t="n">
        <v>29756</v>
      </c>
      <c r="B4306" t="n">
        <v>1104003</v>
      </c>
      <c r="C4306" t="n">
        <v>2002141807</v>
      </c>
      <c r="D4306" t="n">
        <v>64446</v>
      </c>
      <c r="E4306" s="1" t="n">
        <v>43225</v>
      </c>
      <c r="F4306" t="n">
        <v>0</v>
      </c>
      <c r="G4306" t="inlineStr">
        <is>
          <t>Can I make one large loaf with this recipe?</t>
        </is>
      </c>
    </row>
    <row r="4307">
      <c r="A4307" s="7" t="n">
        <v>6222</v>
      </c>
      <c r="B4307" s="7" t="n">
        <v>632898</v>
      </c>
      <c r="C4307" s="7" t="n">
        <v>537179</v>
      </c>
      <c r="D4307" s="7" t="n">
        <v>333071</v>
      </c>
      <c r="E4307" s="8" t="n">
        <v>39832</v>
      </c>
      <c r="F4307" s="7" t="n">
        <v>4</v>
      </c>
      <c r="G4307" s="7" t="inlineStr">
        <is>
          <t>This has great potential. It was good just not spicy enough for us. I made it and then baked it on chicken. Very yummy. Thanks for posting. Made for Newest Zaar Tag game Jan. 09</t>
        </is>
      </c>
    </row>
    <row r="4308">
      <c r="A4308" s="7" t="n">
        <v>58566</v>
      </c>
      <c r="B4308" s="7" t="n">
        <v>1004557</v>
      </c>
      <c r="C4308" s="7" t="n">
        <v>242484</v>
      </c>
      <c r="D4308" s="7" t="n">
        <v>61610</v>
      </c>
      <c r="E4308" s="8" t="n">
        <v>40068</v>
      </c>
      <c r="F4308" s="7" t="n">
        <v>5</v>
      </c>
      <c r="G4308" s="7" t="inlineStr">
        <is>
          <t>I was having a real problem with swelling around my ankles &amp; feet during a hot spell and I tried this for a couple of days and it really worked for me!  Ankles are back to normal!</t>
        </is>
      </c>
    </row>
    <row r="4309">
      <c r="A4309" s="7" t="n">
        <v>80517</v>
      </c>
      <c r="B4309" s="7" t="n">
        <v>552337</v>
      </c>
      <c r="C4309" s="7" t="n">
        <v>474322</v>
      </c>
      <c r="D4309" s="7" t="n">
        <v>12584</v>
      </c>
      <c r="E4309" s="8" t="n">
        <v>39215</v>
      </c>
      <c r="F4309" s="7" t="n">
        <v>5</v>
      </c>
      <c r="G4309" s="7" t="inlineStr">
        <is>
          <t>YUM! I will never spend another afternoon shucking corn again... I was always missing out on the fun at the beach while stuck with "KP". My family devoured this...</t>
        </is>
      </c>
    </row>
    <row r="4310">
      <c r="A4310" s="7" t="n">
        <v>106947</v>
      </c>
      <c r="B4310" s="7" t="n">
        <v>299970</v>
      </c>
      <c r="C4310" s="7" t="n">
        <v>69863</v>
      </c>
      <c r="D4310" s="7" t="n">
        <v>76491</v>
      </c>
      <c r="E4310" s="8" t="n">
        <v>39697</v>
      </c>
      <c r="F4310" s="7" t="n">
        <v>5</v>
      </c>
      <c r="G4310" s="7" t="inlineStr">
        <is>
          <t>My favourite cold weather treat, and the first thing I make when I ditch the diet!  We serve it with warmed syrup (not maple, but a cane sugar syrup - or golden syrup - found in Australia, South Africa, etc.)  My recipe should probably look like yours, but I have made it with dashes of this and heaps of that for years.  Give it a try.</t>
        </is>
      </c>
    </row>
    <row r="4311">
      <c r="A4311" s="7" t="n">
        <v>40966</v>
      </c>
      <c r="B4311" s="7" t="n">
        <v>909224</v>
      </c>
      <c r="C4311" s="7" t="n">
        <v>131126</v>
      </c>
      <c r="D4311" s="7" t="n">
        <v>369844</v>
      </c>
      <c r="E4311" s="8" t="n">
        <v>39960</v>
      </c>
      <c r="F4311" s="7" t="n">
        <v>5</v>
      </c>
      <c r="G4311" s="7" t="inlineStr">
        <is>
          <t>This was such an easy salad to make &amp; delicious.  I served it with a Mexican meal and thought it worked well with it. The mildly tart, fresh flavor was a nice contrast to the heavier enchiladas I served it with.   I did use  black olives as I already had them open for another part of the menu.</t>
        </is>
      </c>
    </row>
    <row r="4312">
      <c r="A4312" s="7" t="n">
        <v>55369</v>
      </c>
      <c r="B4312" s="7" t="n">
        <v>363915</v>
      </c>
      <c r="C4312" s="7" t="n">
        <v>498271</v>
      </c>
      <c r="D4312" s="7" t="n">
        <v>504441</v>
      </c>
      <c r="E4312" s="8" t="n">
        <v>41508</v>
      </c>
      <c r="F4312" s="7" t="n">
        <v>5</v>
      </c>
      <c r="G4312" s="7" t="inlineStr">
        <is>
          <t>This is a great quick and easy fried rice!  I used less shrimp than called for; I had peas, zucchini, and red bell pepper on hand so that&amp;#039;s what I used for the veggies.  Loved the lime in the sauce.  Thanks for sharing the recipe!  Made for ZWT9, The Apron String Travelers</t>
        </is>
      </c>
    </row>
    <row r="4313">
      <c r="A4313" s="7" t="n">
        <v>124179</v>
      </c>
      <c r="B4313" s="7" t="n">
        <v>194962</v>
      </c>
      <c r="C4313" s="7" t="n">
        <v>349321</v>
      </c>
      <c r="D4313" s="7" t="n">
        <v>121279</v>
      </c>
      <c r="E4313" s="8" t="n">
        <v>39767</v>
      </c>
      <c r="F4313" s="7" t="n">
        <v>5</v>
      </c>
      <c r="G4313" s="7" t="inlineStr">
        <is>
          <t>Easy and tasty!  My favorite guac recipe!</t>
        </is>
      </c>
    </row>
    <row r="4314">
      <c r="A4314" s="7" t="n">
        <v>50783</v>
      </c>
      <c r="B4314" s="7" t="n">
        <v>22956</v>
      </c>
      <c r="C4314" s="7" t="n">
        <v>199848</v>
      </c>
      <c r="D4314" s="7" t="n">
        <v>321409</v>
      </c>
      <c r="E4314" s="8" t="n">
        <v>40320</v>
      </c>
      <c r="F4314" s="7" t="n">
        <v>5</v>
      </c>
      <c r="G4314" s="7" t="inlineStr">
        <is>
          <t>Tasty, succulent shrimp!  The ginger, garlic and butter come together to give these shrimp incredible flavor.  The cilantro adds a wonderful burst of flavor, too.  I will also try this recipe with sea scallops.  Thanx for posting!</t>
        </is>
      </c>
    </row>
    <row r="4315" ht="409.5" customHeight="1">
      <c r="A4315" s="7" t="n">
        <v>93306</v>
      </c>
      <c r="B4315" s="7" t="n">
        <v>969273</v>
      </c>
      <c r="C4315" s="7" t="n">
        <v>96641</v>
      </c>
      <c r="D4315" s="7" t="n">
        <v>214587</v>
      </c>
      <c r="E4315" s="8" t="n">
        <v>39351</v>
      </c>
      <c r="F4315" s="7" t="n">
        <v>5</v>
      </c>
      <c r="G4315" s="9" t="inlineStr">
        <is>
          <t>DH, DD, DS &amp; I loved this gumbo!_x000D_
I added 2 teaspoons of the cayenne and wowie wow wow!  It was just the right spicy we love! _x000D_
I followed the recipe exactly except I had red, yellow and orange bell peppers on hand, so I used them instead of green._x000D_
Different from any gumbo I have cooked before (no okra) loved all of the different meats in here._x000D_
Next time I may add some okra just because we love it so much._x000D_
For PAC 2007_x000D_
Thanks BBQ Man!</t>
        </is>
      </c>
    </row>
    <row r="4316">
      <c r="A4316" s="7" t="n">
        <v>94739</v>
      </c>
      <c r="B4316" s="7" t="n">
        <v>214097</v>
      </c>
      <c r="C4316" s="7" t="n">
        <v>101732</v>
      </c>
      <c r="D4316" s="7" t="n">
        <v>185684</v>
      </c>
      <c r="E4316" s="8" t="n">
        <v>39007</v>
      </c>
      <c r="F4316" s="7" t="n">
        <v>5</v>
      </c>
      <c r="G4316" s="7" t="inlineStr">
        <is>
          <t>OMG-H-ko...these are awesome! I made exactly as stated and WOW!It was very easy to make with easy to follow instructions. I will be making these again-Thanks!</t>
        </is>
      </c>
    </row>
    <row r="4317">
      <c r="A4317" s="7" t="n">
        <v>113344</v>
      </c>
      <c r="B4317" s="7" t="n">
        <v>670777</v>
      </c>
      <c r="C4317" s="7" t="n">
        <v>309508</v>
      </c>
      <c r="D4317" s="7" t="n">
        <v>327285</v>
      </c>
      <c r="E4317" s="8" t="n">
        <v>39718</v>
      </c>
      <c r="F4317" s="7" t="n">
        <v>5</v>
      </c>
      <c r="G4317" s="7" t="inlineStr">
        <is>
          <t>I can't believe how good this was.  I made a few modifications to reflect those things I actually had on hand, but I have to say that this was probably the best bean dish I've had all year.  These are the modifications I made:  used only 4 cups of water and added 4 tsp. of vegetable base, used two med jalapenos instead of chiles, replaced oregano with summer savory and used white rice instead of brown.  I also soaked my beans overnight, but I don't think that really would have made a huge difference either way.  We LOVED this dish.  We will definately be having this again and taking it to potlucks!!!  Thank you for sharing it!!</t>
        </is>
      </c>
    </row>
    <row r="4318">
      <c r="A4318" s="7" t="n">
        <v>111445</v>
      </c>
      <c r="B4318" s="7" t="n">
        <v>428493</v>
      </c>
      <c r="C4318" s="7" t="n">
        <v>991236</v>
      </c>
      <c r="D4318" s="7" t="n">
        <v>263512</v>
      </c>
      <c r="E4318" s="8" t="n">
        <v>39736</v>
      </c>
      <c r="F4318" s="7" t="n">
        <v>5</v>
      </c>
      <c r="G4318" s="7" t="inlineStr">
        <is>
          <t>The crispiness was great!  I experimented with several spice combos and my families' favorite was "blacked seasoning &amp; garlic powder w/out extra salt". Thanks for the healthy alternative.</t>
        </is>
      </c>
    </row>
    <row r="4319">
      <c r="A4319" s="7" t="n">
        <v>107521</v>
      </c>
      <c r="B4319" s="7" t="n">
        <v>680160</v>
      </c>
      <c r="C4319" s="7" t="n">
        <v>503238</v>
      </c>
      <c r="D4319" s="7" t="n">
        <v>93426</v>
      </c>
      <c r="E4319" s="8" t="n">
        <v>40147</v>
      </c>
      <c r="F4319" s="7" t="n">
        <v>5</v>
      </c>
      <c r="G4319" s="7" t="inlineStr">
        <is>
          <t>Tastes great! I made a few minor modifications such as cutting the oats in half and adding ground flax seed, wheat germ and wheat bran. I did have to cook longer as a result next time I will cook in 2-3 small pans to reduce the cooking time. Will make this again for sure. Thank you Shiraz</t>
        </is>
      </c>
    </row>
    <row r="4320">
      <c r="A4320" s="7" t="n">
        <v>28738</v>
      </c>
      <c r="B4320" s="7" t="n">
        <v>820321</v>
      </c>
      <c r="C4320" s="7" t="n">
        <v>114317</v>
      </c>
      <c r="D4320" s="7" t="n">
        <v>53225</v>
      </c>
      <c r="E4320" s="8" t="n">
        <v>41294</v>
      </c>
      <c r="F4320" s="7" t="n">
        <v>5</v>
      </c>
      <c r="G4320" s="7" t="inlineStr">
        <is>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is>
      </c>
    </row>
    <row r="4321">
      <c r="A4321" s="7" t="n">
        <v>30411</v>
      </c>
      <c r="B4321" s="7" t="n">
        <v>744133</v>
      </c>
      <c r="C4321" s="7" t="n">
        <v>136074</v>
      </c>
      <c r="D4321" s="7" t="n">
        <v>48635</v>
      </c>
      <c r="E4321" s="8" t="n">
        <v>38557</v>
      </c>
      <c r="F4321" s="7" t="n">
        <v>5</v>
      </c>
      <c r="G4321" s="7" t="inlineStr">
        <is>
          <t xml:space="preserve">I have used this recipe several times now. Easy, most everything is on hand. I've spiced it up some by adding mashed over-ripe bananas, chopped pecans and a touch of cinnamon. Kids love it! </t>
        </is>
      </c>
    </row>
    <row r="4322">
      <c r="A4322" s="7" t="n">
        <v>32604</v>
      </c>
      <c r="B4322" s="7" t="n">
        <v>821779</v>
      </c>
      <c r="C4322" s="7" t="n">
        <v>97073</v>
      </c>
      <c r="D4322" s="7" t="n">
        <v>99843</v>
      </c>
      <c r="E4322" s="8" t="n">
        <v>39083</v>
      </c>
      <c r="F4322" s="7" t="n">
        <v>5</v>
      </c>
      <c r="G4322" s="7" t="inlineStr">
        <is>
          <t>I used to hate greens...but I LOVE, LOVE these!  I think I shall make them more often now.</t>
        </is>
      </c>
    </row>
    <row r="4323">
      <c r="A4323" s="7" t="n">
        <v>117290</v>
      </c>
      <c r="B4323" s="7" t="n">
        <v>362968</v>
      </c>
      <c r="C4323" s="7" t="n">
        <v>167951</v>
      </c>
      <c r="D4323" s="7" t="n">
        <v>68063</v>
      </c>
      <c r="E4323" s="8" t="n">
        <v>40265</v>
      </c>
      <c r="F4323" s="7" t="n">
        <v>5</v>
      </c>
      <c r="G4323" s="7" t="inlineStr">
        <is>
          <t>These were delicious.  The most tender pork chops we've ever eaten!  I used Old Bay instead of thyme.</t>
        </is>
      </c>
    </row>
    <row r="4324">
      <c r="A4324" s="7" t="n">
        <v>31345</v>
      </c>
      <c r="B4324" s="7" t="n">
        <v>295853</v>
      </c>
      <c r="C4324" s="7" t="n">
        <v>340843</v>
      </c>
      <c r="D4324" s="7" t="n">
        <v>46922</v>
      </c>
      <c r="E4324" s="8" t="n">
        <v>38992</v>
      </c>
      <c r="F4324" s="7" t="n">
        <v>5</v>
      </c>
      <c r="G4324" s="7" t="inlineStr">
        <is>
          <t>this was so extra good!  after trimming the fat, i scored the ham and applied the mustard first and the brown sugar second (instead of mixing into a paste).  i wrapped the ham twice in heavy duty aluminum foil after reading some of the reviews about the juices leaking out.  two hours into cooking i removed the outer layer of foil, as the internal temp wasn't where i thought it should be.  i opened the foil a bit to expose the ham for browning.  this was a 7-1/2 pound ham, and i only had to leave the ham in the oven for about three hours before the temp reached 160-170 degrees.  this was by far the easiest ham i've ever made, and the juice is amazing.  thanks so much for this recipe - i loved it!!</t>
        </is>
      </c>
    </row>
    <row r="4325">
      <c r="A4325" s="7" t="n">
        <v>74983</v>
      </c>
      <c r="B4325" s="7" t="n">
        <v>446453</v>
      </c>
      <c r="C4325" s="7" t="n">
        <v>55729</v>
      </c>
      <c r="D4325" s="7" t="n">
        <v>76478</v>
      </c>
      <c r="E4325" s="8" t="n">
        <v>40305</v>
      </c>
      <c r="F4325" s="7" t="n">
        <v>3</v>
      </c>
      <c r="G4325" s="7" t="inlineStr">
        <is>
          <t>I thought the flavor of this was pretty good and I really enjoyed the mushrooms and onions. The meat was fork-tender, but it had a "dry" quality to it that I didn't really like. I served it over rice. I used 4 cube steaks and doubled all of the other ingredients even though it was only about 1 1/2 lb. of meat.</t>
        </is>
      </c>
    </row>
    <row r="4326">
      <c r="A4326" s="7" t="n">
        <v>103540</v>
      </c>
      <c r="B4326" s="7" t="n">
        <v>794544</v>
      </c>
      <c r="C4326" s="7" t="n">
        <v>65502</v>
      </c>
      <c r="D4326" s="7" t="n">
        <v>415095</v>
      </c>
      <c r="E4326" s="8" t="n">
        <v>40255</v>
      </c>
      <c r="F4326" s="7" t="n">
        <v>5</v>
      </c>
      <c r="G4326" s="7" t="inlineStr">
        <is>
          <t>Very nice! I made this exactly as directed and we enjoyed it. I cooked the potatoes and bacon last night and put everything together tonight for dinner with Recipe #301333. I would like a bit less dressing next time because I just tend to like less! My family liked it as is! Made for 1,2,3 tag. Thanks AZPARZYCH! :)</t>
        </is>
      </c>
    </row>
    <row r="4327">
      <c r="A4327" s="7" t="n">
        <v>103487</v>
      </c>
      <c r="B4327" s="7" t="n">
        <v>10729</v>
      </c>
      <c r="C4327" s="7" t="n">
        <v>1122161</v>
      </c>
      <c r="D4327" s="7" t="n">
        <v>66077</v>
      </c>
      <c r="E4327" s="8" t="n">
        <v>40213</v>
      </c>
      <c r="F4327" s="7" t="n">
        <v>5</v>
      </c>
      <c r="G4327" s="7" t="inlineStr">
        <is>
          <t>Thank you for posting this recipe! They don't have this cheese in the store I shop at, and the other store charges an arm and a leg for it. I used it to make a Tarimasu cake and it turned out great thanks to this recipe! :)</t>
        </is>
      </c>
    </row>
    <row r="4328" ht="210" customHeight="1">
      <c r="A4328" s="7" t="n">
        <v>44857</v>
      </c>
      <c r="B4328" s="7" t="n">
        <v>928480</v>
      </c>
      <c r="C4328" s="7" t="n">
        <v>29767</v>
      </c>
      <c r="D4328" s="7" t="n">
        <v>110837</v>
      </c>
      <c r="E4328" s="8" t="n">
        <v>38531</v>
      </c>
      <c r="F4328" s="7" t="n">
        <v>3</v>
      </c>
      <c r="G4328" s="9" t="inlineStr">
        <is>
          <t xml:space="preserve">I LOVE these sandwiches but I use crunchy peanut butter and add hot red pepper flakes!_x000D_
_x000D_
</t>
        </is>
      </c>
    </row>
    <row r="4329">
      <c r="A4329" s="7" t="n">
        <v>76423</v>
      </c>
      <c r="B4329" s="7" t="n">
        <v>347917</v>
      </c>
      <c r="C4329" s="7" t="n">
        <v>68727</v>
      </c>
      <c r="D4329" s="7" t="n">
        <v>44133</v>
      </c>
      <c r="E4329" s="8" t="n">
        <v>37843</v>
      </c>
      <c r="F4329" s="7" t="n">
        <v>5</v>
      </c>
      <c r="G4329" s="7" t="inlineStr">
        <is>
          <t>This is great tasting pasta salad that is full of flavor.  I've made this recipe twice.  The second time I made a few changes.  I reduced the amount of garlic salt to 1 teaspoon and I added 1 tablespoon of sugar.  I also reduced the amount of olives to 1/2 cup and the onions to 1/2 cup each.  Thanks for sharing this excellent recipe.  I will make it again and again.</t>
        </is>
      </c>
    </row>
    <row r="4330">
      <c r="A4330" s="7" t="n">
        <v>107722</v>
      </c>
      <c r="B4330" s="7" t="n">
        <v>397113</v>
      </c>
      <c r="C4330" s="7" t="n">
        <v>23119</v>
      </c>
      <c r="D4330" s="7" t="n">
        <v>306248</v>
      </c>
      <c r="E4330" s="8" t="n">
        <v>39973</v>
      </c>
      <c r="F4330" s="7" t="n">
        <v>5</v>
      </c>
      <c r="G4330" s="7" t="inlineStr">
        <is>
          <t>This was very good. The sweet chili sauce gave it a nice kick. Will make again. I made this for I Recommend Tag.</t>
        </is>
      </c>
    </row>
    <row r="4331">
      <c r="A4331" s="7" t="n">
        <v>123415</v>
      </c>
      <c r="B4331" s="7" t="n">
        <v>342558</v>
      </c>
      <c r="C4331" s="7" t="n">
        <v>745868</v>
      </c>
      <c r="D4331" s="7" t="n">
        <v>121714</v>
      </c>
      <c r="E4331" s="8" t="n">
        <v>40286</v>
      </c>
      <c r="F4331" s="7" t="n">
        <v>5</v>
      </c>
      <c r="G4331" s="7" t="inlineStr">
        <is>
          <t>All I can say is Yum!  Loved them!</t>
        </is>
      </c>
    </row>
    <row r="4332">
      <c r="A4332" s="7" t="n">
        <v>111199</v>
      </c>
      <c r="B4332" s="7" t="n">
        <v>502797</v>
      </c>
      <c r="C4332" s="7" t="n">
        <v>292308</v>
      </c>
      <c r="D4332" s="7" t="n">
        <v>84869</v>
      </c>
      <c r="E4332" s="8" t="n">
        <v>39484</v>
      </c>
      <c r="F4332" s="7" t="n">
        <v>2</v>
      </c>
      <c r="G4332" s="7" t="inlineStr">
        <is>
          <t>I really wished I liked these, but I just didn't. I don't know what I did wrong, but my muffins were very dry and had a somewhat bitter aftertaste remniscent of baking soda or powder (?).  I made these in the hopes of tempting my little one into eating a healthy breakfast...she couldn't get past taking a bite (spit it out).  I'll eat them, cause I can't stand to see them wasted, but I don't think I'll make them again.  UPDATE:  I've since decided my AP flour was contaminated w/ self-rising and causing bitterness everywhere...this recipe may be better than I made it!</t>
        </is>
      </c>
    </row>
    <row r="4333">
      <c r="A4333" t="n">
        <v>25004</v>
      </c>
      <c r="B4333" t="n">
        <v>386528</v>
      </c>
      <c r="C4333" t="n">
        <v>255549</v>
      </c>
      <c r="D4333" t="n">
        <v>472337</v>
      </c>
      <c r="E4333" s="1" t="n">
        <v>41168</v>
      </c>
      <c r="F4333" t="n">
        <v>4</v>
      </c>
      <c r="G4333" t="inlineStr">
        <is>
          <t>Very good soup! The whole family enjoyed it. This recipe will definitely be used again and again.</t>
        </is>
      </c>
    </row>
    <row r="4334">
      <c r="A4334" s="7" t="n">
        <v>99623</v>
      </c>
      <c r="B4334" s="7" t="n">
        <v>1042758</v>
      </c>
      <c r="C4334" s="7" t="n">
        <v>937635</v>
      </c>
      <c r="D4334" s="7" t="n">
        <v>249216</v>
      </c>
      <c r="E4334" s="8" t="n">
        <v>40296</v>
      </c>
      <c r="F4334" s="7" t="n">
        <v>5</v>
      </c>
      <c r="G4334" s="7" t="inlineStr">
        <is>
          <t>Great recipe! Easy to follow. I skipped the lemon, and used dried herbs and it turned out spectacularly. I love artichokes and this was delicious with melted butter. Thank you!</t>
        </is>
      </c>
    </row>
    <row r="4335">
      <c r="A4335" s="7" t="n">
        <v>106062</v>
      </c>
      <c r="B4335" s="7" t="n">
        <v>54652</v>
      </c>
      <c r="C4335" s="7" t="n">
        <v>41894</v>
      </c>
      <c r="D4335" s="7" t="n">
        <v>52035</v>
      </c>
      <c r="E4335" s="8" t="n">
        <v>39074</v>
      </c>
      <c r="F4335" s="7" t="n">
        <v>5</v>
      </c>
      <c r="G4335" s="7" t="inlineStr">
        <is>
          <t>I used the peanut butter filled oreos and dipped in dark choc, YUMMIE!!!!!!  Will make these for a party on new years, cant wait to have again.</t>
        </is>
      </c>
    </row>
    <row r="4336">
      <c r="A4336" s="7" t="n">
        <v>39757</v>
      </c>
      <c r="B4336" s="7" t="n">
        <v>984239</v>
      </c>
      <c r="C4336" s="7" t="n">
        <v>68960</v>
      </c>
      <c r="D4336" s="7" t="n">
        <v>9272</v>
      </c>
      <c r="E4336" s="8" t="n">
        <v>38205</v>
      </c>
      <c r="F4336" s="7" t="n">
        <v>5</v>
      </c>
      <c r="G4336" s="7" t="inlineStr">
        <is>
          <t>I don't think I will ever buy salsa again.  What a fabulous recipe.  I make this to freeze.  I increased the cumin powder slightly as we like a hotter salsa.  Can't wait to try this with my favourite salsa chicken crockpot recipe #52828.</t>
        </is>
      </c>
    </row>
    <row r="4337">
      <c r="A4337" s="7" t="n">
        <v>114131</v>
      </c>
      <c r="B4337" s="7" t="n">
        <v>704501</v>
      </c>
      <c r="C4337" s="7" t="n">
        <v>2206637</v>
      </c>
      <c r="D4337" s="7" t="n">
        <v>135850</v>
      </c>
      <c r="E4337" s="8" t="n">
        <v>41188</v>
      </c>
      <c r="F4337" s="7" t="n">
        <v>5</v>
      </c>
      <c r="G4337" s="7" t="inlineStr">
        <is>
          <t>Super cute!  I didn't have the almonds so I used cashews and a few pecans after I ran out of cashews.... I used slivered almonds for the "severed bone" effect like some other bakers.  I found them to need more almond or vanilla, but jmo.  Thanks for the super cute concept.  I added a photo with the cashew fingers!</t>
        </is>
      </c>
    </row>
    <row r="4338">
      <c r="A4338" s="7" t="n">
        <v>88840</v>
      </c>
      <c r="B4338" s="7" t="n">
        <v>493907</v>
      </c>
      <c r="C4338" s="7" t="n">
        <v>186979</v>
      </c>
      <c r="D4338" s="7" t="n">
        <v>430486</v>
      </c>
      <c r="E4338" s="8" t="n">
        <v>40623</v>
      </c>
      <c r="F4338" s="7" t="n">
        <v>5</v>
      </c>
      <c r="G4338" s="7" t="inlineStr">
        <is>
          <t>Too easy and too delicious! I also can't believe that such a simple ingredient recipe was THIS tasty! I added a tablespoon of fresh, minced parsley to the dressing, just to provide some visual interest. This will replace my bottle of Hidden Valley, forever!</t>
        </is>
      </c>
    </row>
    <row r="4339">
      <c r="A4339" s="7" t="n">
        <v>86105</v>
      </c>
      <c r="B4339" s="7" t="n">
        <v>925044</v>
      </c>
      <c r="C4339" s="7" t="n">
        <v>158131</v>
      </c>
      <c r="D4339" s="7" t="n">
        <v>26339</v>
      </c>
      <c r="E4339" s="8" t="n">
        <v>38513</v>
      </c>
      <c r="F4339" s="7" t="n">
        <v>5</v>
      </c>
      <c r="G4339" s="7" t="inlineStr">
        <is>
          <t>Absolutely delicious is all that I can say!  I used a combination of shredded mozzarella and cheddar cheese. Thanks a bunch Wende for sharing. Katherine</t>
        </is>
      </c>
    </row>
    <row r="4340">
      <c r="A4340" s="7" t="n">
        <v>101940</v>
      </c>
      <c r="B4340" s="7" t="n">
        <v>1067737</v>
      </c>
      <c r="C4340" s="7" t="n">
        <v>593927</v>
      </c>
      <c r="D4340" s="7" t="n">
        <v>56460</v>
      </c>
      <c r="E4340" s="8" t="n">
        <v>40584</v>
      </c>
      <c r="F4340" s="7" t="n">
        <v>5</v>
      </c>
      <c r="G4340" s="7" t="inlineStr">
        <is>
          <t>Great!! I used all dark brown sugar to curb the headaches I get from white. I used a halal vanilla bean paste which is lovely.Used this syrup in recipe#277458 which is a beautiful tea.</t>
        </is>
      </c>
    </row>
    <row r="4341">
      <c r="A4341" s="7" t="n">
        <v>91101</v>
      </c>
      <c r="B4341" s="7" t="n">
        <v>605878</v>
      </c>
      <c r="C4341" s="7" t="n">
        <v>1376039</v>
      </c>
      <c r="D4341" s="7" t="n">
        <v>224960</v>
      </c>
      <c r="E4341" s="8" t="n">
        <v>41309</v>
      </c>
      <c r="F4341" s="7" t="n">
        <v>5</v>
      </c>
      <c r="G4341" s="7" t="inlineStr">
        <is>
          <t>Wow.  I followed the recipe pretty closely, reduced the salt slightly and added sliced onions.  This is DEFINITELY a keeper!!  The sauce is amazing.</t>
        </is>
      </c>
    </row>
    <row r="4342">
      <c r="A4342" s="7" t="n">
        <v>57691</v>
      </c>
      <c r="B4342" s="7" t="n">
        <v>1072110</v>
      </c>
      <c r="C4342" s="7" t="n">
        <v>2091208</v>
      </c>
      <c r="D4342" s="7" t="n">
        <v>145573</v>
      </c>
      <c r="E4342" s="8" t="n">
        <v>41012</v>
      </c>
      <c r="F4342" s="7" t="n">
        <v>5</v>
      </c>
      <c r="G4342" s="7" t="inlineStr">
        <is>
          <t>Such an easy, wonderfully delicious recipe. A little too much cream cheese for our tastes but good all the same. Next time I'll cut it down to 1 1/2 packages. Idid the cut the sugar down on top to just a little over a half cup.</t>
        </is>
      </c>
    </row>
    <row r="4343">
      <c r="A4343" s="7" t="n">
        <v>84076</v>
      </c>
      <c r="B4343" s="7" t="n">
        <v>629422</v>
      </c>
      <c r="C4343" s="7" t="n">
        <v>391666</v>
      </c>
      <c r="D4343" s="7" t="n">
        <v>19851</v>
      </c>
      <c r="E4343" s="8" t="n">
        <v>39160</v>
      </c>
      <c r="F4343" s="7" t="n">
        <v>5</v>
      </c>
      <c r="G4343" s="7" t="inlineStr">
        <is>
          <t>This chicken is fork tender, flavorful, and EASY!  I love that you can make it the day before...I think that's what gives it such awesome flavor.  I was lazy and bought thinly sliced chicken breast and I also had to use a little white wine because I didn't have enough marsala.  My dinner guests were very impressed...I'll be making it again this weekend for other guests.  Thanks for a fantastic recipe!</t>
        </is>
      </c>
    </row>
    <row r="4344">
      <c r="A4344" s="7" t="n">
        <v>126607</v>
      </c>
      <c r="B4344" s="7" t="n">
        <v>185100</v>
      </c>
      <c r="C4344" s="7" t="n">
        <v>25792</v>
      </c>
      <c r="D4344" s="7" t="n">
        <v>142029</v>
      </c>
      <c r="E4344" s="8" t="n">
        <v>38832</v>
      </c>
      <c r="F4344" s="7" t="n">
        <v>5</v>
      </c>
      <c r="G4344" s="7" t="inlineStr">
        <is>
          <t>I made 1.5 times the recipe and got 37 1/8 cup sized cookies.  We love them this size and the flavor was excellant.  Mine were slightly overdone at 18 minutes so I adjusted.  I stored them tightly covered and did notice that they did kind of dry out BUT that only made them better for dunking in a big glass of cold milk!  Thanks to bailey my adopted pick a chef!</t>
        </is>
      </c>
    </row>
    <row r="4345">
      <c r="A4345" s="7" t="n">
        <v>119614</v>
      </c>
      <c r="B4345" s="7" t="n">
        <v>262862</v>
      </c>
      <c r="C4345" s="7" t="n">
        <v>73836</v>
      </c>
      <c r="D4345" s="7" t="n">
        <v>140140</v>
      </c>
      <c r="E4345" s="8" t="n">
        <v>38777</v>
      </c>
      <c r="F4345" s="7" t="n">
        <v>5</v>
      </c>
      <c r="G4345" s="7" t="inlineStr">
        <is>
          <t>This has always been one of my favorite ways of cooking potatoes.  The only difference when I make it is that I make layers of the cream corn and potatoes, adding a sprinkling of sliced onions, flour, salt and pepper in each layer. I pour some whole milk over all, inserting a knife to make sure it gets down through the layers. Then I top with buttered cracker crumbs.  Cheese is also good sprinkled in the layers and on top.  Yumm!</t>
        </is>
      </c>
    </row>
    <row r="4346">
      <c r="A4346" s="7" t="n">
        <v>23520</v>
      </c>
      <c r="B4346" s="7" t="n">
        <v>576072</v>
      </c>
      <c r="C4346" s="7" t="n">
        <v>2000492050</v>
      </c>
      <c r="D4346" s="7" t="n">
        <v>15242</v>
      </c>
      <c r="E4346" s="8" t="n">
        <v>43083</v>
      </c>
      <c r="F4346" s="7" t="n">
        <v>5</v>
      </c>
      <c r="G4346" s="7" t="inlineStr">
        <is>
          <t>Perfect with no tweaking needed. I don't know how people who leave out or add in ingredients can post negative reviews.</t>
        </is>
      </c>
    </row>
    <row r="4347">
      <c r="A4347" t="n">
        <v>19778</v>
      </c>
      <c r="B4347" t="n">
        <v>417208</v>
      </c>
      <c r="C4347" t="n">
        <v>200837</v>
      </c>
      <c r="D4347" t="n">
        <v>43410</v>
      </c>
      <c r="E4347" s="1" t="n">
        <v>38839</v>
      </c>
      <c r="F4347" t="n">
        <v>5</v>
      </c>
      <c r="G4347" t="inlineStr">
        <is>
          <t>This is really, really good!  I Give it 5-stars!</t>
        </is>
      </c>
    </row>
    <row r="4348">
      <c r="A4348" s="7" t="n">
        <v>42467</v>
      </c>
      <c r="B4348" s="7" t="n">
        <v>1047386</v>
      </c>
      <c r="C4348" s="7" t="n">
        <v>18660</v>
      </c>
      <c r="D4348" s="7" t="n">
        <v>53368</v>
      </c>
      <c r="E4348" s="8" t="n">
        <v>37678</v>
      </c>
      <c r="F4348" s="7" t="n">
        <v>5</v>
      </c>
      <c r="G4348" s="7" t="inlineStr">
        <is>
          <t>I had never had Kugel before and now I'm a kugelholic! This made a nice moist corn dish with the consistency of cornbread. The sourcream and sweetness of the sugar and corn blended well together. I used fat free sour cream, fat free yogurt and reduced fat cottage cheese (and had a double helping for all the calories I saved) and the dish turned out splendid.</t>
        </is>
      </c>
    </row>
    <row r="4349">
      <c r="A4349" s="7" t="n">
        <v>97618</v>
      </c>
      <c r="B4349" s="7" t="n">
        <v>800145</v>
      </c>
      <c r="C4349" s="7" t="n">
        <v>1384439</v>
      </c>
      <c r="D4349" s="7" t="n">
        <v>27864</v>
      </c>
      <c r="E4349" s="8" t="n">
        <v>40071</v>
      </c>
      <c r="F4349" s="7" t="n">
        <v>5</v>
      </c>
      <c r="G4349" s="7" t="inlineStr">
        <is>
          <t>I'm Indian, and this is exactly like the lamb curry I get at my favorite Indian restaurant! Very authentic!</t>
        </is>
      </c>
    </row>
    <row r="4350">
      <c r="A4350" s="7" t="n">
        <v>112859</v>
      </c>
      <c r="B4350" s="7" t="n">
        <v>442394</v>
      </c>
      <c r="C4350" s="7" t="n">
        <v>2000249961</v>
      </c>
      <c r="D4350" s="7" t="n">
        <v>199332</v>
      </c>
      <c r="E4350" s="8" t="n">
        <v>43158</v>
      </c>
      <c r="F4350" s="7" t="n">
        <v>5</v>
      </c>
      <c r="G4350" s="7" t="inlineStr">
        <is>
          <t>Can't tell you how many times I have made this recipe ! I exchanged the oil for Butter and used fennel seeds , dried basil, dried oregano, salt, Pepper, ( ground to a powder) 2 minced garlic cloves also 1/4 tsp of the real deal stevia extract. Half water and half beer. soooo Dang Good ! ...O</t>
        </is>
      </c>
    </row>
    <row r="4351">
      <c r="A4351" s="7" t="n">
        <v>97383</v>
      </c>
      <c r="B4351" s="7" t="n">
        <v>1070267</v>
      </c>
      <c r="C4351" s="7" t="n">
        <v>137302</v>
      </c>
      <c r="D4351" s="7" t="n">
        <v>82985</v>
      </c>
      <c r="E4351" s="8" t="n">
        <v>42550</v>
      </c>
      <c r="F4351" s="7" t="n">
        <v>0</v>
      </c>
      <c r="G4351" s="7" t="inlineStr">
        <is>
          <t>I did not give any stars. I will tell you why...it is called Cornbread-low carb....there is no corn of any kind in the recipe. What???</t>
        </is>
      </c>
    </row>
    <row r="4352">
      <c r="A4352" s="7" t="n">
        <v>4311</v>
      </c>
      <c r="B4352" s="7" t="n">
        <v>82463</v>
      </c>
      <c r="C4352" s="7" t="n">
        <v>511666</v>
      </c>
      <c r="D4352" s="7" t="n">
        <v>8674</v>
      </c>
      <c r="E4352" s="8" t="n">
        <v>40007</v>
      </c>
      <c r="F4352" s="7" t="n">
        <v>5</v>
      </c>
      <c r="G4352" s="7" t="inlineStr">
        <is>
          <t>These were really great. I didn't use the pre-packaged cabbage or carrots so I had the portions off a little and we ended up with more veggie than beef. But they were still very tasty. Thanks!!</t>
        </is>
      </c>
    </row>
    <row r="4353">
      <c r="A4353" s="7" t="n">
        <v>57304</v>
      </c>
      <c r="B4353" s="7" t="n">
        <v>774103</v>
      </c>
      <c r="C4353" s="7" t="n">
        <v>789811</v>
      </c>
      <c r="D4353" s="7" t="n">
        <v>128956</v>
      </c>
      <c r="E4353" s="8" t="n">
        <v>39840</v>
      </c>
      <c r="F4353" s="7" t="n">
        <v>5</v>
      </c>
      <c r="G4353" s="7" t="inlineStr">
        <is>
          <t>This is GREAT.  For a variation, if I'm in a hurry, I use V8 SPICY vegetable juice and it is also AMAZING.  Or just add a chopped jalapeno or two to spice it up!</t>
        </is>
      </c>
    </row>
    <row r="4354">
      <c r="A4354" t="n">
        <v>111534</v>
      </c>
      <c r="B4354" t="n">
        <v>22722</v>
      </c>
      <c r="C4354" t="n">
        <v>865818</v>
      </c>
      <c r="D4354" t="n">
        <v>9232</v>
      </c>
      <c r="E4354" s="1" t="n">
        <v>40810</v>
      </c>
      <c r="F4354" t="n">
        <v>5</v>
      </c>
      <c r="G4354" t="inlineStr">
        <is>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is>
      </c>
    </row>
    <row r="4355">
      <c r="A4355" s="7" t="n">
        <v>83054</v>
      </c>
      <c r="B4355" s="7" t="n">
        <v>348881</v>
      </c>
      <c r="C4355" s="7" t="n">
        <v>939002</v>
      </c>
      <c r="D4355" s="7" t="n">
        <v>50719</v>
      </c>
      <c r="E4355" s="8" t="n">
        <v>40381</v>
      </c>
      <c r="F4355" s="7" t="n">
        <v>3</v>
      </c>
      <c r="G4355" s="7" t="inlineStr">
        <is>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is>
      </c>
    </row>
    <row r="4356">
      <c r="A4356" s="7" t="n">
        <v>117054</v>
      </c>
      <c r="B4356" s="7" t="n">
        <v>814525</v>
      </c>
      <c r="C4356" s="7" t="n">
        <v>91392</v>
      </c>
      <c r="D4356" s="7" t="n">
        <v>136265</v>
      </c>
      <c r="E4356" s="8" t="n">
        <v>38760</v>
      </c>
      <c r="F4356" s="7" t="n">
        <v>4</v>
      </c>
      <c r="G4356" s="7" t="inlineStr">
        <is>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is>
      </c>
    </row>
    <row r="4357">
      <c r="A4357" s="7" t="n">
        <v>7017</v>
      </c>
      <c r="B4357" s="7" t="n">
        <v>288600</v>
      </c>
      <c r="C4357" s="7" t="n">
        <v>53368</v>
      </c>
      <c r="D4357" s="7" t="n">
        <v>12399</v>
      </c>
      <c r="E4357" s="8" t="n">
        <v>38083</v>
      </c>
      <c r="F4357" s="7" t="n">
        <v>5</v>
      </c>
      <c r="G4357" s="7" t="inlineStr">
        <is>
          <t xml:space="preserve">I LOVE Bisquick 'impossible pies' and this one was no different.  I used my chopper to chop everything so it came out without huge chuncks of onion or chicken in it.  Easy to make, and absolutely delicious! (Though..I forgot to add the salt and pepper, so it was a little bland, but all my fault...lol)  </t>
        </is>
      </c>
    </row>
    <row r="4358">
      <c r="A4358" t="n">
        <v>3767</v>
      </c>
      <c r="B4358" t="n">
        <v>153725</v>
      </c>
      <c r="C4358" t="n">
        <v>22788</v>
      </c>
      <c r="D4358" t="n">
        <v>93223</v>
      </c>
      <c r="E4358" s="1" t="n">
        <v>39104</v>
      </c>
      <c r="F4358" t="n">
        <v>5</v>
      </c>
      <c r="G4358" t="inlineStr">
        <is>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is>
      </c>
    </row>
    <row r="4359">
      <c r="A4359" s="7" t="n">
        <v>37645</v>
      </c>
      <c r="B4359" s="7" t="n">
        <v>194965</v>
      </c>
      <c r="C4359" s="7" t="n">
        <v>88099</v>
      </c>
      <c r="D4359" s="7" t="n">
        <v>121279</v>
      </c>
      <c r="E4359" s="8" t="n">
        <v>43163</v>
      </c>
      <c r="F4359" s="7" t="n">
        <v>5</v>
      </c>
      <c r="G4359" s="7" t="inlineStr">
        <is>
          <t>Excellent and so easy to make. Thanks for sharing. I made as directed with no changes.</t>
        </is>
      </c>
    </row>
    <row r="4360">
      <c r="A4360" s="7" t="n">
        <v>19982</v>
      </c>
      <c r="B4360" s="7" t="n">
        <v>458329</v>
      </c>
      <c r="C4360" s="7" t="n">
        <v>2002324428</v>
      </c>
      <c r="D4360" s="7" t="n">
        <v>66409</v>
      </c>
      <c r="E4360" s="8" t="n">
        <v>43411</v>
      </c>
      <c r="F4360" s="7" t="n">
        <v>5</v>
      </c>
      <c r="G4360" s="7" t="inlineStr">
        <is>
          <t>This is an excellent base recipe for all kinds of scones. The recipe makes 16 1 1/2&amp;quot;x2&amp;quot; or 8 3&amp;quot;x4&amp;quot; scones. I prefer larger scones, but have found that I need to add about 8 minutes to the cooking time for them to bake through. There are a few basic tips that will make them come out perfectly every time. First - Chill everything. Butter, flour mixture, formed dough and baking sheet. This dough is butter heavy and if things aren't properly chilled the butter will melt, rather than evaporate, in the hot oven making the scones slump. Second - Grate the butter on the large hole side of a box grater and toss with the flour mixture. It's easier than cutting in and the scones will come out light and airy. My favorite addition to this recipe is to add a quarter cup of currants, soaked in orange juice then drained, to the dough. I top the cooled scones with a glaze made of confectioners sugar, orange zest and orange juice. I've also made them savory by omitting the sugar and stirring chopped sundried tomatoes, shredded mozzarella and dried basil into the dough. Brush with melted garlic butter and top with a sprinkle of parmesan before baking.</t>
        </is>
      </c>
    </row>
    <row r="4361">
      <c r="A4361" s="7" t="n">
        <v>60516</v>
      </c>
      <c r="B4361" s="7" t="n">
        <v>224759</v>
      </c>
      <c r="C4361" s="7" t="n">
        <v>2001646488</v>
      </c>
      <c r="D4361" s="7" t="n">
        <v>272642</v>
      </c>
      <c r="E4361" s="8" t="n">
        <v>42944</v>
      </c>
      <c r="F4361" s="7" t="n">
        <v>4</v>
      </c>
      <c r="G4361" s="7" t="inlineStr">
        <is>
          <t>Since I was serving this dish with boneless pork chops (we buy a full loin and cut it into meal-sized portions), I decided to &amp;quot;grill&amp;quot; the pork chops in two teaspoons of bacon fat in a cast iron pan on the stove-top. Once the chops were nicely browned and set aside to rest, I sauteed the mushrooms, added garlic after mushrooms had cooked down a bit. I didn't have a shallot (or any onions) on hand so I used onion powder instead. Then I removed the mushroom mixture and began to saute the green beans with 2 tablespoons of real butter and the recommended amount of lemon juice and white wine. After they began to soften I added in a cup of small, orange cherry tomatoes sliced in half and added back the mushroom mixture. Once the green beans were cooked and the tomatoes had broken down, I finished the dish with 1/4 cup of fresh, chopped Parmesan and allowed it to melt a little before serving. This dish turned out amazingly delicious!</t>
        </is>
      </c>
    </row>
    <row r="4362">
      <c r="A4362" s="7" t="n">
        <v>112697</v>
      </c>
      <c r="B4362" s="7" t="n">
        <v>629406</v>
      </c>
      <c r="C4362" s="7" t="n">
        <v>39261</v>
      </c>
      <c r="D4362" s="7" t="n">
        <v>139956</v>
      </c>
      <c r="E4362" s="8" t="n">
        <v>38723</v>
      </c>
      <c r="F4362" s="7" t="n">
        <v>5</v>
      </c>
      <c r="G4362" s="7" t="inlineStr">
        <is>
          <t>SIMPLY DEVINE!!!! I made this last week, and YUMMMMY...will be the ONLy meatball recipe I will use with sauce...</t>
        </is>
      </c>
    </row>
    <row r="4363">
      <c r="A4363" s="7" t="n">
        <v>38661</v>
      </c>
      <c r="B4363" s="7" t="n">
        <v>302994</v>
      </c>
      <c r="C4363" s="7" t="n">
        <v>165623</v>
      </c>
      <c r="D4363" s="7" t="n">
        <v>210528</v>
      </c>
      <c r="E4363" s="8" t="n">
        <v>39134</v>
      </c>
      <c r="F4363" s="7" t="n">
        <v>5</v>
      </c>
      <c r="G4363" s="7" t="inlineStr">
        <is>
          <t>Since there are just two of us I cut the recipe in half, using chicken breasts. I covered the whole thing with monterey jack cheese and served over brown rice. Super easy and tasty, would make again.</t>
        </is>
      </c>
    </row>
    <row r="4364">
      <c r="A4364" s="7" t="n">
        <v>76325</v>
      </c>
      <c r="B4364" s="7" t="n">
        <v>1042762</v>
      </c>
      <c r="C4364" s="7" t="n">
        <v>85826</v>
      </c>
      <c r="D4364" s="7" t="n">
        <v>249216</v>
      </c>
      <c r="E4364" s="8" t="n">
        <v>40692</v>
      </c>
      <c r="F4364" s="7" t="n">
        <v>5</v>
      </c>
      <c r="G4364" s="7" t="inlineStr">
        <is>
          <t>Thank you for the recipe. I was intimidated with cooking artichokes for the first time and used this as my anchor. I used chicken broth, 1 big clove garlic chopped up, black whole peppercorns and a bayleaf for the steaming liquid and we loved the flavor it gave the leaves. 30 minutes was perfect!</t>
        </is>
      </c>
    </row>
    <row r="4365">
      <c r="A4365" s="7" t="n">
        <v>62256</v>
      </c>
      <c r="B4365" s="7" t="n">
        <v>48436</v>
      </c>
      <c r="C4365" s="7" t="n">
        <v>766839</v>
      </c>
      <c r="D4365" s="7" t="n">
        <v>96346</v>
      </c>
      <c r="E4365" s="8" t="n">
        <v>39725</v>
      </c>
      <c r="F4365" s="7" t="n">
        <v>5</v>
      </c>
      <c r="G4365" s="7" t="inlineStr">
        <is>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is>
      </c>
    </row>
    <row r="4366">
      <c r="A4366" s="7" t="n">
        <v>41570</v>
      </c>
      <c r="B4366" s="7" t="n">
        <v>1033227</v>
      </c>
      <c r="C4366" s="7" t="n">
        <v>220853</v>
      </c>
      <c r="D4366" s="7" t="n">
        <v>48401</v>
      </c>
      <c r="E4366" s="8" t="n">
        <v>39855</v>
      </c>
      <c r="F4366" s="7" t="n">
        <v>5</v>
      </c>
      <c r="G4366" s="7" t="inlineStr">
        <is>
          <t>This was a fantastic recipe. I got nervous because my foil started to seperate towards the end of the baking time but it was still fine and it turned out very well!</t>
        </is>
      </c>
    </row>
    <row r="4367">
      <c r="A4367" s="7" t="n">
        <v>47496</v>
      </c>
      <c r="B4367" s="7" t="n">
        <v>876030</v>
      </c>
      <c r="C4367" s="7" t="n">
        <v>573325</v>
      </c>
      <c r="D4367" s="7" t="n">
        <v>468143</v>
      </c>
      <c r="E4367" s="8" t="n">
        <v>40998</v>
      </c>
      <c r="F4367" s="7" t="n">
        <v>5</v>
      </c>
      <c r="G4367" s="7" t="inlineStr">
        <is>
          <t>Wow, what a great recipe! I really liked these truffles. They are intensely chocolatey on the outside and so creamy on the inside. I made 1/4 the recipe and ended up with 10 big truffles. Next time Im making these (and there will definitely be a next time) I will use a bit less cream cheese in order to bring out the oreo flavour even more and achieve a slightly firmer truffle. But thats just personal preference.&lt;br/&gt;I used part golden oreos so that my truffle centres came out a bit lighter in colour.&lt;br/&gt;THANK YOU SO MUCH for sharing this delicious recipe here with us, midnight blue!&lt;br/&gt;Made and reviewed for one of my babies during PAC Spring 2012.</t>
        </is>
      </c>
    </row>
    <row r="4368">
      <c r="A4368" t="n">
        <v>1338</v>
      </c>
      <c r="B4368" t="n">
        <v>542871</v>
      </c>
      <c r="C4368" t="n">
        <v>37305</v>
      </c>
      <c r="D4368" t="n">
        <v>103217</v>
      </c>
      <c r="E4368" s="1" t="n">
        <v>38343</v>
      </c>
      <c r="F4368" t="n">
        <v>5</v>
      </c>
      <c r="G4368" t="inlineStr">
        <is>
          <t>These were super easy and the results are wonderful!  I don't think they taste like brownies, but they are super chocolately, deliciously chewy and the nuts are a definite plus.  Thanks for sharing!</t>
        </is>
      </c>
    </row>
    <row r="4369">
      <c r="A4369" s="7" t="n">
        <v>92836</v>
      </c>
      <c r="B4369" s="7" t="n">
        <v>995955</v>
      </c>
      <c r="C4369" s="7" t="n">
        <v>84024</v>
      </c>
      <c r="D4369" s="7" t="n">
        <v>36336</v>
      </c>
      <c r="E4369" s="8" t="n">
        <v>39673</v>
      </c>
      <c r="F4369" s="7" t="n">
        <v>4</v>
      </c>
      <c r="G4369" s="7" t="inlineStr">
        <is>
          <t>Loved it! I cooked it in a conventional oven and the cook time was 50 min.  Also, while it was cooling I drizzled some of the left over pineapple juice for a little more flavor and moistness.  This is my favorite banana nut bread recipe now.</t>
        </is>
      </c>
    </row>
    <row r="4370">
      <c r="A4370" s="7" t="n">
        <v>79276</v>
      </c>
      <c r="B4370" s="7" t="n">
        <v>487408</v>
      </c>
      <c r="C4370" s="7" t="n">
        <v>2001841153</v>
      </c>
      <c r="D4370" s="7" t="n">
        <v>88410</v>
      </c>
      <c r="E4370" s="8" t="n">
        <v>43074</v>
      </c>
      <c r="F4370" s="7" t="n">
        <v>5</v>
      </c>
      <c r="G4370" s="7" t="inlineStr">
        <is>
          <t>I didn't want to blend the ingredients so I did the following: 1. I sauteed the minced onions and minced carrots and then let simmer till soft about 12 minutes. I also added about 1 T wine vinegar and 1/2 T brown sugar. This made up for not doing the puree in blender 2. I shaped in a loaf shape and baked on a cookie sheet for about 50 minutes at 350 degrees. Came out pefect. I don't like putting in loaf pan because I feel like it is too greasy. 3. Before baking I put some dijon and ketchup on top to create a nice caramelized topping.</t>
        </is>
      </c>
    </row>
    <row r="4371">
      <c r="A4371" s="7" t="n">
        <v>120694</v>
      </c>
      <c r="B4371" s="7" t="n">
        <v>25972</v>
      </c>
      <c r="C4371" s="7" t="n">
        <v>498271</v>
      </c>
      <c r="D4371" s="7" t="n">
        <v>262868</v>
      </c>
      <c r="E4371" s="8" t="n">
        <v>39560</v>
      </c>
      <c r="F4371" s="7" t="n">
        <v>5</v>
      </c>
      <c r="G4371" s="7" t="inlineStr">
        <is>
          <t>Delicious breakfast!  Very tasty with a nice colorful combination of veggies.  Using egg whites makes the omelet nice and fluffy too.  I only used half of the amount of butter and it came out great!</t>
        </is>
      </c>
    </row>
    <row r="4372">
      <c r="A4372" s="7" t="n">
        <v>68472</v>
      </c>
      <c r="B4372" s="7" t="n">
        <v>41079</v>
      </c>
      <c r="C4372" s="7" t="n">
        <v>582561</v>
      </c>
      <c r="D4372" s="7" t="n">
        <v>339400</v>
      </c>
      <c r="E4372" s="8" t="n">
        <v>41199</v>
      </c>
      <c r="F4372" s="7" t="n">
        <v>0</v>
      </c>
      <c r="G4372" s="7" t="inlineStr">
        <is>
          <t>Made for PAC Fall 2012.  Didn't find these at all nice.  Way too salty or sour, not sure what the taste was.  I'n thinking that maybe something was left out when making or quantities are wrong.  They sounded healthy, but I'm sorry to say I found them inedible.</t>
        </is>
      </c>
    </row>
    <row r="4373">
      <c r="A4373" s="7" t="n">
        <v>23390</v>
      </c>
      <c r="B4373" s="7" t="n">
        <v>707505</v>
      </c>
      <c r="C4373" s="7" t="n">
        <v>159532</v>
      </c>
      <c r="D4373" s="7" t="n">
        <v>170977</v>
      </c>
      <c r="E4373" s="8" t="n">
        <v>38931</v>
      </c>
      <c r="F4373" s="7" t="n">
        <v>5</v>
      </c>
      <c r="G4373" s="7" t="inlineStr">
        <is>
          <t>This is exactly the recipe I was looking for!  It was wonderful, everyone loved it.  I had already boiled eggs for a regular potato salad (decided to make yours, instead - MUCH easier!) so I sliced them and added to the salad as well.  Very good.  Thank you for the recipe...</t>
        </is>
      </c>
    </row>
    <row r="4374">
      <c r="A4374" s="7" t="n">
        <v>32083</v>
      </c>
      <c r="B4374" s="7" t="n">
        <v>71365</v>
      </c>
      <c r="C4374" s="7" t="n">
        <v>11009</v>
      </c>
      <c r="D4374" s="7" t="n">
        <v>135229</v>
      </c>
      <c r="E4374" s="8" t="n">
        <v>39106</v>
      </c>
      <c r="F4374" s="7" t="n">
        <v>2</v>
      </c>
      <c r="G4374" s="7" t="inlineStr">
        <is>
          <t>This dish was ok, but my family wasn't too impressed. This was the first time we had a kielbasa dish with tomato sauce. I think we like our kielbasa better with kraut or cabbage. Update: I had to knock it down one star because both my guys got severe cases of heartburn. I didn't eat enough to get it but we won't make this again.</t>
        </is>
      </c>
    </row>
    <row r="4375">
      <c r="A4375" s="7" t="n">
        <v>122499</v>
      </c>
      <c r="B4375" s="7" t="n">
        <v>445457</v>
      </c>
      <c r="C4375" s="7" t="n">
        <v>205712</v>
      </c>
      <c r="D4375" s="7" t="n">
        <v>63131</v>
      </c>
      <c r="E4375" s="8" t="n">
        <v>38438</v>
      </c>
      <c r="F4375" s="7" t="n">
        <v>5</v>
      </c>
      <c r="G4375" s="7" t="inlineStr">
        <is>
          <t>AWESOME! They're great "energy bars" for breakfast on the go, and because they're quite study (ie, won't crumble and fall apart in a knapsack!) we even take them with us when we're hiking and camping. You can throw almost anything into the mix -- walnuts, chocolate chips, banana chips, etc. Great recipe!</t>
        </is>
      </c>
    </row>
    <row r="4376">
      <c r="A4376" s="7" t="n">
        <v>96681</v>
      </c>
      <c r="B4376" s="7" t="n">
        <v>879321</v>
      </c>
      <c r="C4376" s="7" t="n">
        <v>2000773626</v>
      </c>
      <c r="D4376" s="7" t="n">
        <v>143218</v>
      </c>
      <c r="E4376" s="8" t="n">
        <v>42362</v>
      </c>
      <c r="F4376" s="7" t="n">
        <v>2</v>
      </c>
      <c r="G4376" s="7" t="inlineStr">
        <is>
          <t>Chestnut filling was good, but the cake recipe as way off. Not only did it not taste good, but it wasnt nearly enough cake for the amount of filling given.</t>
        </is>
      </c>
    </row>
    <row r="4377">
      <c r="A4377" s="7" t="n">
        <v>60124</v>
      </c>
      <c r="B4377" s="7" t="n">
        <v>475900</v>
      </c>
      <c r="C4377" s="7" t="n">
        <v>429976</v>
      </c>
      <c r="D4377" s="7" t="n">
        <v>505862</v>
      </c>
      <c r="E4377" s="8" t="n">
        <v>42511</v>
      </c>
      <c r="F4377" s="7" t="n">
        <v>5</v>
      </c>
      <c r="G4377" s="7" t="inlineStr">
        <is>
          <t>Yum!! We all loved it. I doubled and used only 3 T of Cholula hot sauce. Also, I just set the oven as I normally would - 375 and it worked out great, but the potatoes were leftover, so precooked.</t>
        </is>
      </c>
    </row>
    <row r="4378">
      <c r="A4378" s="7" t="n">
        <v>40497</v>
      </c>
      <c r="B4378" s="7" t="n">
        <v>803766</v>
      </c>
      <c r="C4378" s="7" t="n">
        <v>114027</v>
      </c>
      <c r="D4378" s="7" t="n">
        <v>156521</v>
      </c>
      <c r="E4378" s="8" t="n">
        <v>39762</v>
      </c>
      <c r="F4378" s="7" t="n">
        <v>5</v>
      </c>
      <c r="G4378" s="7" t="inlineStr">
        <is>
          <t>I was a little worried about the coconut and Kahlua together, but with everything else it came out tasting great! It was very creamy and made for a great dessert :)</t>
        </is>
      </c>
    </row>
    <row r="4379">
      <c r="A4379" t="n">
        <v>101342</v>
      </c>
      <c r="B4379" t="n">
        <v>620943</v>
      </c>
      <c r="C4379" t="n">
        <v>589394</v>
      </c>
      <c r="D4379" t="n">
        <v>74629</v>
      </c>
      <c r="E4379" s="1" t="n">
        <v>40025</v>
      </c>
      <c r="F4379" t="n">
        <v>5</v>
      </c>
      <c r="G4379" t="inlineStr">
        <is>
          <t>This was great! I used 1/2 tsp. garlic powder, and white rice and it turned out great. Next time I will definitely try it with brown rice since I am sure that would be even better (and better for you).</t>
        </is>
      </c>
    </row>
    <row r="4380">
      <c r="A4380" s="7" t="n">
        <v>5687</v>
      </c>
      <c r="B4380" s="7" t="n">
        <v>510246</v>
      </c>
      <c r="C4380" s="7" t="n">
        <v>1244045</v>
      </c>
      <c r="D4380" s="7" t="n">
        <v>89207</v>
      </c>
      <c r="E4380" s="8" t="n">
        <v>40088</v>
      </c>
      <c r="F4380" s="7" t="n">
        <v>5</v>
      </c>
      <c r="G4380" s="7" t="inlineStr">
        <is>
          <t>Great frosting. My hubby and daughter loved it!</t>
        </is>
      </c>
    </row>
    <row r="4381">
      <c r="A4381" s="7" t="n">
        <v>70629</v>
      </c>
      <c r="B4381" s="7" t="n">
        <v>1011613</v>
      </c>
      <c r="C4381" s="7" t="n">
        <v>179133</v>
      </c>
      <c r="D4381" s="7" t="n">
        <v>117434</v>
      </c>
      <c r="E4381" s="8" t="n">
        <v>40163</v>
      </c>
      <c r="F4381" s="7" t="n">
        <v>5</v>
      </c>
      <c r="G4381" s="7" t="inlineStr">
        <is>
          <t>Yummy sandwich! I sprinkled the cinnamon over the (Skippy) peanut butter and used a Jonagold apple (what I had on hand). Thanks for posting this tasty treat Charlotte!</t>
        </is>
      </c>
    </row>
    <row r="4382">
      <c r="A4382" s="7" t="n">
        <v>99420</v>
      </c>
      <c r="B4382" s="7" t="n">
        <v>1102667</v>
      </c>
      <c r="C4382" s="7" t="n">
        <v>57603</v>
      </c>
      <c r="D4382" s="7" t="n">
        <v>98692</v>
      </c>
      <c r="E4382" s="8" t="n">
        <v>38384</v>
      </c>
      <c r="F4382" s="7" t="n">
        <v>4</v>
      </c>
      <c r="G4382" s="7" t="inlineStr">
        <is>
          <t>Very good recipe, but we found it just a tad bland, so next time I will jazz it up with perhaps some little green onions.  Toodles is right, the leftovers are great!</t>
        </is>
      </c>
    </row>
    <row r="4383">
      <c r="A4383" s="7" t="n">
        <v>12760</v>
      </c>
      <c r="B4383" s="7" t="n">
        <v>642728</v>
      </c>
      <c r="C4383" s="7" t="n">
        <v>135511</v>
      </c>
      <c r="D4383" s="7" t="n">
        <v>35988</v>
      </c>
      <c r="E4383" s="8" t="n">
        <v>40216</v>
      </c>
      <c r="F4383" s="7" t="n">
        <v>5</v>
      </c>
      <c r="G4383" s="7" t="inlineStr">
        <is>
          <t>I'm surprised I haven't rated this yet.  I have made it several times and it is very good and presents beautifully. Definitely a keeper!</t>
        </is>
      </c>
    </row>
    <row r="4384">
      <c r="A4384" s="7" t="n">
        <v>28476</v>
      </c>
      <c r="B4384" s="7" t="n">
        <v>371016</v>
      </c>
      <c r="C4384" s="7" t="n">
        <v>627420</v>
      </c>
      <c r="D4384" s="7" t="n">
        <v>220316</v>
      </c>
      <c r="E4384" s="8" t="n">
        <v>39523</v>
      </c>
      <c r="F4384" s="7" t="n">
        <v>5</v>
      </c>
      <c r="G4384" s="7" t="inlineStr">
        <is>
          <t>My niece and I made these PB Easter Eggs and 2 of Linda's other Easter Egg recipes this weekend to give out at work, and to give to some of our relatives for Easter.  These were easy to make and came out beautifully.  Everyone in my family loves candy and chocolate, so I am sure these will satisfy their sweet tooth! These are awesome!</t>
        </is>
      </c>
    </row>
    <row r="4385">
      <c r="A4385" s="7" t="n">
        <v>116430</v>
      </c>
      <c r="B4385" s="7" t="n">
        <v>493126</v>
      </c>
      <c r="C4385" s="7" t="n">
        <v>274985</v>
      </c>
      <c r="D4385" s="7" t="n">
        <v>52089</v>
      </c>
      <c r="E4385" s="8" t="n">
        <v>38729</v>
      </c>
      <c r="F4385" s="7" t="n">
        <v>5</v>
      </c>
      <c r="G4385" s="7" t="inlineStr">
        <is>
          <t>I had to come back and rate this recipe.  It is great.  Basic ingredients, simple to make and delicious.</t>
        </is>
      </c>
    </row>
    <row r="4386">
      <c r="A4386" s="7" t="n">
        <v>19101</v>
      </c>
      <c r="B4386" s="7" t="n">
        <v>1123772</v>
      </c>
      <c r="C4386" s="7" t="n">
        <v>651025</v>
      </c>
      <c r="D4386" s="7" t="n">
        <v>57679</v>
      </c>
      <c r="E4386" s="8" t="n">
        <v>40348</v>
      </c>
      <c r="F4386" s="7" t="n">
        <v>5</v>
      </c>
      <c r="G4386" s="7" t="inlineStr">
        <is>
          <t>First of all, I live in Florida and key lime pie is a staple on the dessert menu at many restaurants here...my experience with key lime pie is that I either love it or hate it depending on how its made but I had never made my own. Most of the key lime pie I have eaten here in FL is either way too tart for my taste or it has the texture of flan and I really hate flan! So in looking for a recipe that would have that certain creaminess with the right balance of tart and sweet, I decided to give this recipe a try. Let me say, I dont think I will have to look any further for my favorite key lime pie recipe! This recipe has it all...fast, easy, short ingredient list and DELICIOUS results. The only thing I did want to mention is that this recipe does not produce enough filling to fill a 9 inch pie crust. I had approximately 1 inch of bare crust around the pie. I proceeded to fill this 1 inch of bare space with whipped cream for serving, but in the future, I will use a smaller crust. I imagine this would be wonderful with the ginger snap crust someone mentioned or a crust made out of those Lorna Doone cookies! Thanks for a great recipe that was super easy to make!</t>
        </is>
      </c>
    </row>
    <row r="4387">
      <c r="A4387" s="7" t="n">
        <v>28761</v>
      </c>
      <c r="B4387" s="7" t="n">
        <v>696469</v>
      </c>
      <c r="C4387" s="7" t="n">
        <v>21443</v>
      </c>
      <c r="D4387" s="7" t="n">
        <v>113109</v>
      </c>
      <c r="E4387" s="8" t="n">
        <v>38615</v>
      </c>
      <c r="F4387" s="7" t="n">
        <v>4</v>
      </c>
      <c r="G4387" s="7" t="inlineStr">
        <is>
          <t>This is a very moist and tasty cookie that my entire family enjoyed...my husband wasn't sure at first, when I told him it had apple and chocolate chips in it..(he's a bit of a fruit phobic guy...)---he loved them too once he tried them.  Thanks</t>
        </is>
      </c>
    </row>
    <row r="4388">
      <c r="A4388" s="7" t="n">
        <v>114504</v>
      </c>
      <c r="B4388" s="7" t="n">
        <v>569513</v>
      </c>
      <c r="C4388" s="7" t="n">
        <v>198059</v>
      </c>
      <c r="D4388" s="7" t="n">
        <v>372087</v>
      </c>
      <c r="E4388" s="8" t="n">
        <v>42338</v>
      </c>
      <c r="F4388" s="7" t="n">
        <v>5</v>
      </c>
      <c r="G4388" s="7" t="inlineStr">
        <is>
          <t>These are delicious!  The baking bug bit my nine year old daughter but we were out of eggs.  No problem!  I searched Google for &amp;quot;cookie recipe no eggs&amp;quot; and this was one of the top hits.  We made them exactly as instructed and they turned out brilliantly.</t>
        </is>
      </c>
    </row>
    <row r="4389">
      <c r="A4389" s="7" t="n">
        <v>48752</v>
      </c>
      <c r="B4389" s="7" t="n">
        <v>415272</v>
      </c>
      <c r="C4389" s="7" t="n">
        <v>210117</v>
      </c>
      <c r="D4389" s="7" t="n">
        <v>92058</v>
      </c>
      <c r="E4389" s="8" t="n">
        <v>40343</v>
      </c>
      <c r="F4389" s="7" t="n">
        <v>5</v>
      </c>
      <c r="G4389" s="7" t="inlineStr">
        <is>
          <t>Great dish....quick to make, a good combination!</t>
        </is>
      </c>
    </row>
    <row r="4390">
      <c r="A4390" s="7" t="n">
        <v>10219</v>
      </c>
      <c r="B4390" s="7" t="n">
        <v>140750</v>
      </c>
      <c r="C4390" s="7" t="n">
        <v>414666</v>
      </c>
      <c r="D4390" s="7" t="n">
        <v>69854</v>
      </c>
      <c r="E4390" s="8" t="n">
        <v>39286</v>
      </c>
      <c r="F4390" s="7" t="n">
        <v>5</v>
      </c>
      <c r="G4390" s="7" t="inlineStr">
        <is>
          <t>now this was a dish for my father...the king of cobblers gave this a 3 thumbs up!</t>
        </is>
      </c>
    </row>
    <row r="4391">
      <c r="A4391" s="7" t="n">
        <v>21606</v>
      </c>
      <c r="B4391" s="7" t="n">
        <v>523479</v>
      </c>
      <c r="C4391" s="7" t="n">
        <v>67728</v>
      </c>
      <c r="D4391" s="7" t="n">
        <v>132335</v>
      </c>
      <c r="E4391" s="8" t="n">
        <v>38918</v>
      </c>
      <c r="F4391" s="7" t="n">
        <v>5</v>
      </c>
      <c r="G4391" s="7" t="inlineStr">
        <is>
          <t>This was so good! Nice and light, and no hot kitchen to boot! I used sugar free Cool Whip, skim milk, fat and sugar free white chocolate pudding, and unsalted saltines. I added a packet of True Lemon to the fluffy stuff, since lately I've been adding it to just about everything! I also added some sliced strawberries to the layers, because I had a lot of strawberries to use up. I love the way the saltines soften into a crust! I'll definitely be making this again! Thanks for posting!</t>
        </is>
      </c>
    </row>
    <row r="4392">
      <c r="A4392" s="7" t="n">
        <v>98376</v>
      </c>
      <c r="B4392" s="7" t="n">
        <v>721703</v>
      </c>
      <c r="C4392" s="7" t="n">
        <v>1072593</v>
      </c>
      <c r="D4392" s="7" t="n">
        <v>174635</v>
      </c>
      <c r="E4392" s="8" t="n">
        <v>40010</v>
      </c>
      <c r="F4392" s="7" t="n">
        <v>5</v>
      </c>
      <c r="G4392" s="7" t="inlineStr">
        <is>
          <t>When I tagged for PRMR, I knew exactly for which I wanted to use add this--homemade chutney.  Exotic, fragrant and flavorful...yep, the spice is right!</t>
        </is>
      </c>
    </row>
    <row r="4393">
      <c r="A4393" s="7" t="n">
        <v>72068</v>
      </c>
      <c r="B4393" s="7" t="n">
        <v>242077</v>
      </c>
      <c r="C4393" s="7" t="n">
        <v>140132</v>
      </c>
      <c r="D4393" s="7" t="n">
        <v>28559</v>
      </c>
      <c r="E4393" s="8" t="n">
        <v>40156</v>
      </c>
      <c r="F4393" s="7" t="n">
        <v>4</v>
      </c>
      <c r="G4393" s="7" t="inlineStr">
        <is>
          <t>This is such a simple recipe to follow.  I love cottage cheese in our lasagna and this is great.  I will use this recipe often.  Thank you so much for sharing.</t>
        </is>
      </c>
    </row>
    <row r="4394">
      <c r="A4394" s="7" t="n">
        <v>53593</v>
      </c>
      <c r="B4394" s="7" t="n">
        <v>3322</v>
      </c>
      <c r="C4394" s="7" t="n">
        <v>57042</v>
      </c>
      <c r="D4394" s="7" t="n">
        <v>112973</v>
      </c>
      <c r="E4394" s="8" t="n">
        <v>39148</v>
      </c>
      <c r="F4394" s="7" t="n">
        <v>5</v>
      </c>
      <c r="G4394" s="7" t="inlineStr">
        <is>
          <t>I gave this 5 stars. My family loves mashed potatoes. I make mine very close to this except I use milk and black pepper. Thanks for posting a comfort recipe! Christine (internetnut)</t>
        </is>
      </c>
    </row>
    <row r="4395">
      <c r="A4395" t="n">
        <v>49666</v>
      </c>
      <c r="B4395" t="n">
        <v>481523</v>
      </c>
      <c r="C4395" t="n">
        <v>1535</v>
      </c>
      <c r="D4395" t="n">
        <v>119735</v>
      </c>
      <c r="E4395" s="1" t="n">
        <v>38759</v>
      </c>
      <c r="F4395" t="n">
        <v>5</v>
      </c>
      <c r="G4395" t="inlineStr">
        <is>
          <t>10 stars all the way!!! It was cold and snowy today so I wanted to make a special treat. I made an excellent choice when I picked this to be it! This is my new pamper-myself hot beverage. Thanks so very much for sharing this fantastic recipe!</t>
        </is>
      </c>
    </row>
    <row r="4396">
      <c r="A4396" s="7" t="n">
        <v>15690</v>
      </c>
      <c r="B4396" s="7" t="n">
        <v>1126354</v>
      </c>
      <c r="C4396" s="7" t="n">
        <v>301040</v>
      </c>
      <c r="D4396" s="7" t="n">
        <v>383890</v>
      </c>
      <c r="E4396" s="8" t="n">
        <v>40433</v>
      </c>
      <c r="F4396" s="7" t="n">
        <v>5</v>
      </c>
      <c r="G4396" s="7" t="inlineStr">
        <is>
          <t>Great recipe ! The old way seemed to take hours and if you let it go too long it developed a nasty burned taste. You had to start over from scratch. This way you have more control. And it freezes with no loss of deep flavor it has.</t>
        </is>
      </c>
    </row>
    <row r="4397">
      <c r="A4397" s="7" t="n">
        <v>121512</v>
      </c>
      <c r="B4397" s="7" t="n">
        <v>96661</v>
      </c>
      <c r="C4397" s="7" t="n">
        <v>28636</v>
      </c>
      <c r="D4397" s="7" t="n">
        <v>145785</v>
      </c>
      <c r="E4397" s="8" t="n">
        <v>39851</v>
      </c>
      <c r="F4397" s="7" t="n">
        <v>5</v>
      </c>
      <c r="G4397" s="7" t="inlineStr">
        <is>
          <t>Delicious casserole!  The family enjoyed it topped with with sour cream and picante sauce.  I used 2 eggs in place of the egg substitue, an etire 4.5 ounce can of green chilies and leftover bbq chicken (meat from 2 breasts and 2 legs).  It was very much like a "cheaters" tamale.  I'll make this one again and will take it to a potluck because you are right - it would server a crowd!  Thanks Little Bee.</t>
        </is>
      </c>
    </row>
    <row r="4398">
      <c r="A4398" s="7" t="n">
        <v>40490</v>
      </c>
      <c r="B4398" s="7" t="n">
        <v>381186</v>
      </c>
      <c r="C4398" s="7" t="n">
        <v>173880</v>
      </c>
      <c r="D4398" s="7" t="n">
        <v>152052</v>
      </c>
      <c r="E4398" s="8" t="n">
        <v>39231</v>
      </c>
      <c r="F4398" s="7" t="n">
        <v>4</v>
      </c>
      <c r="G4398" s="7" t="inlineStr">
        <is>
          <t>Wonderful creamy sauce without using any milk or cream! You definitely have to serve it immediately (or reheat it) because as the sauce cools it gets a little clumpy....but it still tastes great! I added in some green peas at the end!</t>
        </is>
      </c>
    </row>
    <row r="4399">
      <c r="A4399" s="7" t="n">
        <v>42765</v>
      </c>
      <c r="B4399" s="7" t="n">
        <v>30348</v>
      </c>
      <c r="C4399" s="7" t="n">
        <v>2000810950</v>
      </c>
      <c r="D4399" s="7" t="n">
        <v>414542</v>
      </c>
      <c r="E4399" s="8" t="n">
        <v>42379</v>
      </c>
      <c r="F4399" s="7" t="n">
        <v>4</v>
      </c>
      <c r="G4399" s="7" t="inlineStr">
        <is>
          <t>Baking POWDER listed in recipe, baking SODA mentioned in directions... I used baking powder and they were fine.  Nice, light scone!</t>
        </is>
      </c>
    </row>
    <row r="4400">
      <c r="A4400" s="7" t="n">
        <v>82172</v>
      </c>
      <c r="B4400" s="7" t="n">
        <v>748553</v>
      </c>
      <c r="C4400" s="7" t="n">
        <v>396103</v>
      </c>
      <c r="D4400" s="7" t="n">
        <v>99272</v>
      </c>
      <c r="E4400" s="8" t="n">
        <v>41370</v>
      </c>
      <c r="F4400" s="7" t="n">
        <v>4</v>
      </c>
      <c r="G4400" s="7" t="inlineStr">
        <is>
          <t>These were good. I added a few tbs of sour cream to the glaze to take away some of the sweet. My son with Autism gagged when he ate them because they have a different texture than the cinnamon rolls in a can, but my daughters loved them and so did my husband,</t>
        </is>
      </c>
    </row>
    <row r="4401">
      <c r="A4401" s="7" t="n">
        <v>15613</v>
      </c>
      <c r="B4401" s="7" t="n">
        <v>820355</v>
      </c>
      <c r="C4401" s="7" t="n">
        <v>45524</v>
      </c>
      <c r="D4401" s="7" t="n">
        <v>326702</v>
      </c>
      <c r="E4401" s="8" t="n">
        <v>40036</v>
      </c>
      <c r="F4401" s="7" t="n">
        <v>5</v>
      </c>
      <c r="G4401" s="7" t="inlineStr">
        <is>
          <t>These were great! I used fresh lemon juice and added some of the zest as well for extra lemon flavour. These were enjoyed by everyone who tried them.</t>
        </is>
      </c>
    </row>
    <row r="4402">
      <c r="A4402" s="7" t="n">
        <v>26024</v>
      </c>
      <c r="B4402" s="7" t="n">
        <v>266315</v>
      </c>
      <c r="C4402" s="7" t="n">
        <v>2001635045</v>
      </c>
      <c r="D4402" s="7" t="n">
        <v>107786</v>
      </c>
      <c r="E4402" s="8" t="n">
        <v>42936</v>
      </c>
      <c r="F4402" s="7" t="n">
        <v>5</v>
      </c>
      <c r="G4402" s="7" t="inlineStr">
        <is>
          <t>This recipe is amazing! very first time cooking rips and i followed the directions very closely, as much as I could.. And they turned out looking and tasting good. Everyone had happy belly's in my house last night!</t>
        </is>
      </c>
    </row>
    <row r="4403">
      <c r="A4403" s="7" t="n">
        <v>23398</v>
      </c>
      <c r="B4403" s="7" t="n">
        <v>406469</v>
      </c>
      <c r="C4403" s="7" t="n">
        <v>165217</v>
      </c>
      <c r="D4403" s="7" t="n">
        <v>145119</v>
      </c>
      <c r="E4403" s="8" t="n">
        <v>40625</v>
      </c>
      <c r="F4403" s="7" t="n">
        <v>0</v>
      </c>
      <c r="G4403" s="7" t="inlineStr">
        <is>
          <t>This recipe was created by Todd Wilbur for his book "Top Secret Restaurant Recipes 2" (Penguin/Putnam)</t>
        </is>
      </c>
    </row>
    <row r="4404">
      <c r="A4404" s="7" t="n">
        <v>103230</v>
      </c>
      <c r="B4404" s="7" t="n">
        <v>598756</v>
      </c>
      <c r="C4404" s="7" t="n">
        <v>358698</v>
      </c>
      <c r="D4404" s="7" t="n">
        <v>128703</v>
      </c>
      <c r="E4404" s="8" t="n">
        <v>40888</v>
      </c>
      <c r="F4404" s="7" t="n">
        <v>5</v>
      </c>
      <c r="G4404" s="7" t="inlineStr">
        <is>
          <t>Can't believe I get to be first reviewer for one of Kittencal's recipes!  An honor.  This is chocolate peppermint nirvana.  Love at first bite.  I made a double recipe in a 15x10 jelly roll pan and it worked fine.  Bottom is a bit like a fudgy brownie.  Next time I may try baking the bottom a bit longer to firm it up.  Chill completely before cutting.  I will be keeping these cold.  GREAT for Christmas!  Thanks for another winer, Kitten.  ~ Messy</t>
        </is>
      </c>
    </row>
    <row r="4405">
      <c r="A4405" s="7" t="n">
        <v>17290</v>
      </c>
      <c r="B4405" s="7" t="n">
        <v>332338</v>
      </c>
      <c r="C4405" s="7" t="n">
        <v>1439877</v>
      </c>
      <c r="D4405" s="7" t="n">
        <v>306189</v>
      </c>
      <c r="E4405" s="8" t="n">
        <v>41260</v>
      </c>
      <c r="F4405" s="7" t="n">
        <v>0</v>
      </c>
      <c r="G4405" s="7" t="inlineStr">
        <is>
          <t>I will be baking this Butter Rum Cake for Christmas 2012, but I will use my HUGE 15-cup Bundt cake pan, to make sure the batter doesn't overflow, &amp; I will also be adding some candied orange peel (1/4 cup), candied lemon peel (1/4 cup), &amp; some raisins (1/4 cup) soaked in rum, to the batter, which will increase the total amount of batter to fill the HUGE 15-cup Bundt cake pan. I remember having such a cake when I was a teenager, &amp; the family that invited my family for Christmas dinner, in Montreal, Canada, said it was a British Christmas Rum Cake, &amp; it wasn't shaped like a Bundt Cake, but was shaped like a traditional British Christmas cake ... a single layer, tall, 9-inch round cake, much like a British fruit cake, or a British Dundee cake.</t>
        </is>
      </c>
    </row>
    <row r="4406">
      <c r="A4406" s="7" t="n">
        <v>98094</v>
      </c>
      <c r="B4406" s="7" t="n">
        <v>1005872</v>
      </c>
      <c r="C4406" s="7" t="n">
        <v>2312</v>
      </c>
      <c r="D4406" s="7" t="n">
        <v>10620</v>
      </c>
      <c r="E4406" s="8" t="n">
        <v>37299</v>
      </c>
      <c r="F4406" s="7" t="n">
        <v>5</v>
      </c>
      <c r="G4406" s="7" t="inlineStr">
        <is>
          <t>A big hit at a Mexican themed party I had.  I used these baby sweet peppers (red, orange and yellow) that you can get at costco, so they were bite-size.  I sliced them lengthwise and stuffed them. I used Mexican chese instead of chedder, but I think next time I'll use cheddar. I broiled them for 15 minutes.  They were so beautiful...</t>
        </is>
      </c>
    </row>
    <row r="4407">
      <c r="A4407" s="7" t="n">
        <v>102934</v>
      </c>
      <c r="B4407" s="7" t="n">
        <v>829740</v>
      </c>
      <c r="C4407" s="7" t="n">
        <v>123871</v>
      </c>
      <c r="D4407" s="7" t="n">
        <v>48494</v>
      </c>
      <c r="E4407" s="8" t="n">
        <v>40897</v>
      </c>
      <c r="F4407" s="7" t="n">
        <v>5</v>
      </c>
      <c r="G4407" s="7" t="inlineStr">
        <is>
          <t>These were really good. I used hash brown potatoes to make it easier. I ended up frying them because I had the time and my husband likes them that way. Very easy and good!</t>
        </is>
      </c>
    </row>
    <row r="4408">
      <c r="A4408" s="7" t="n">
        <v>36417</v>
      </c>
      <c r="B4408" s="7" t="n">
        <v>857989</v>
      </c>
      <c r="C4408" s="7" t="n">
        <v>876577</v>
      </c>
      <c r="D4408" s="7" t="n">
        <v>196324</v>
      </c>
      <c r="E4408" s="8" t="n">
        <v>40380</v>
      </c>
      <c r="F4408" s="7" t="n">
        <v>5</v>
      </c>
      <c r="G4408" s="7" t="inlineStr">
        <is>
          <t>I don't like eggplant.  I REALLY REALLY enjoyed this recipe!  The reviews that say "too sour"  I could see that.  If you don't like the flavor of vinegar, I would cut it a little bit - or use rice wine vinegar that is a little less sour.  When I do this recipe again (which will probably be tomorrow because 4 Cups of eggplant was only about half the eggplant!) I am going to try a little hoisin too.  I could see fresh ginger too as interesting variations.&lt;br/&gt;&lt;br/&gt;The other note is that "2x2" is only two dimensions on a three dimensional object!  I cut it about 1 inch thick and it kept its meatiness without being hard or tough.</t>
        </is>
      </c>
    </row>
    <row r="4409">
      <c r="A4409" s="7" t="n">
        <v>121608</v>
      </c>
      <c r="B4409" s="7" t="n">
        <v>340738</v>
      </c>
      <c r="C4409" s="7" t="n">
        <v>460854</v>
      </c>
      <c r="D4409" s="7" t="n">
        <v>136589</v>
      </c>
      <c r="E4409" s="8" t="n">
        <v>40153</v>
      </c>
      <c r="F4409" s="7" t="n">
        <v>5</v>
      </c>
      <c r="G4409" s="7" t="inlineStr">
        <is>
          <t>OH MY!!! What a lovely cake!!! I made it first for a potluck and have since been requested to make it again and again.  I have even been asked for the recipe! :) The only thing I do differently is the topping: instead of the sugar topping, I just spread some Dulce de Leche on top while the cake is still warm and then let it cool.  The result is a lovely, thin, caramel topping. DELISH!</t>
        </is>
      </c>
    </row>
    <row r="4410">
      <c r="A4410" s="7" t="n">
        <v>8948</v>
      </c>
      <c r="B4410" s="7" t="n">
        <v>577495</v>
      </c>
      <c r="C4410" s="7" t="n">
        <v>113941</v>
      </c>
      <c r="D4410" s="7" t="n">
        <v>29636</v>
      </c>
      <c r="E4410" s="8" t="n">
        <v>40029</v>
      </c>
      <c r="F4410" s="7" t="n">
        <v>5</v>
      </c>
      <c r="G4410" s="7" t="inlineStr">
        <is>
          <t>JUST what I needed today!!!!!!!!!! I did the method just slightly different, though. I brewed a cup (6 oz.) of americano yesterday, and when it was just brewed and hot, I added the sugar so it would dissolve nicely. I popped that into the fridge to chill. Since it was way too late in the day for caffeine for me, I finished it today and it was so nice to have all ready to go! Just added the milk and a 1/2 tsp. vanilla, stirred, poured over ice and enjoyed!!! Wah-lah! :) Next time, I might sneak in a lil chocolate! :) Thanks, Karen! :)</t>
        </is>
      </c>
    </row>
    <row r="4411">
      <c r="A4411" s="7" t="n">
        <v>75048</v>
      </c>
      <c r="B4411" s="7" t="n">
        <v>503685</v>
      </c>
      <c r="C4411" s="7" t="n">
        <v>2219259</v>
      </c>
      <c r="D4411" s="7" t="n">
        <v>192940</v>
      </c>
      <c r="E4411" s="8" t="n">
        <v>41023</v>
      </c>
      <c r="F4411" s="7" t="n">
        <v>5</v>
      </c>
      <c r="G4411" s="7" t="inlineStr">
        <is>
          <t>DH and I absolutely LOVED this recipe.  I had regular basil on hand, so I didn't splurge for Thai basil in the rice-- I also added shredded coconut to the rice (we looooove coconut).  My husband has requested this 3 times since I first made it a month ago.  We're going to the beach next week with a group of families-- we each are taking a night to cook.  I am going to make this delicious chicken again.  I'm sure it will be gobbled up.  Thanks for the wonderful recipe!</t>
        </is>
      </c>
    </row>
    <row r="4412">
      <c r="A4412" s="7" t="n">
        <v>7292</v>
      </c>
      <c r="B4412" s="7" t="n">
        <v>129381</v>
      </c>
      <c r="C4412" s="7" t="n">
        <v>589009</v>
      </c>
      <c r="D4412" s="7" t="n">
        <v>45207</v>
      </c>
      <c r="E4412" s="8" t="n">
        <v>39464</v>
      </c>
      <c r="F4412" s="7" t="n">
        <v>5</v>
      </c>
      <c r="G4412" s="7" t="inlineStr">
        <is>
          <t>Thanks Podapo, for this wonderful recipe. My family just love it. I baked it one morning at breakfast and they just ate the rolls and skip all the other food at breakfast time. I like the dough,when it's baked,flaky and soft. Does it have something to do with leaving it overnight inside the refrigerator?  For topping:i just added sugar syrup boiled with a little cinnamon powder,a little butter and some chopped walnuts until syrupy in consistency. Easy to make and Delicious! Thanks...</t>
        </is>
      </c>
    </row>
    <row r="4413">
      <c r="A4413" s="7" t="n">
        <v>9152</v>
      </c>
      <c r="B4413" s="7" t="n">
        <v>663986</v>
      </c>
      <c r="C4413" s="7" t="n">
        <v>1845686</v>
      </c>
      <c r="D4413" s="7" t="n">
        <v>74512</v>
      </c>
      <c r="E4413" s="8" t="n">
        <v>40608</v>
      </c>
      <c r="F4413" s="7" t="n">
        <v>0</v>
      </c>
      <c r="G4413" s="7" t="inlineStr">
        <is>
          <t>Try using 1lb. of breakfast roll sausage for more flavorful dumps!</t>
        </is>
      </c>
    </row>
    <row r="4414">
      <c r="A4414" t="n">
        <v>115819</v>
      </c>
      <c r="B4414" t="n">
        <v>566804</v>
      </c>
      <c r="C4414" t="n">
        <v>58941</v>
      </c>
      <c r="D4414" t="n">
        <v>173691</v>
      </c>
      <c r="E4414" s="1" t="n">
        <v>39696</v>
      </c>
      <c r="F4414" t="n">
        <v>5</v>
      </c>
      <c r="G4414" t="inlineStr">
        <is>
          <t>I made these tonight.  I have a history of screwing up recipes, but this turned out great.  Next time I am going to make the icing with unsalted butter because I am not a huge buttery icing fan, but I will definitely be making again in the near future.  Thanks for the great recipe.</t>
        </is>
      </c>
    </row>
    <row r="4415">
      <c r="A4415" s="7" t="n">
        <v>99575</v>
      </c>
      <c r="B4415" s="7" t="n">
        <v>343101</v>
      </c>
      <c r="C4415" s="7" t="n">
        <v>2863653</v>
      </c>
      <c r="D4415" s="7" t="n">
        <v>47069</v>
      </c>
      <c r="E4415" s="8" t="n">
        <v>41439</v>
      </c>
      <c r="F4415" s="7" t="n">
        <v>5</v>
      </c>
      <c r="G4415" s="7" t="inlineStr">
        <is>
          <t>Great recipe! First time making jalebi for me, and this recipe exceeded my expectations by miles. Am working on perfecting this recipe, and have to admit, I&amp;#039;m getting pretty good! Thank you so much! God bless!</t>
        </is>
      </c>
    </row>
    <row r="4416">
      <c r="A4416" s="7" t="n">
        <v>17865</v>
      </c>
      <c r="B4416" s="7" t="n">
        <v>979164</v>
      </c>
      <c r="C4416" s="7" t="n">
        <v>129958</v>
      </c>
      <c r="D4416" s="7" t="n">
        <v>111188</v>
      </c>
      <c r="E4416" s="8" t="n">
        <v>38937</v>
      </c>
      <c r="F4416" s="7" t="n">
        <v>4</v>
      </c>
      <c r="G4416" s="7" t="inlineStr">
        <is>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is>
      </c>
    </row>
    <row r="4417">
      <c r="A4417" t="n">
        <v>91051</v>
      </c>
      <c r="B4417" t="n">
        <v>474529</v>
      </c>
      <c r="C4417" t="n">
        <v>6357</v>
      </c>
      <c r="D4417" t="n">
        <v>41897</v>
      </c>
      <c r="E4417" s="1" t="n">
        <v>38293</v>
      </c>
      <c r="F4417" t="n">
        <v>5</v>
      </c>
      <c r="G4417" t="inlineStr">
        <is>
          <t>I made these with Glucose biscuits, simple and fun!</t>
        </is>
      </c>
    </row>
    <row r="4418">
      <c r="A4418" s="7" t="n">
        <v>51920</v>
      </c>
      <c r="B4418" s="7" t="n">
        <v>487374</v>
      </c>
      <c r="C4418" s="7" t="n">
        <v>2691076</v>
      </c>
      <c r="D4418" s="7" t="n">
        <v>88410</v>
      </c>
      <c r="E4418" s="8" t="n">
        <v>41317</v>
      </c>
      <c r="F4418" s="7" t="n">
        <v>5</v>
      </c>
      <c r="G4418" s="7" t="inlineStr">
        <is>
          <t>This recipe turned out amazing! I doubled the Worcester sauce and added a tablespoon of mustard for good measure and we honestly can hardly tell the difference between this and regular meatloaf. Awesome.</t>
        </is>
      </c>
    </row>
    <row r="4419">
      <c r="A4419" s="7" t="n">
        <v>2879</v>
      </c>
      <c r="B4419" s="7" t="n">
        <v>1022983</v>
      </c>
      <c r="C4419" s="7" t="n">
        <v>219291</v>
      </c>
      <c r="D4419" s="7" t="n">
        <v>117723</v>
      </c>
      <c r="E4419" s="8" t="n">
        <v>38647</v>
      </c>
      <c r="F4419" s="7" t="n">
        <v>5</v>
      </c>
      <c r="G4419" s="7" t="inlineStr">
        <is>
          <t>wonderful recipe.  i have made it several times now and it always is amazingly good.  i follow the recipe exactly...but top with salsa.  made for a brunch at work one day and everyone loved it.  thank you for sharing this.</t>
        </is>
      </c>
    </row>
    <row r="4420">
      <c r="A4420" s="7" t="n">
        <v>16487</v>
      </c>
      <c r="B4420" s="7" t="n">
        <v>98838</v>
      </c>
      <c r="C4420" s="7" t="n">
        <v>794029</v>
      </c>
      <c r="D4420" s="7" t="n">
        <v>42038</v>
      </c>
      <c r="E4420" s="8" t="n">
        <v>42571</v>
      </c>
      <c r="F4420" s="7" t="n">
        <v>5</v>
      </c>
      <c r="G4420" s="7" t="inlineStr">
        <is>
          <t>Made exactly as written and it was delicious over blueberry pancakes, though it did take a bit longer than expected to become &amp;quot;syrupy&amp;quot; (~20 minutes). My personal preference is to have a slightly thicker sauce, rather than a true syrup, so I will add a cornstarch slurry to it in the future, but that's the only change I'll make as I make it again and again.</t>
        </is>
      </c>
    </row>
    <row r="4421">
      <c r="A4421" s="7" t="n">
        <v>32281</v>
      </c>
      <c r="B4421" s="7" t="n">
        <v>142555</v>
      </c>
      <c r="C4421" s="7" t="n">
        <v>446143</v>
      </c>
      <c r="D4421" s="7" t="n">
        <v>133211</v>
      </c>
      <c r="E4421" s="8" t="n">
        <v>39160</v>
      </c>
      <c r="F4421" s="7" t="n">
        <v>5</v>
      </c>
      <c r="G4421" s="7" t="inlineStr">
        <is>
          <t>Wonderful!  Simple, tasty, fun, and easy enough to make healthier if you wanted.  Great recipe.  I spread peanut butter on these for my husband.  He liked them plain and with the syrup.  Thanks Kree!</t>
        </is>
      </c>
    </row>
    <row r="4422">
      <c r="A4422" s="7" t="n">
        <v>104749</v>
      </c>
      <c r="B4422" s="7" t="n">
        <v>157751</v>
      </c>
      <c r="C4422" s="7" t="n">
        <v>226066</v>
      </c>
      <c r="D4422" s="7" t="n">
        <v>46967</v>
      </c>
      <c r="E4422" s="8" t="n">
        <v>39884</v>
      </c>
      <c r="F4422" s="7" t="n">
        <v>5</v>
      </c>
      <c r="G4422" s="7" t="inlineStr">
        <is>
          <t>What's not to love! Pasta, beef, salsa and lots of cheese!! Very filling and very comforting food! Thanks Karen! ;)</t>
        </is>
      </c>
    </row>
    <row r="4423">
      <c r="A4423" s="7" t="n">
        <v>104597</v>
      </c>
      <c r="B4423" s="7" t="n">
        <v>744479</v>
      </c>
      <c r="C4423" s="7" t="n">
        <v>37449</v>
      </c>
      <c r="D4423" s="7" t="n">
        <v>172116</v>
      </c>
      <c r="E4423" s="8" t="n">
        <v>39023</v>
      </c>
      <c r="F4423" s="7" t="n">
        <v>5</v>
      </c>
      <c r="G4423" s="7" t="inlineStr">
        <is>
          <t>Mmm, very tasty! I used raspberry syrup instead of the liqueur and it worked nicely. I can see how the alcohol would give it an added kick! Thanks Susie!</t>
        </is>
      </c>
    </row>
    <row r="4424">
      <c r="A4424" s="7" t="n">
        <v>7940</v>
      </c>
      <c r="B4424" s="7" t="n">
        <v>63214</v>
      </c>
      <c r="C4424" s="7" t="n">
        <v>315565</v>
      </c>
      <c r="D4424" s="7" t="n">
        <v>114709</v>
      </c>
      <c r="E4424" s="8" t="n">
        <v>39328</v>
      </c>
      <c r="F4424" s="7" t="n">
        <v>5</v>
      </c>
      <c r="G4424" s="7" t="inlineStr">
        <is>
          <t>This was such a success !! I was so nervous doing it as I am not an experienced breadmaker but it was easy and worked out so well -  great recipe and great instructions - thanks momaphet</t>
        </is>
      </c>
    </row>
    <row r="4425">
      <c r="A4425" s="7" t="n">
        <v>120656</v>
      </c>
      <c r="B4425" s="7" t="n">
        <v>655568</v>
      </c>
      <c r="C4425" s="7" t="n">
        <v>89831</v>
      </c>
      <c r="D4425" s="7" t="n">
        <v>275943</v>
      </c>
      <c r="E4425" s="8" t="n">
        <v>39713</v>
      </c>
      <c r="F4425" s="7" t="n">
        <v>5</v>
      </c>
      <c r="G4425" s="7" t="inlineStr">
        <is>
          <t>I made this to go in a take-home pack for my sweet tooth son, this set nicely, you need to have a sweet tooth for this as it is very rich and sweet but no complaints from my son he loved it, thanks for sharing Mary!</t>
        </is>
      </c>
    </row>
    <row r="4426">
      <c r="A4426" s="7" t="n">
        <v>15754</v>
      </c>
      <c r="B4426" s="7" t="n">
        <v>608910</v>
      </c>
      <c r="C4426" s="7" t="n">
        <v>80353</v>
      </c>
      <c r="D4426" s="7" t="n">
        <v>59356</v>
      </c>
      <c r="E4426" s="8" t="n">
        <v>39617</v>
      </c>
      <c r="F4426" s="7" t="n">
        <v>5</v>
      </c>
      <c r="G4426" s="7" t="inlineStr">
        <is>
          <t>Love Caipirinhas!  I don't know how many I've tried since we got to Central/South America - I just hope my bottle of cachaca holds out!  Delicious, Rita.</t>
        </is>
      </c>
    </row>
    <row r="4427">
      <c r="A4427" s="7" t="n">
        <v>42214</v>
      </c>
      <c r="B4427" s="7" t="n">
        <v>954666</v>
      </c>
      <c r="C4427" s="7" t="n">
        <v>1802589172</v>
      </c>
      <c r="D4427" s="7" t="n">
        <v>138031</v>
      </c>
      <c r="E4427" s="8" t="n">
        <v>41721</v>
      </c>
      <c r="F4427" s="7" t="n">
        <v>4</v>
      </c>
      <c r="G4427" s="7" t="inlineStr">
        <is>
          <t>This is a great, easy veggie soup recipe! I used sweet potato and added jalape&amp;ntilde;o for some kick. I am already thinking about the next batch. Thanks for posting!</t>
        </is>
      </c>
    </row>
    <row r="4428">
      <c r="A4428" s="7" t="n">
        <v>24869</v>
      </c>
      <c r="B4428" s="7" t="n">
        <v>815387</v>
      </c>
      <c r="C4428" s="7" t="n">
        <v>163112</v>
      </c>
      <c r="D4428" s="7" t="n">
        <v>16067</v>
      </c>
      <c r="E4428" s="8" t="n">
        <v>38617</v>
      </c>
      <c r="F4428" s="7" t="n">
        <v>5</v>
      </c>
      <c r="G4428" s="7" t="inlineStr">
        <is>
          <t>This was really good &amp; I'm always happy to find a different way to prepare veggies.  I was out (gasp) of craisins so I used currants &amp; it was still fab.  This might make a holiday meal...  Thank you!</t>
        </is>
      </c>
    </row>
    <row r="4429">
      <c r="A4429" s="7" t="n">
        <v>103136</v>
      </c>
      <c r="B4429" s="7" t="n">
        <v>747174</v>
      </c>
      <c r="C4429" s="7" t="n">
        <v>356850</v>
      </c>
      <c r="D4429" s="7" t="n">
        <v>263265</v>
      </c>
      <c r="E4429" s="8" t="n">
        <v>41595</v>
      </c>
      <c r="F4429" s="7" t="n">
        <v>5</v>
      </c>
      <c r="G4429" s="7" t="inlineStr">
        <is>
          <t>I have never had anything but a wonderful recipe from Kittencal and this is no exception. WONDERFUL. I made the dough recipe and from there made peanut butter rolls with peanut butter of course and mixed with brown sugar. Thanks!!</t>
        </is>
      </c>
    </row>
    <row r="4430">
      <c r="A4430" s="7" t="n">
        <v>79026</v>
      </c>
      <c r="B4430" s="7" t="n">
        <v>387494</v>
      </c>
      <c r="C4430" s="7" t="n">
        <v>176615</v>
      </c>
      <c r="D4430" s="7" t="n">
        <v>224873</v>
      </c>
      <c r="E4430" s="8" t="n">
        <v>39859</v>
      </c>
      <c r="F4430" s="7" t="n">
        <v>5</v>
      </c>
      <c r="G4430" s="7" t="inlineStr">
        <is>
          <t>Loved this! Made for Valentine's Day family fondue night. Used Tillamook sharp cheddar which was fantastic. Be sure to hand grate the cheese, don't use pre-shredded. Served with bread cubes, multigrain and sourdough, rye pretzels, mushrooms cut in half, and baby carrots cut in half. Thanks for sharing the recipe!</t>
        </is>
      </c>
    </row>
    <row r="4431">
      <c r="A4431" s="7" t="n">
        <v>49472</v>
      </c>
      <c r="B4431" s="7" t="n">
        <v>539640</v>
      </c>
      <c r="C4431" s="7" t="n">
        <v>61660</v>
      </c>
      <c r="D4431" s="7" t="n">
        <v>215919</v>
      </c>
      <c r="E4431" s="8" t="n">
        <v>39497</v>
      </c>
      <c r="F4431" s="7" t="n">
        <v>5</v>
      </c>
      <c r="G4431" s="7" t="inlineStr">
        <is>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is>
      </c>
    </row>
    <row r="4432">
      <c r="A4432" s="7" t="n">
        <v>86610</v>
      </c>
      <c r="B4432" s="7" t="n">
        <v>291546</v>
      </c>
      <c r="C4432" s="7" t="n">
        <v>27783</v>
      </c>
      <c r="D4432" s="7" t="n">
        <v>20689</v>
      </c>
      <c r="E4432" s="8" t="n">
        <v>37693</v>
      </c>
      <c r="F4432" s="7" t="n">
        <v>5</v>
      </c>
      <c r="G4432" s="7" t="inlineStr">
        <is>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is>
      </c>
    </row>
    <row r="4433">
      <c r="A4433" s="7" t="n">
        <v>122880</v>
      </c>
      <c r="B4433" s="7" t="n">
        <v>91631</v>
      </c>
      <c r="C4433" s="7" t="n">
        <v>464481</v>
      </c>
      <c r="D4433" s="7" t="n">
        <v>201250</v>
      </c>
      <c r="E4433" s="8" t="n">
        <v>39154</v>
      </c>
      <c r="F4433" s="7" t="n">
        <v>5</v>
      </c>
      <c r="G4433" s="7" t="inlineStr">
        <is>
          <t>this stuff is addicting</t>
        </is>
      </c>
    </row>
    <row r="4434">
      <c r="A4434" s="7" t="n">
        <v>36188</v>
      </c>
      <c r="B4434" s="7" t="n">
        <v>253340</v>
      </c>
      <c r="C4434" s="7" t="n">
        <v>297761</v>
      </c>
      <c r="D4434" s="7" t="n">
        <v>102617</v>
      </c>
      <c r="E4434" s="8" t="n">
        <v>40068</v>
      </c>
      <c r="F4434" s="7" t="n">
        <v>5</v>
      </c>
      <c r="G4434" s="7" t="inlineStr">
        <is>
          <t>Finally, coleslaw that I really like. I loved the finer texture of the slaw and I love anything with lemon juice in it...the only thing I altered in this recipe was that I used heavy cream, as a prior reviewer noted her dressing could have been thicker. I think I would have liked it equally with the lighter cream or milk. No one flavor overpowered the cabbage, which I really appreciated. Usually American coleslaw can have too much celery seed in it, or its bland and is cut too large. This is my forever coleslaw recipe. I could have eaten a huge bowl all by myself. Thanks, Kittencal!</t>
        </is>
      </c>
    </row>
    <row r="4435">
      <c r="A4435" s="7" t="n">
        <v>80493</v>
      </c>
      <c r="B4435" s="7" t="n">
        <v>449937</v>
      </c>
      <c r="C4435" s="7" t="n">
        <v>313694</v>
      </c>
      <c r="D4435" s="7" t="n">
        <v>73224</v>
      </c>
      <c r="E4435" s="8" t="n">
        <v>40100</v>
      </c>
      <c r="F4435" s="7" t="n">
        <v>5</v>
      </c>
      <c r="G4435" s="7" t="inlineStr">
        <is>
          <t>I always trust Kittencal's recipes, but I was holding out on the review until "the day after baking" to see if they would turn hard. And the cookies are perfect! They taste amazing and the chewy texture is such a pleaser. I did add a little bit of pudding mix and white chocolate to my batch.</t>
        </is>
      </c>
    </row>
    <row r="4436">
      <c r="A4436" s="7" t="n">
        <v>115430</v>
      </c>
      <c r="B4436" s="7" t="n">
        <v>91883</v>
      </c>
      <c r="C4436" s="7" t="n">
        <v>1379390</v>
      </c>
      <c r="D4436" s="7" t="n">
        <v>513127</v>
      </c>
      <c r="E4436" s="8" t="n">
        <v>42479</v>
      </c>
      <c r="F4436" s="7" t="n">
        <v>5</v>
      </c>
      <c r="G4436" s="7" t="inlineStr">
        <is>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is>
      </c>
    </row>
    <row r="4437">
      <c r="A4437" s="7" t="n">
        <v>92709</v>
      </c>
      <c r="B4437" s="7" t="n">
        <v>95952</v>
      </c>
      <c r="C4437" s="7" t="n">
        <v>856902</v>
      </c>
      <c r="D4437" s="7" t="n">
        <v>126623</v>
      </c>
      <c r="E4437" s="8" t="n">
        <v>40574</v>
      </c>
      <c r="F4437" s="7" t="n">
        <v>4</v>
      </c>
      <c r="G4437" s="7" t="inlineStr">
        <is>
          <t>Yum!</t>
        </is>
      </c>
    </row>
    <row r="4438">
      <c r="A4438" s="7" t="n">
        <v>26645</v>
      </c>
      <c r="B4438" s="7" t="n">
        <v>308239</v>
      </c>
      <c r="C4438" s="7" t="n">
        <v>371096</v>
      </c>
      <c r="D4438" s="7" t="n">
        <v>198880</v>
      </c>
      <c r="E4438" s="8" t="n">
        <v>39935</v>
      </c>
      <c r="F4438" s="7" t="n">
        <v>5</v>
      </c>
      <c r="G4438" s="7" t="inlineStr">
        <is>
          <t>Delicious! This has an intense ginger flavour, but the sugar removes a great deal of the sharpness. I added 2 full tablespoons of ginger, and I'm glad I did. My bottle seems to have been minimally carbonated, but I only left it for 24 hours. The bottle felt firm, but I definitely should have left it for another day. Regardless of the carbonation, this ginger ale is delicious, and I'll definitely make it again. Thanks for posting, horseplay!</t>
        </is>
      </c>
    </row>
    <row r="4439">
      <c r="A4439" s="7" t="n">
        <v>10780</v>
      </c>
      <c r="B4439" s="7" t="n">
        <v>142838</v>
      </c>
      <c r="C4439" s="7" t="n">
        <v>204024</v>
      </c>
      <c r="D4439" s="7" t="n">
        <v>251053</v>
      </c>
      <c r="E4439" s="8" t="n">
        <v>40022</v>
      </c>
      <c r="F4439" s="7" t="n">
        <v>5</v>
      </c>
      <c r="G4439" s="7" t="inlineStr">
        <is>
          <t>This is an easy and quick way to make iced tea.  I only used 1 teabag because I don't like my tea that strong.  Made for the Summer Comfort Cafe.</t>
        </is>
      </c>
    </row>
    <row r="4440">
      <c r="A4440" s="7" t="n">
        <v>74372</v>
      </c>
      <c r="B4440" s="7" t="n">
        <v>239594</v>
      </c>
      <c r="C4440" s="7" t="n">
        <v>949568</v>
      </c>
      <c r="D4440" s="7" t="n">
        <v>328683</v>
      </c>
      <c r="E4440" s="8" t="n">
        <v>40174</v>
      </c>
      <c r="F4440" s="7" t="n">
        <v>5</v>
      </c>
      <c r="G4440" s="7" t="inlineStr">
        <is>
          <t>ok - splitting the banana that way was just too cool!  It makes it fit on the sandwich beautifully.  I didn't quite toast it long enough, but it was delicious.  Will definitely make it again - a nice quick lunch on a cold day.  Thanks!  Made for the Aus/NZ Make My Recipe Tag 2009.</t>
        </is>
      </c>
    </row>
    <row r="4441">
      <c r="A4441" t="n">
        <v>11315</v>
      </c>
      <c r="B4441" t="n">
        <v>446136</v>
      </c>
      <c r="C4441" t="n">
        <v>113117</v>
      </c>
      <c r="D4441" t="n">
        <v>102642</v>
      </c>
      <c r="E4441" s="1" t="n">
        <v>38462</v>
      </c>
      <c r="F4441" t="n">
        <v>5</v>
      </c>
      <c r="G4441" t="inlineStr">
        <is>
          <t>I love this recipe.  I can't remember where I originally found it but it is has become a favorite.  I use a lot less pasta and usually use shells.</t>
        </is>
      </c>
    </row>
    <row r="4442">
      <c r="A4442" s="7" t="n">
        <v>60458</v>
      </c>
      <c r="B4442" s="7" t="n">
        <v>484370</v>
      </c>
      <c r="C4442" s="7" t="n">
        <v>59064</v>
      </c>
      <c r="D4442" s="7" t="n">
        <v>20019</v>
      </c>
      <c r="E4442" s="8" t="n">
        <v>37823</v>
      </c>
      <c r="F4442" s="7" t="n">
        <v>4</v>
      </c>
      <c r="G4442" s="7" t="inlineStr">
        <is>
          <t>Very nice recipe and very easy. I would use more cream next time as there wasn't quite enough for the celery. The allspice works really well. Very English recipe.</t>
        </is>
      </c>
    </row>
    <row r="4443" ht="409.5" customHeight="1">
      <c r="A4443" t="n">
        <v>47705</v>
      </c>
      <c r="B4443" t="n">
        <v>783843</v>
      </c>
      <c r="C4443" t="n">
        <v>115302</v>
      </c>
      <c r="D4443" t="n">
        <v>133156</v>
      </c>
      <c r="E4443" s="1" t="n">
        <v>39295</v>
      </c>
      <c r="F4443" t="n">
        <v>5</v>
      </c>
      <c r="G4443" s="2" t="inlineStr">
        <is>
          <t>This was wonderful! I stirred the juice of one lemon (I did not measure the juice) into the sage-butter until it became creamy. We had this with our friends from Canada, and we all loved it. We used a pound and a half of asparagus, and there was none left over! This was a very simple recipe. We will have this many times while asparagus is in season.
Last night my husband and I had this again. My, my! We ate a whole pound of asparagus! This is just my favorite way to cook asparagus.</t>
        </is>
      </c>
    </row>
    <row r="4444">
      <c r="A4444" s="7" t="n">
        <v>78373</v>
      </c>
      <c r="B4444" s="7" t="n">
        <v>844396</v>
      </c>
      <c r="C4444" s="7" t="n">
        <v>308765</v>
      </c>
      <c r="D4444" s="7" t="n">
        <v>188462</v>
      </c>
      <c r="E4444" s="8" t="n">
        <v>40203</v>
      </c>
      <c r="F4444" s="7" t="n">
        <v>4</v>
      </c>
      <c r="G4444" s="7" t="inlineStr">
        <is>
          <t>This was good but next time I'd cook for only 4 hours on low.  Most of my gravy evaporated and my meatballs stuck to the sides of the crock.  The sour cream helped remoisturize and it tasted good.</t>
        </is>
      </c>
    </row>
    <row r="4445">
      <c r="A4445" s="7" t="n">
        <v>6030</v>
      </c>
      <c r="B4445" s="7" t="n">
        <v>673263</v>
      </c>
      <c r="C4445" s="7" t="n">
        <v>213139</v>
      </c>
      <c r="D4445" s="7" t="n">
        <v>190099</v>
      </c>
      <c r="E4445" s="8" t="n">
        <v>41487</v>
      </c>
      <c r="F4445" s="7" t="n">
        <v>5</v>
      </c>
      <c r="G4445" s="7" t="inlineStr">
        <is>
          <t>Nice flavor - converted this to gluten free and it was a little crumbly - want to try and make it again to see if i can firm it up a bit - but all in all, I&amp;#039;ve got a nice container of soft bread crumbs which is something I don&amp;#039;t have very often.</t>
        </is>
      </c>
    </row>
    <row r="4446">
      <c r="A4446" s="7" t="n">
        <v>75923</v>
      </c>
      <c r="B4446" s="7" t="n">
        <v>787057</v>
      </c>
      <c r="C4446" s="7" t="n">
        <v>323545</v>
      </c>
      <c r="D4446" s="7" t="n">
        <v>220587</v>
      </c>
      <c r="E4446" s="8" t="n">
        <v>40548</v>
      </c>
      <c r="F4446" s="7" t="n">
        <v>5</v>
      </c>
      <c r="G4446" s="7" t="inlineStr">
        <is>
          <t>This was excellent! We love grilling veggies with olive oil and sea salt in the summer and I was looking for a winter alternative. This fit the bill! Even my picky toddler ate it up!</t>
        </is>
      </c>
    </row>
    <row r="4447">
      <c r="A4447" s="7" t="n">
        <v>56701</v>
      </c>
      <c r="B4447" s="7" t="n">
        <v>206111</v>
      </c>
      <c r="C4447" s="7" t="n">
        <v>80353</v>
      </c>
      <c r="D4447" s="7" t="n">
        <v>290863</v>
      </c>
      <c r="E4447" s="8" t="n">
        <v>40351</v>
      </c>
      <c r="F4447" s="7" t="n">
        <v>5</v>
      </c>
      <c r="G4447" s="7" t="inlineStr">
        <is>
          <t>We are so full!  What a great idea - an EU fry-up!!!  The rosti were great, the sausage was spiced just right and fried egg on fried toast!  Going to run around the block 3 times.  Thanks (I think ;-) ).</t>
        </is>
      </c>
    </row>
    <row r="4448">
      <c r="A4448" s="7" t="n">
        <v>113710</v>
      </c>
      <c r="B4448" s="7" t="n">
        <v>146566</v>
      </c>
      <c r="C4448" s="7" t="n">
        <v>1226398</v>
      </c>
      <c r="D4448" s="7" t="n">
        <v>96505</v>
      </c>
      <c r="E4448" s="8" t="n">
        <v>40566</v>
      </c>
      <c r="F4448" s="7" t="n">
        <v>5</v>
      </c>
      <c r="G4448" s="7" t="inlineStr">
        <is>
          <t>These are incredibly good cookies that store really well.  They have a great chewy texture.  thanks for posting!!</t>
        </is>
      </c>
    </row>
    <row r="4449">
      <c r="A4449" s="7" t="n">
        <v>120350</v>
      </c>
      <c r="B4449" s="7" t="n">
        <v>490854</v>
      </c>
      <c r="C4449" s="7" t="n">
        <v>61569</v>
      </c>
      <c r="D4449" s="7" t="n">
        <v>372145</v>
      </c>
      <c r="E4449" s="8" t="n">
        <v>40072</v>
      </c>
      <c r="F4449" s="7" t="n">
        <v>4</v>
      </c>
      <c r="G4449" s="7" t="inlineStr">
        <is>
          <t>A delicious crab au gratin that is very easy to put together.  It is somewhat similar to some of the deviled crab recipes but unlike deviled version, less spicy.  For this recipe you can certainly use the refrigerated, frozen, or canned version of crab meat.  I added some sliced tomatoes after baking to increase the presentation and also to add textural contrast to this dish.  I think baking the sliced tomatoes for the last 5-10 minutes in the oven will also be very nice.  Thank you for posting this recipe!  Made for Cajun photo tab in the Photo forum.</t>
        </is>
      </c>
    </row>
    <row r="4450">
      <c r="A4450" s="7" t="n">
        <v>119621</v>
      </c>
      <c r="B4450" s="7" t="n">
        <v>681074</v>
      </c>
      <c r="C4450" s="7" t="n">
        <v>953275</v>
      </c>
      <c r="D4450" s="7" t="n">
        <v>108248</v>
      </c>
      <c r="E4450" s="8" t="n">
        <v>39982</v>
      </c>
      <c r="F4450" s="7" t="n">
        <v>5</v>
      </c>
      <c r="G4450" s="7" t="inlineStr">
        <is>
          <t>I had never heard of a pan cookie before - what a great concept!!  Well, 112 reviewers can't be wrong, and they weren't!  I doubled the recipe and made two pan fulls.  It was a bit of a chore spreading out the dough (my pans might have been slightly larger than 15 x 10).  In any case, I've got loads of them, ready for some events over the weekend.  I subbed in some whole wheat flour and used all brown sugar since I didn't have any white sugar around.  Will try adding oats next time as another reviewer suggested.  Thanks newspapergal!</t>
        </is>
      </c>
    </row>
    <row r="4451">
      <c r="A4451" s="7" t="n">
        <v>20137</v>
      </c>
      <c r="B4451" s="7" t="n">
        <v>642781</v>
      </c>
      <c r="C4451" s="7" t="n">
        <v>74904</v>
      </c>
      <c r="D4451" s="7" t="n">
        <v>35988</v>
      </c>
      <c r="E4451" s="8" t="n">
        <v>41295</v>
      </c>
      <c r="F4451" s="7" t="n">
        <v>5</v>
      </c>
      <c r="G4451" s="7" t="inlineStr">
        <is>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is>
      </c>
    </row>
    <row r="4452" ht="409.5" customHeight="1">
      <c r="A4452" s="7" t="n">
        <v>52835</v>
      </c>
      <c r="B4452" s="7" t="n">
        <v>887310</v>
      </c>
      <c r="C4452" s="7" t="n">
        <v>2000700168</v>
      </c>
      <c r="D4452" s="7" t="n">
        <v>348551</v>
      </c>
      <c r="E4452" s="8" t="n">
        <v>42330</v>
      </c>
      <c r="F4452" s="7" t="n">
        <v>5</v>
      </c>
      <c r="G4452" s="9" t="inlineStr">
        <is>
          <t>Wonderful recipe! I&amp;#039;ve made it a few times, followed the directions and it&amp;#039;s definitely not too dry. 
This is not the roly poly dessert that I know, though. The roly poly pudding my mom makes uses jam but no ginger, and it&amp;#039;s lighter in colour. This is more dark.
Definitely worth making!</t>
        </is>
      </c>
    </row>
    <row r="4453">
      <c r="A4453" s="7" t="n">
        <v>119142</v>
      </c>
      <c r="B4453" s="7" t="n">
        <v>659384</v>
      </c>
      <c r="C4453" s="7" t="n">
        <v>1925885</v>
      </c>
      <c r="D4453" s="7" t="n">
        <v>169582</v>
      </c>
      <c r="E4453" s="8" t="n">
        <v>41257</v>
      </c>
      <c r="F4453" s="7" t="n">
        <v>5</v>
      </c>
      <c r="G4453" s="7" t="inlineStr">
        <is>
          <t>These are awesome!  Have had these pickled onions many, many times on trips to the Yucatan.  Of all the recipes I've tried so far, these are by far the best.  I have Rick Bayless' "Mexican Kitchen" cookbook which has a different recipe, but this one beats it.  Using orange and lime juice is what makes this different than the ones that use simply lime juice or simply cider vinegar. Here in Costa Rica, it's difficult to find limes, so I used a sour green orange called a Mandarina. In spite of being very sour, it imparts a mandarin orange sort of flavor that was really really good.  If you like pickled onions, you have to try these!  I think I ate half a cup before they even cooled off! Oh, have to fess up that I added a bit of oregano and some whole peppercorns - which show up in the picture.</t>
        </is>
      </c>
    </row>
    <row r="4454">
      <c r="A4454" s="7" t="n">
        <v>66996</v>
      </c>
      <c r="B4454" s="7" t="n">
        <v>800821</v>
      </c>
      <c r="C4454" s="7" t="n">
        <v>39835</v>
      </c>
      <c r="D4454" s="7" t="n">
        <v>369677</v>
      </c>
      <c r="E4454" s="8" t="n">
        <v>40034</v>
      </c>
      <c r="F4454" s="7" t="n">
        <v>5</v>
      </c>
      <c r="G4454" s="7" t="inlineStr">
        <is>
          <t>Very good and spicy! Next time we may add a jalapeno - but delish just the way it is! Thanks for sharing!</t>
        </is>
      </c>
    </row>
    <row r="4455">
      <c r="A4455" t="n">
        <v>110423</v>
      </c>
      <c r="B4455" t="n">
        <v>434856</v>
      </c>
      <c r="C4455" t="n">
        <v>346860</v>
      </c>
      <c r="D4455" t="n">
        <v>34335</v>
      </c>
      <c r="E4455" s="1" t="n">
        <v>39701</v>
      </c>
      <c r="F4455" t="n">
        <v>4</v>
      </c>
      <c r="G4455" t="inlineStr">
        <is>
          <t>A good, quick way to prepare tenderloin without marinating it forever. The flavor is VERY onion-y, which is good, but definitely to be enjoyed with other onion eaters. (Watch out, breath!) Lol. I first roasted some veggies~~ potatoes, fennel, onion (yes, more) and carrot for half an hour before placing this roast on top of them to cook. A nice combo of flavors. Thanks for a nice recipe!</t>
        </is>
      </c>
    </row>
    <row r="4456">
      <c r="A4456" s="7" t="n">
        <v>54905</v>
      </c>
      <c r="B4456" s="7" t="n">
        <v>48001</v>
      </c>
      <c r="C4456" s="7" t="n">
        <v>1072593</v>
      </c>
      <c r="D4456" s="7" t="n">
        <v>345232</v>
      </c>
      <c r="E4456" s="8" t="n">
        <v>40178</v>
      </c>
      <c r="F4456" s="7" t="n">
        <v>5</v>
      </c>
      <c r="G4456" s="7" t="inlineStr">
        <is>
          <t>10 stars!  Something I wish was on that big roomy part of the food pyramid.  Made for Alphabet Soup.</t>
        </is>
      </c>
    </row>
    <row r="4457">
      <c r="A4457" s="7" t="n">
        <v>28719</v>
      </c>
      <c r="B4457" s="7" t="n">
        <v>230028</v>
      </c>
      <c r="C4457" s="7" t="n">
        <v>1726550</v>
      </c>
      <c r="D4457" s="7" t="n">
        <v>110671</v>
      </c>
      <c r="E4457" s="8" t="n">
        <v>40528</v>
      </c>
      <c r="F4457" s="7" t="n">
        <v>5</v>
      </c>
      <c r="G4457" s="7" t="inlineStr">
        <is>
          <t>I didn't think I'd like this but I do!  I will definitely be making this again.  Very refreshing.</t>
        </is>
      </c>
    </row>
    <row r="4458">
      <c r="A4458" s="7" t="n">
        <v>12411</v>
      </c>
      <c r="B4458" s="7" t="n">
        <v>736516</v>
      </c>
      <c r="C4458" s="7" t="n">
        <v>1023244</v>
      </c>
      <c r="D4458" s="7" t="n">
        <v>114001</v>
      </c>
      <c r="E4458" s="8" t="n">
        <v>39763</v>
      </c>
      <c r="F4458" s="7" t="n">
        <v>5</v>
      </c>
      <c r="G4458" s="7" t="inlineStr">
        <is>
          <t>Very Good recipe. For me it was an excellent starting point. My wife loved it! I'm the cook in the family.  I did modify it a little. I substituted quick cooking Quaker oats instead of the cornflakes. I also added a "surprise" when I formed the meatloaf in the meatloaf pan. I was able to arrange 3 hard boiled eggs.  During the last 15 minutes of cooking, I topped the meatloaf with spaghetti sauce instead of ketchup and grated fresh parmesan cheese when I served it.  Very moist meatloaf and it stayed together, did not fall apart.              ~ Gregory</t>
        </is>
      </c>
    </row>
    <row r="4459">
      <c r="A4459" s="7" t="n">
        <v>55657</v>
      </c>
      <c r="B4459" s="7" t="n">
        <v>324058</v>
      </c>
      <c r="C4459" s="7" t="n">
        <v>756218</v>
      </c>
      <c r="D4459" s="7" t="n">
        <v>80118</v>
      </c>
      <c r="E4459" s="8" t="n">
        <v>39718</v>
      </c>
      <c r="F4459" s="7" t="n">
        <v>4</v>
      </c>
      <c r="G4459" s="7" t="inlineStr">
        <is>
          <t>This frosting was the perfect consistency for cupcakes. It held its shape beautifully. The taste wasn't there for me though...I think I went wrong with using shortening instead of butter. It was very sweet, but not any sweeter than you would want frosting to be. I did however add 3 oz of cream cheese.(probably evened out the sweetness a little bit.)I will make this again but I will definately use butter instead of shortening. Thanks for helping me create gorgeous cupcakes!</t>
        </is>
      </c>
    </row>
    <row r="4460">
      <c r="A4460" s="7" t="n">
        <v>45085</v>
      </c>
      <c r="B4460" s="7" t="n">
        <v>907968</v>
      </c>
      <c r="C4460" s="7" t="n">
        <v>340113</v>
      </c>
      <c r="D4460" s="7" t="n">
        <v>219867</v>
      </c>
      <c r="E4460" s="8" t="n">
        <v>39227</v>
      </c>
      <c r="F4460" s="7" t="n">
        <v>5</v>
      </c>
      <c r="G4460" s="7" t="inlineStr">
        <is>
          <t>Delish! I skewered chunks of the marinated hoki with mushrooms and red pepper, and grilled it.  So good served over basmati rice. I doubled the recipe and used 1/2 tsp of paprika</t>
        </is>
      </c>
    </row>
    <row r="4461">
      <c r="A4461" s="7" t="n">
        <v>84628</v>
      </c>
      <c r="B4461" s="7" t="n">
        <v>757831</v>
      </c>
      <c r="C4461" s="7" t="n">
        <v>424680</v>
      </c>
      <c r="D4461" s="7" t="n">
        <v>231979</v>
      </c>
      <c r="E4461" s="8" t="n">
        <v>40286</v>
      </c>
      <c r="F4461" s="7" t="n">
        <v>5</v>
      </c>
      <c r="G4461" s="7" t="inlineStr">
        <is>
          <t>I'm not sure you can find a more dedicated chocoholic that the 2 of us here, &amp; when we say that these brownies are right at the top of a chocoholic's dream list, believe it! That said, I also have to say that I did include 1/4 cup of milk chocolate chips along with the semisweet chocolate! Very, very tasty treats, these &amp; thank you for sharing the recipe! [Made &amp; reviewed for one of my adoptees in the current round of Pick A Chef]</t>
        </is>
      </c>
    </row>
    <row r="4462">
      <c r="A4462" s="7" t="n">
        <v>34338</v>
      </c>
      <c r="B4462" s="7" t="n">
        <v>93215</v>
      </c>
      <c r="C4462" s="7" t="n">
        <v>1888576</v>
      </c>
      <c r="D4462" s="7" t="n">
        <v>307000</v>
      </c>
      <c r="E4462" s="8" t="n">
        <v>40688</v>
      </c>
      <c r="F4462" s="7" t="n">
        <v>5</v>
      </c>
      <c r="G4462" s="7" t="inlineStr">
        <is>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is>
      </c>
    </row>
    <row r="4463">
      <c r="A4463" s="7" t="n">
        <v>98085</v>
      </c>
      <c r="B4463" s="7" t="n">
        <v>435663</v>
      </c>
      <c r="C4463" s="7" t="n">
        <v>522496</v>
      </c>
      <c r="D4463" s="7" t="n">
        <v>23276</v>
      </c>
      <c r="E4463" s="8" t="n">
        <v>39430</v>
      </c>
      <c r="F4463" s="7" t="n">
        <v>5</v>
      </c>
      <c r="G4463" s="7" t="inlineStr">
        <is>
          <t>This is a very good pie, and quite easy, if time consuming to prepare.  I think that next time, though, I will leave out the rum because the flavor is too strong for my liking.</t>
        </is>
      </c>
    </row>
    <row r="4464">
      <c r="A4464" s="7" t="n">
        <v>76118</v>
      </c>
      <c r="B4464" s="7" t="n">
        <v>17088</v>
      </c>
      <c r="C4464" s="7" t="n">
        <v>486725</v>
      </c>
      <c r="D4464" s="7" t="n">
        <v>483241</v>
      </c>
      <c r="E4464" s="8" t="n">
        <v>41521</v>
      </c>
      <c r="F4464" s="7" t="n">
        <v>5</v>
      </c>
      <c r="G4464" s="7" t="inlineStr">
        <is>
          <t>Great flavors and textures. I used one fourth the oil, four times the garlic and left it in (hey, it&amp;#039;s a Spanish recipe!), just a sprinkle of salt and prosciutto that I crisped in the oven (as in Recipe #319957). Everything goes together swimmingly.</t>
        </is>
      </c>
    </row>
    <row r="4465">
      <c r="A4465" s="7" t="n">
        <v>72300</v>
      </c>
      <c r="B4465" s="7" t="n">
        <v>783122</v>
      </c>
      <c r="C4465" s="7" t="n">
        <v>452294</v>
      </c>
      <c r="D4465" s="7" t="n">
        <v>187227</v>
      </c>
      <c r="E4465" s="8" t="n">
        <v>39135</v>
      </c>
      <c r="F4465" s="7" t="n">
        <v>5</v>
      </c>
      <c r="G4465" s="7" t="inlineStr">
        <is>
          <t>These cookies were yummy! Perfect chocolate taste - definitely hits the spot for those who are on a low cal/low fat diet. I will make these again for sure.</t>
        </is>
      </c>
    </row>
    <row r="4466" ht="409.5" customHeight="1">
      <c r="A4466" s="7" t="n">
        <v>90490</v>
      </c>
      <c r="B4466" s="7" t="n">
        <v>1028549</v>
      </c>
      <c r="C4466" s="7" t="n">
        <v>1344120</v>
      </c>
      <c r="D4466" s="7" t="n">
        <v>166735</v>
      </c>
      <c r="E4466" s="8" t="n">
        <v>40052</v>
      </c>
      <c r="F4466" s="7" t="n">
        <v>5</v>
      </c>
      <c r="G4466" s="9" t="inlineStr">
        <is>
          <t>Very Refreshing_x000D_
I altered the serving directions a little. Instead of serving it on a plate a sliced the strawberries and put them in red wine glasses then refrigerated them in advance. I also prepared the creme fraiche mixture in advance. Then I just let the people serve themselves by dolloping the creme fraiche mixture and sprinkling the mint. My company love it, the perfect dessert on a hot day._x000D_
_x000D_
Pakalika</t>
        </is>
      </c>
    </row>
    <row r="4467">
      <c r="A4467" s="7" t="n">
        <v>56080</v>
      </c>
      <c r="B4467" s="7" t="n">
        <v>168869</v>
      </c>
      <c r="C4467" s="7" t="n">
        <v>474155</v>
      </c>
      <c r="D4467" s="7" t="n">
        <v>101027</v>
      </c>
      <c r="E4467" s="8" t="n">
        <v>39418</v>
      </c>
      <c r="F4467" s="7" t="n">
        <v>5</v>
      </c>
      <c r="G4467" s="7" t="inlineStr">
        <is>
          <t>whoa... there are incredibly good, and taste just like yorks (with better chocolate). they are also really fun to make! i used the bottle-cap method to cut them out, and it created perfect sized patties. i had to make sure to put a lot of powdered sugar underneath the "dough" because otherwise they would stick. at first i wanted to cut out little christmas trees but i think the dough was a little too soft and i eventually gave that up. for dipping, i did add the shortening and i think others are right... it should be omitted next time. the chocolate just did not solidify until i refrigerated them. make sure you use a quality chocolate on these! they are really impressive and make a LOT. my batch was way over 50... who knows? i ate a few...</t>
        </is>
      </c>
    </row>
    <row r="4468">
      <c r="A4468" s="7" t="n">
        <v>47038</v>
      </c>
      <c r="B4468" s="7" t="n">
        <v>161522</v>
      </c>
      <c r="C4468" s="7" t="n">
        <v>1600336</v>
      </c>
      <c r="D4468" s="7" t="n">
        <v>329345</v>
      </c>
      <c r="E4468" s="8" t="n">
        <v>40287</v>
      </c>
      <c r="F4468" s="7" t="n">
        <v>5</v>
      </c>
      <c r="G4468" s="7" t="inlineStr">
        <is>
          <t>These are quite possibly the best cookies I've ever eaten. Simply amazing.</t>
        </is>
      </c>
    </row>
    <row r="4469">
      <c r="A4469" s="7" t="n">
        <v>63252</v>
      </c>
      <c r="B4469" s="7" t="n">
        <v>735885</v>
      </c>
      <c r="C4469" s="7" t="n">
        <v>41578</v>
      </c>
      <c r="D4469" s="7" t="n">
        <v>378684</v>
      </c>
      <c r="E4469" s="8" t="n">
        <v>40008</v>
      </c>
      <c r="F4469" s="7" t="n">
        <v>5</v>
      </c>
      <c r="G4469" s="7" t="inlineStr">
        <is>
          <t>What a great spinach side dish.  Very easy to prepare too.  I used fresh diced onions.  The cheese and breadcrumbs makes an excellent topping.  Thanks for sharing this, Stacey in Toledo!</t>
        </is>
      </c>
    </row>
    <row r="4470">
      <c r="A4470" s="7" t="n">
        <v>114324</v>
      </c>
      <c r="B4470" s="7" t="n">
        <v>1000120</v>
      </c>
      <c r="C4470" s="7" t="n">
        <v>326039</v>
      </c>
      <c r="D4470" s="7" t="n">
        <v>164825</v>
      </c>
      <c r="E4470" s="8" t="n">
        <v>39555</v>
      </c>
      <c r="F4470" s="7" t="n">
        <v>3</v>
      </c>
      <c r="G4470" s="7" t="inlineStr">
        <is>
          <t>This was good, but not what I had expected with the combination of spices which did not seem to come through in the finished dish.  The feta cheese is what made this flavorful for us.  Thanks for sharing!</t>
        </is>
      </c>
    </row>
    <row r="4471">
      <c r="A4471" s="7" t="n">
        <v>117858</v>
      </c>
      <c r="B4471" s="7" t="n">
        <v>1078920</v>
      </c>
      <c r="C4471" s="7" t="n">
        <v>914720</v>
      </c>
      <c r="D4471" s="7" t="n">
        <v>78014</v>
      </c>
      <c r="E4471" s="8" t="n">
        <v>39844</v>
      </c>
      <c r="F4471" s="7" t="n">
        <v>4</v>
      </c>
      <c r="G4471" s="7" t="inlineStr">
        <is>
          <t>This was pretty good.  The flavor was nice, and it was very easy, but the meat was a bit dry.  (I'm beginning to think I just don't like bottom round roasts.)  I did add a bag of baby carrots, and they were cooked perfectly and very nicely seasoned.  I cooked for 1 hour on high and 7 on low.  I served it with mashed potatoes, but the sauce/gravy would have been very nice on gnocchi.  Thanks for posting.</t>
        </is>
      </c>
    </row>
    <row r="4472">
      <c r="A4472" s="7" t="n">
        <v>102424</v>
      </c>
      <c r="B4472" s="7" t="n">
        <v>216905</v>
      </c>
      <c r="C4472" s="7" t="n">
        <v>666128</v>
      </c>
      <c r="D4472" s="7" t="n">
        <v>49744</v>
      </c>
      <c r="E4472" s="8" t="n">
        <v>39412</v>
      </c>
      <c r="F4472" s="7" t="n">
        <v>5</v>
      </c>
      <c r="G4472" s="7" t="inlineStr">
        <is>
          <t>I used this recipe and I must say, it's absolutely amazing. I normally don't like deviled eggs, but I made them for Thanksgiving for everyone else. My husband ate a few and told me I HAD to try them myself and was surprised at how good they were. SO easy and SO yummy!!</t>
        </is>
      </c>
    </row>
    <row r="4473">
      <c r="A4473" s="7" t="n">
        <v>42768</v>
      </c>
      <c r="B4473" s="7" t="n">
        <v>135858</v>
      </c>
      <c r="C4473" s="7" t="n">
        <v>316094</v>
      </c>
      <c r="D4473" s="7" t="n">
        <v>59895</v>
      </c>
      <c r="E4473" s="8" t="n">
        <v>39491</v>
      </c>
      <c r="F4473" s="7" t="n">
        <v>4</v>
      </c>
      <c r="G4473" s="7" t="inlineStr">
        <is>
          <t>These are really, really rich but surprisingly not overly sweet.  They remind me of a chocolate truffle with a hint of saltiness from the kosher salt.  They are perfect for cutting with a cookie cutter - I had some fun with a heart shaped cutter and some pink tinted white chocolate for Valentine's Day.  Decadent!!</t>
        </is>
      </c>
    </row>
    <row r="4474">
      <c r="A4474" s="7" t="n">
        <v>81639</v>
      </c>
      <c r="B4474" s="7" t="n">
        <v>187554</v>
      </c>
      <c r="C4474" s="7" t="n">
        <v>46660</v>
      </c>
      <c r="D4474" s="7" t="n">
        <v>246</v>
      </c>
      <c r="E4474" s="8" t="n">
        <v>40097</v>
      </c>
      <c r="F4474" s="7" t="n">
        <v>4</v>
      </c>
      <c r="G4474" s="7" t="inlineStr">
        <is>
          <t>Very good! I doubled it and halved the lemon juice...I am glad I did because I think it would have been overpowering. I added extra Worcestershire and cheddar, some Old Bay, some cayenne pepper and white pepper. I don't know if it's "rave-worthy" but it is definitely good dip! I used reduced fat cream cheese and mayo.</t>
        </is>
      </c>
    </row>
    <row r="4475">
      <c r="A4475" s="7" t="n">
        <v>76989</v>
      </c>
      <c r="B4475" s="7" t="n">
        <v>1005933</v>
      </c>
      <c r="C4475" s="7" t="n">
        <v>297913</v>
      </c>
      <c r="D4475" s="7" t="n">
        <v>10633</v>
      </c>
      <c r="E4475" s="8" t="n">
        <v>39939</v>
      </c>
      <c r="F4475" s="7" t="n">
        <v>5</v>
      </c>
      <c r="G4475" s="7" t="inlineStr">
        <is>
          <t>Fantastic!  Made it with pan seared salmon, but the possibilities are endless!  Will be making this often.  Added 1/2 tsp. of cumin and one lg minced jalapeno--will add more next time.  Thanks for sharing!</t>
        </is>
      </c>
    </row>
    <row r="4476">
      <c r="A4476" t="n">
        <v>123425</v>
      </c>
      <c r="B4476" t="n">
        <v>938159</v>
      </c>
      <c r="C4476" t="n">
        <v>985920</v>
      </c>
      <c r="D4476" t="n">
        <v>82102</v>
      </c>
      <c r="E4476" s="1" t="n">
        <v>39739</v>
      </c>
      <c r="F4476" t="n">
        <v>5</v>
      </c>
      <c r="G4476" t="inlineStr">
        <is>
          <t>This was great!  I only had 2 chicken breasts, so I used just 2 tablespoons of butter (and 1/3 cup seemed like a lot.)  It was the perfect amount of mixture to cover both breasts.  I also used just 1/2 cup grated parmesan and no mozz, and baked for exactly 35 minutes and it was cooked perfectly.</t>
        </is>
      </c>
    </row>
    <row r="4477">
      <c r="A4477" s="7" t="n">
        <v>20017</v>
      </c>
      <c r="B4477" s="7" t="n">
        <v>985125</v>
      </c>
      <c r="C4477" s="7" t="n">
        <v>223979</v>
      </c>
      <c r="D4477" s="7" t="n">
        <v>315671</v>
      </c>
      <c r="E4477" s="8" t="n">
        <v>39832</v>
      </c>
      <c r="F4477" s="7" t="n">
        <v>5</v>
      </c>
      <c r="G4477" s="7" t="inlineStr">
        <is>
          <t>Really easy and quick recipe.  The addition of the ranch dressing is really good.  My kids really are enjoying this.</t>
        </is>
      </c>
    </row>
    <row r="4478">
      <c r="A4478" s="7" t="n">
        <v>123698</v>
      </c>
      <c r="B4478" s="7" t="n">
        <v>205762</v>
      </c>
      <c r="C4478" s="7" t="n">
        <v>482376</v>
      </c>
      <c r="D4478" s="7" t="n">
        <v>446481</v>
      </c>
      <c r="E4478" s="8" t="n">
        <v>41022</v>
      </c>
      <c r="F4478" s="7" t="n">
        <v>5</v>
      </c>
      <c r="G4478" s="7" t="inlineStr">
        <is>
          <t>Great grilled chicken recipe. I loved the flavor blend of the butter, honey and garlic. This is a super simple recipe with tasty results. Note: My electric grill tends to cook hot and flame up a lot with basting recipes, and I ended up burning the heck out of the chicken skin. I just took most of the skin off and basted the meat a few more times before taking it off the grill.</t>
        </is>
      </c>
    </row>
    <row r="4479">
      <c r="A4479" s="7" t="n">
        <v>120895</v>
      </c>
      <c r="B4479" s="7" t="n">
        <v>16314</v>
      </c>
      <c r="C4479" s="7" t="n">
        <v>482933</v>
      </c>
      <c r="D4479" s="7" t="n">
        <v>64435</v>
      </c>
      <c r="E4479" s="8" t="n">
        <v>40027</v>
      </c>
      <c r="F4479" s="7" t="n">
        <v>5</v>
      </c>
      <c r="G4479" s="7" t="inlineStr">
        <is>
          <t>Wonderful aroma, taste, and texture! I made this based on Chef#8629's recommendation for Top Favorites of 2008 Game.  I made as posted except I did use regular ground coffee b/c we do not drink instant and I did not use any cornmeal. As you can see from my photo my loaves are very dark b/c I did not add more bread flour and haven't eaten at the Outback in years so am unsure if they are suppose to be this dark.  My dough was not too sticky-southern Arizona is dry, but maybe if I was back in Wisconsin it would be different. Thank you SJG3483 for posting!  Update on Aug. 2, 2009--Made these again and correctly, they were not as dark so the first time I must have doubled the cocoa.  Oops!  They looked like Bayhill's photo.</t>
        </is>
      </c>
    </row>
    <row r="4480">
      <c r="A4480" s="7" t="n">
        <v>10528</v>
      </c>
      <c r="B4480" s="7" t="n">
        <v>436024</v>
      </c>
      <c r="C4480" s="7" t="n">
        <v>229052</v>
      </c>
      <c r="D4480" s="7" t="n">
        <v>166507</v>
      </c>
      <c r="E4480" s="8" t="n">
        <v>39123</v>
      </c>
      <c r="F4480" s="7" t="n">
        <v>5</v>
      </c>
      <c r="G4480" s="7" t="inlineStr">
        <is>
          <t>This was the greatest!  I used 3 egg whites instead of the 2 eggs, 2 Cups Super Skim Milk, 1 (1.5 ounce) sugar free / fat free chocolate pudding mix, and Betty Crocker Super Moist Triple Chocolate Fudge Cake.</t>
        </is>
      </c>
    </row>
    <row r="4481" ht="409.5" customHeight="1">
      <c r="A4481" s="7" t="n">
        <v>97904</v>
      </c>
      <c r="B4481" s="7" t="n">
        <v>776084</v>
      </c>
      <c r="C4481" s="7" t="n">
        <v>53235</v>
      </c>
      <c r="D4481" s="7" t="n">
        <v>368388</v>
      </c>
      <c r="E4481" s="8" t="n">
        <v>40153</v>
      </c>
      <c r="F4481" s="7" t="n">
        <v>5</v>
      </c>
      <c r="G4481" s="9" t="inlineStr">
        <is>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is>
      </c>
    </row>
    <row r="4482">
      <c r="A4482" s="7" t="n">
        <v>27749</v>
      </c>
      <c r="B4482" s="7" t="n">
        <v>996653</v>
      </c>
      <c r="C4482" s="7" t="n">
        <v>274893</v>
      </c>
      <c r="D4482" s="7" t="n">
        <v>234531</v>
      </c>
      <c r="E4482" s="8" t="n">
        <v>40838</v>
      </c>
      <c r="F4482" s="7" t="n">
        <v>5</v>
      </c>
      <c r="G4482" s="7" t="inlineStr">
        <is>
          <t>I let them raise for 45 minutes and bake for around ten</t>
        </is>
      </c>
    </row>
    <row r="4483">
      <c r="A4483" s="7" t="n">
        <v>104741</v>
      </c>
      <c r="B4483" s="7" t="n">
        <v>455776</v>
      </c>
      <c r="C4483" s="7" t="n">
        <v>517144</v>
      </c>
      <c r="D4483" s="7" t="n">
        <v>167341</v>
      </c>
      <c r="E4483" s="8" t="n">
        <v>41602</v>
      </c>
      <c r="F4483" s="7" t="n">
        <v>5</v>
      </c>
      <c r="G4483" s="7" t="inlineStr">
        <is>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is>
      </c>
    </row>
    <row r="4484">
      <c r="A4484" s="7" t="n">
        <v>15785</v>
      </c>
      <c r="B4484" s="7" t="n">
        <v>155956</v>
      </c>
      <c r="C4484" s="7" t="n">
        <v>383346</v>
      </c>
      <c r="D4484" s="7" t="n">
        <v>232293</v>
      </c>
      <c r="E4484" s="8" t="n">
        <v>40608</v>
      </c>
      <c r="F4484" s="7" t="n">
        <v>4</v>
      </c>
      <c r="G4484" s="7" t="inlineStr">
        <is>
          <t>This has a great taste.  But for our taste, there was too much juice.  Next time we'll use less juice.  Thanks Pikake :)  Made for Bargain Basement tag game</t>
        </is>
      </c>
    </row>
    <row r="4485">
      <c r="A4485" s="7" t="n">
        <v>20383</v>
      </c>
      <c r="B4485" s="7" t="n">
        <v>468037</v>
      </c>
      <c r="C4485" s="7" t="n">
        <v>240552</v>
      </c>
      <c r="D4485" s="7" t="n">
        <v>60077</v>
      </c>
      <c r="E4485" s="8" t="n">
        <v>39250</v>
      </c>
      <c r="F4485" s="7" t="n">
        <v>5</v>
      </c>
      <c r="G4485" s="7" t="inlineStr">
        <is>
          <t>This was a yummy dip!!  It makes a ton, too.  I only had about 5 oz of monterey jack, but it still was great.  Thanks for posting!</t>
        </is>
      </c>
    </row>
    <row r="4486" ht="409.5" customHeight="1">
      <c r="A4486" s="7" t="n">
        <v>54289</v>
      </c>
      <c r="B4486" s="7" t="n">
        <v>259348</v>
      </c>
      <c r="C4486" s="7" t="n">
        <v>1252321</v>
      </c>
      <c r="D4486" s="7" t="n">
        <v>133749</v>
      </c>
      <c r="E4486" s="8" t="n">
        <v>39931</v>
      </c>
      <c r="F4486" s="7" t="n">
        <v>5</v>
      </c>
      <c r="G4486" s="9" t="inlineStr">
        <is>
          <t>The nutritional information definitely has been calculated wrong here. I usually half the recipe when i make it, and I get at least 6-7 servings (toddler portions) out of it. For my hungry little carnivore, that's about 6 meatballs per serving. I submit that the servings info should be changed so that the nutritional info is recalculated.
I started making this recipe for my daughter when she was around 18 mos, and it is one of her favorites. She has a milk and egg allergy, so we substitute oil, water and baking powder for the egg, but other than that, we stick to the recipe. Love the convenience of freezing them and then pulling out only what she needs!</t>
        </is>
      </c>
    </row>
    <row r="4487">
      <c r="A4487" s="7" t="n">
        <v>59815</v>
      </c>
      <c r="B4487" s="7" t="n">
        <v>48013</v>
      </c>
      <c r="C4487" s="7" t="n">
        <v>2001014911</v>
      </c>
      <c r="D4487" s="7" t="n">
        <v>345232</v>
      </c>
      <c r="E4487" s="8" t="n">
        <v>42507</v>
      </c>
      <c r="F4487" s="7" t="n">
        <v>4</v>
      </c>
      <c r="G4487" s="7" t="inlineStr">
        <is>
          <t>it was delicious. i couldnt get a nice crunch to it, but other then that it was yummy.</t>
        </is>
      </c>
    </row>
    <row r="4488" ht="240" customHeight="1">
      <c r="A4488" t="n">
        <v>51145</v>
      </c>
      <c r="B4488" t="n">
        <v>938307</v>
      </c>
      <c r="C4488" t="n">
        <v>424008</v>
      </c>
      <c r="D4488" t="n">
        <v>82102</v>
      </c>
      <c r="E4488" s="1" t="n">
        <v>39971</v>
      </c>
      <c r="F4488" t="n">
        <v>5</v>
      </c>
      <c r="G4488" s="2" t="inlineStr">
        <is>
          <t>OMGoodness,Another awesome chicken recipe :)...TY Kitten
will make again(when i get batteries
for my camera)</t>
        </is>
      </c>
    </row>
    <row r="4489">
      <c r="A4489" s="7" t="n">
        <v>83040</v>
      </c>
      <c r="B4489" s="7" t="n">
        <v>75944</v>
      </c>
      <c r="C4489" s="7" t="n">
        <v>383346</v>
      </c>
      <c r="D4489" s="7" t="n">
        <v>313153</v>
      </c>
      <c r="E4489" s="8" t="n">
        <v>39690</v>
      </c>
      <c r="F4489" s="7" t="n">
        <v>5</v>
      </c>
      <c r="G4489" s="7" t="inlineStr">
        <is>
          <t>This is delicioius.  I haven't change a thing (except that I used the zest of 1 lemon).  It's not too sweet, it's perfect.  Thanks Redsie.  Made for 123 hit wonders</t>
        </is>
      </c>
    </row>
    <row r="4490">
      <c r="A4490" s="7" t="n">
        <v>101851</v>
      </c>
      <c r="B4490" s="7" t="n">
        <v>447374</v>
      </c>
      <c r="C4490" s="7" t="n">
        <v>37449</v>
      </c>
      <c r="D4490" s="7" t="n">
        <v>359977</v>
      </c>
      <c r="E4490" s="8" t="n">
        <v>39903</v>
      </c>
      <c r="F4490" s="7" t="n">
        <v>5</v>
      </c>
      <c r="G4490" s="7" t="inlineStr">
        <is>
          <t>This was so good! I halved the recipe using a quarter of a 12 oz. can of frozen limeade. Now I can make it 3 more times!  Thanks for a yummy drink! :D Made for Went to the Market game.</t>
        </is>
      </c>
    </row>
    <row r="4491" ht="409.5" customHeight="1">
      <c r="A4491" s="7" t="n">
        <v>48076</v>
      </c>
      <c r="B4491" s="7" t="n">
        <v>205819</v>
      </c>
      <c r="C4491" s="7" t="n">
        <v>134686</v>
      </c>
      <c r="D4491" s="7" t="n">
        <v>91011</v>
      </c>
      <c r="E4491" s="8" t="n">
        <v>38119</v>
      </c>
      <c r="F4491" s="7" t="n">
        <v>5</v>
      </c>
      <c r="G4491" s="9" t="inlineStr">
        <is>
          <t>What a pleasant surprise to see this recipe.  I've had it since 1986, when I got a copy of it at the National Western Stock Show &amp; Rodeo held each year in Denver, Colorado. A cook-off was sponsored by Coor's beer and KLZ radio. The reason I was there was because I was one of three finalists for the cook-off.  Vickie Jo Box was the entrant that prepared this recipe, and received second prize in the cook-off._x000D_
What recipe did I prepare for the cook-off?  Well, that's another story, but I did win the cook-off!</t>
        </is>
      </c>
    </row>
    <row r="4492">
      <c r="A4492" s="7" t="n">
        <v>107823</v>
      </c>
      <c r="B4492" s="7" t="n">
        <v>591740</v>
      </c>
      <c r="C4492" s="7" t="n">
        <v>254614</v>
      </c>
      <c r="D4492" s="7" t="n">
        <v>48463</v>
      </c>
      <c r="E4492" s="8" t="n">
        <v>40011</v>
      </c>
      <c r="F4492" s="7" t="n">
        <v>5</v>
      </c>
      <c r="G4492" s="7" t="inlineStr">
        <is>
          <t>Delicious! I used a little turmeric instead of saffron. I used 2% milk and dried chopped onions. I purchase them in gallon containers. I also used white pepper.</t>
        </is>
      </c>
    </row>
    <row r="4493">
      <c r="A4493" s="7" t="n">
        <v>112777</v>
      </c>
      <c r="B4493" s="7" t="n">
        <v>298216</v>
      </c>
      <c r="C4493" s="7" t="n">
        <v>1206102</v>
      </c>
      <c r="D4493" s="7" t="n">
        <v>355113</v>
      </c>
      <c r="E4493" s="8" t="n">
        <v>41067</v>
      </c>
      <c r="F4493" s="7" t="n">
        <v>5</v>
      </c>
      <c r="G4493" s="7" t="inlineStr">
        <is>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is>
      </c>
    </row>
    <row r="4494" ht="409.5" customHeight="1">
      <c r="A4494" s="7" t="n">
        <v>89354</v>
      </c>
      <c r="B4494" s="7" t="n">
        <v>83086</v>
      </c>
      <c r="C4494" s="7" t="n">
        <v>1329782</v>
      </c>
      <c r="D4494" s="7" t="n">
        <v>391593</v>
      </c>
      <c r="E4494" s="8" t="n">
        <v>40268</v>
      </c>
      <c r="F4494" s="7" t="n">
        <v>4</v>
      </c>
      <c r="G4494" s="9" t="inlineStr">
        <is>
          <t>Nice simple flavor.
I made it as is. And I made my version. A couple of suggestions.  I cut the onion in quarters and then thin slice. Otherwise the onion slices were too big. I did cut up the spinach, otherwise the leaves again too big.  Same with the tomatoes. I thin sliced and then cut in halves, that way everyone got a bit of tomato. But for a garnish. I did top with full slices or a purple heirloom which looked really pretty. I used fresh basil and plenty of fresh salt and pepper which is a must. Cottage cheese, no low fat, but that was just me. Havarti I love, but next time I would like to have a mix of cheeses, but the havarti was good, but I prefer just a bit more cheese in mine. I used 3 oz, but I would like a mix of cheeses as I thought it was a bit bland, but still very good.  I just like lots of flavor in my food.  I served this with a cup of soup.</t>
        </is>
      </c>
    </row>
    <row r="4495">
      <c r="A4495" s="7" t="n">
        <v>8016</v>
      </c>
      <c r="B4495" s="7" t="n">
        <v>741615</v>
      </c>
      <c r="C4495" s="7" t="n">
        <v>383346</v>
      </c>
      <c r="D4495" s="7" t="n">
        <v>286110</v>
      </c>
      <c r="E4495" s="8" t="n">
        <v>40542</v>
      </c>
      <c r="F4495" s="7" t="n">
        <v>3</v>
      </c>
      <c r="G4495" s="7" t="inlineStr">
        <is>
          <t>It was too sweet for my taste.  Another time I will omit the sugar.  The texture was great.  Thanks Lainey :)  Made for Potluck tag game</t>
        </is>
      </c>
    </row>
    <row r="4496">
      <c r="A4496" s="7" t="n">
        <v>82666</v>
      </c>
      <c r="B4496" s="7" t="n">
        <v>1074562</v>
      </c>
      <c r="C4496" s="7" t="n">
        <v>751759</v>
      </c>
      <c r="D4496" s="7" t="n">
        <v>135350</v>
      </c>
      <c r="E4496" s="8" t="n">
        <v>40462</v>
      </c>
      <c r="F4496" s="7" t="n">
        <v>5</v>
      </c>
      <c r="G4496" s="7" t="inlineStr">
        <is>
          <t>LOVE this recipe!  Please follow the chef's advice and DON'T use cheap cheese!  Or Velveeta.  Shudder.  Buy a block of good-quality cheddar and shred it.  After the first time, we made a couple of changes, but it was delicious as written as well.  I use cracker crumbs instead of buttered bread crumbs, whole milk instead of milk/cream, and sprinkle a little paprika on top.  My husband also insists that we make it "saucier" so I make 1.5 times the sauce.  Delicious!</t>
        </is>
      </c>
    </row>
    <row r="4497">
      <c r="A4497" s="7" t="n">
        <v>59356</v>
      </c>
      <c r="B4497" s="7" t="n">
        <v>348828</v>
      </c>
      <c r="C4497" s="7" t="n">
        <v>716215</v>
      </c>
      <c r="D4497" s="7" t="n">
        <v>50719</v>
      </c>
      <c r="E4497" s="8" t="n">
        <v>40007</v>
      </c>
      <c r="F4497" s="7" t="n">
        <v>1</v>
      </c>
      <c r="G4497" s="7" t="inlineStr">
        <is>
          <t>sorry, didnt care for these muffins. they were just ok.</t>
        </is>
      </c>
    </row>
    <row r="4498">
      <c r="A4498" s="7" t="n">
        <v>81048</v>
      </c>
      <c r="B4498" s="7" t="n">
        <v>599953</v>
      </c>
      <c r="C4498" s="7" t="n">
        <v>168462</v>
      </c>
      <c r="D4498" s="7" t="n">
        <v>89932</v>
      </c>
      <c r="E4498" s="8" t="n">
        <v>39024</v>
      </c>
      <c r="F4498" s="7" t="n">
        <v>5</v>
      </c>
      <c r="G4498" s="7" t="inlineStr">
        <is>
          <t>These are fantastic. I made them into 12 buns and cooked for about 14 minutes. Perfect and so much better than store bought. Everyone in the house commented on how good they were. I did not use the eggwash for the top but misted with my oil mister and then sprinkled on the sesame seeds. I will never buy store bought buns again. Thanks for the recipe.</t>
        </is>
      </c>
    </row>
    <row r="4499">
      <c r="A4499" s="7" t="n">
        <v>122771</v>
      </c>
      <c r="B4499" s="7" t="n">
        <v>313448</v>
      </c>
      <c r="C4499" s="7" t="n">
        <v>2000170159</v>
      </c>
      <c r="D4499" s="7" t="n">
        <v>410185</v>
      </c>
      <c r="E4499" s="8" t="n">
        <v>42122</v>
      </c>
      <c r="F4499" s="7" t="n">
        <v>5</v>
      </c>
      <c r="G4499" s="7" t="inlineStr">
        <is>
          <t>everyone loved it!!!!!</t>
        </is>
      </c>
    </row>
    <row r="4500">
      <c r="A4500" s="7" t="n">
        <v>26475</v>
      </c>
      <c r="B4500" s="7" t="n">
        <v>256735</v>
      </c>
      <c r="C4500" s="7" t="n">
        <v>429769</v>
      </c>
      <c r="D4500" s="7" t="n">
        <v>26205</v>
      </c>
      <c r="E4500" s="8" t="n">
        <v>39487</v>
      </c>
      <c r="F4500" s="7" t="n">
        <v>5</v>
      </c>
      <c r="G4500" s="7" t="inlineStr">
        <is>
          <t>First rate.</t>
        </is>
      </c>
    </row>
    <row r="4501" ht="409.5" customHeight="1">
      <c r="A4501" s="7" t="n">
        <v>58247</v>
      </c>
      <c r="B4501" s="7" t="n">
        <v>268911</v>
      </c>
      <c r="C4501" s="7" t="n">
        <v>1800085972</v>
      </c>
      <c r="D4501" s="7" t="n">
        <v>33260</v>
      </c>
      <c r="E4501" s="8" t="n">
        <v>42351</v>
      </c>
      <c r="F4501" s="7" t="n">
        <v>5</v>
      </c>
      <c r="G4501" s="9" t="inlineStr">
        <is>
          <t>Love this recipe! I followed directions exactly and it tastes so good and love crispyness. 
However, I did try baking it and it was also delicious. Instead of letting fish sit in marinade for 30 minutes, I placed 4 small salmon steaks in square casserole dish, punctured salmon a couple times with fork, then poured marinade over all fish. Covered with glass lid and baked on 425 for 15 to 17 minutes. After baking was done, I poured marinade into small saucepan on low/medium to make a reduction (thicker sauce). Meanwhile, set oven to broil and broil fish for 5 minutes or so. Once done, carefully remove and place on plate, pour a teaspoon of marinade reduction on top of salmon with rice and veggie. Yum!!</t>
        </is>
      </c>
    </row>
    <row r="4502">
      <c r="A4502" s="7" t="n">
        <v>5812</v>
      </c>
      <c r="B4502" s="7" t="n">
        <v>890271</v>
      </c>
      <c r="C4502" s="7" t="n">
        <v>991523</v>
      </c>
      <c r="D4502" s="7" t="n">
        <v>215827</v>
      </c>
      <c r="E4502" s="8" t="n">
        <v>40616</v>
      </c>
      <c r="F4502" s="7" t="n">
        <v>5</v>
      </c>
      <c r="G4502" s="7" t="inlineStr">
        <is>
          <t>Fantastic rich dressing!  We had a spinach salad this weekend at one of our favorite restaurants and they used Raspberry dressing, bacon, hard boiled eggs and red onion.  I wanted to recreate this because I thought the Raspberry dressing really gave this salad great flavor.  This dressing comes very close.  Thanks for a great recipe!</t>
        </is>
      </c>
    </row>
    <row r="4503">
      <c r="A4503" s="7" t="n">
        <v>8890</v>
      </c>
      <c r="B4503" s="7" t="n">
        <v>930322</v>
      </c>
      <c r="C4503" s="7" t="n">
        <v>226294</v>
      </c>
      <c r="D4503" s="7" t="n">
        <v>148347</v>
      </c>
      <c r="E4503" s="8" t="n">
        <v>41749</v>
      </c>
      <c r="F4503" s="7" t="n">
        <v>5</v>
      </c>
      <c r="G4503" s="7" t="inlineStr">
        <is>
          <t>Num num num num num!  Made these for our Easter gathering at the farm.  What a huge hit!  I baked half in a cupcake pan and the other (I have 24) on a large baking sheet at 325 for 20 minutes.  The rolls on the sheet spread much larger and had an airier texture, but the ones in the cupcake tins didn&amp;#039;t disappoint either.  They were just smaller and a bit denser.  We loved both sizes, but my preference was the baking sheet rolls.  Thank you!</t>
        </is>
      </c>
    </row>
    <row r="4504">
      <c r="A4504" s="7" t="n">
        <v>72324</v>
      </c>
      <c r="B4504" s="7" t="n">
        <v>510162</v>
      </c>
      <c r="C4504" s="7" t="n">
        <v>436190</v>
      </c>
      <c r="D4504" s="7" t="n">
        <v>89207</v>
      </c>
      <c r="E4504" s="8" t="n">
        <v>39827</v>
      </c>
      <c r="F4504" s="7" t="n">
        <v>5</v>
      </c>
      <c r="G4504" s="7" t="inlineStr">
        <is>
          <t>i simply cannot believe that i made this wonderful frosting.  i made with the 3/4 cup cocoa and had to add a bit more unwhipped whipping cream.  It's delicious and perfect.  Thank you again, Kittencal, for doing the hard work and creating these lovely recipes.</t>
        </is>
      </c>
    </row>
    <row r="4505">
      <c r="A4505" s="7" t="n">
        <v>119750</v>
      </c>
      <c r="B4505" s="7" t="n">
        <v>1117065</v>
      </c>
      <c r="C4505" s="7" t="n">
        <v>757269</v>
      </c>
      <c r="D4505" s="7" t="n">
        <v>221324</v>
      </c>
      <c r="E4505" s="8" t="n">
        <v>39545</v>
      </c>
      <c r="F4505" s="7" t="n">
        <v>4</v>
      </c>
      <c r="G4505" s="7" t="inlineStr">
        <is>
          <t>Excellent!  These ingredients are such that many cooks will have them on hand, and I found it really easy to make simple substitutions or adjustments if needed.  My family does not include any big corn-eaters, and they still really liked this recipe and all took second helpings.</t>
        </is>
      </c>
    </row>
    <row r="4506">
      <c r="A4506" s="7" t="n">
        <v>117615</v>
      </c>
      <c r="B4506" s="7" t="n">
        <v>214484</v>
      </c>
      <c r="C4506" s="7" t="n">
        <v>2302091</v>
      </c>
      <c r="D4506" s="7" t="n">
        <v>147645</v>
      </c>
      <c r="E4506" s="8" t="n">
        <v>41082</v>
      </c>
      <c r="F4506" s="7" t="n">
        <v>5</v>
      </c>
      <c r="G4506" s="7" t="inlineStr">
        <is>
          <t>I made this sauce vegan, using vegetable broth. Also I didn't have sherry, so used rice wine (mirin) instead. It's fabulous. I parboiled green beans, fried some cubed tofu until crispy, then stir-fried red pepper and onion, added the tofu and beans, and then the sauce, cooking it on high heat in the wok until it was reduced and clinging to all the ingredients. Hubby ate 2 humongous helpings with rice! This is the best szechuan sauce recipe I have ever found.</t>
        </is>
      </c>
    </row>
    <row r="4507" ht="409.5" customHeight="1">
      <c r="A4507" s="7" t="n">
        <v>20021</v>
      </c>
      <c r="B4507" s="7" t="n">
        <v>918067</v>
      </c>
      <c r="C4507" s="7" t="n">
        <v>86512</v>
      </c>
      <c r="D4507" s="7" t="n">
        <v>64331</v>
      </c>
      <c r="E4507" s="8" t="n">
        <v>37796</v>
      </c>
      <c r="F4507" s="7" t="n">
        <v>5</v>
      </c>
      <c r="G4507" s="9" t="inlineStr">
        <is>
          <t>This was soooo good!! Very refreshing. A nice change from Jell-o with fruit in it. It is really good with a whipped topping on it. I think next time I will try it with strawberry gelatin and strawberry pie filling. I'll let you know how it turns out if I do. Thanks for a tasty recipe!!_x000D_
_x000D_
Update:I made this today using strawberry jello and peach pie filling. It is really good. I did not have any Sprite or 7-up so I used cold water instead. It is really good!!</t>
        </is>
      </c>
    </row>
    <row r="4508">
      <c r="A4508" s="7" t="n">
        <v>25979</v>
      </c>
      <c r="B4508" s="7" t="n">
        <v>670332</v>
      </c>
      <c r="C4508" s="7" t="n">
        <v>452355</v>
      </c>
      <c r="D4508" s="7" t="n">
        <v>27907</v>
      </c>
      <c r="E4508" s="8" t="n">
        <v>41079</v>
      </c>
      <c r="F4508" s="7" t="n">
        <v>5</v>
      </c>
      <c r="G4508" s="7" t="inlineStr">
        <is>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is>
      </c>
    </row>
    <row r="4509">
      <c r="A4509" s="7" t="n">
        <v>84287</v>
      </c>
      <c r="B4509" s="7" t="n">
        <v>910096</v>
      </c>
      <c r="C4509" s="7" t="n">
        <v>229619</v>
      </c>
      <c r="D4509" s="7" t="n">
        <v>147494</v>
      </c>
      <c r="E4509" s="8" t="n">
        <v>38942</v>
      </c>
      <c r="F4509" s="7" t="n">
        <v>5</v>
      </c>
      <c r="G4509" s="7" t="inlineStr">
        <is>
          <t>Oh, oh, oh....  I don't know what to say about this recipe except it was soooooooooooo good!!  I understand about your kids licking their plates.  I wanted to do that too!  There's no more chicken but I'm gonna save the leftover sauce to eat with noodles tomorrow.  It makes plenty that you could cook 6-8 pieces of chicken and I will next time.  Super recipe!</t>
        </is>
      </c>
    </row>
    <row r="4510">
      <c r="A4510" s="7" t="n">
        <v>106530</v>
      </c>
      <c r="B4510" s="7" t="n">
        <v>974689</v>
      </c>
      <c r="C4510" s="7" t="n">
        <v>176615</v>
      </c>
      <c r="D4510" s="7" t="n">
        <v>224018</v>
      </c>
      <c r="E4510" s="8" t="n">
        <v>40195</v>
      </c>
      <c r="F4510" s="7" t="n">
        <v>5</v>
      </c>
      <c r="G4510" s="7" t="inlineStr">
        <is>
          <t>Great family meal. Easy to make and everyone loved it. Omitted the sugar, and divided the dish in half, making an 11x7 pan for dinner immediately, and freezing the rest in a deep-dish 9-inch foil pan for later. Thanks for sharing the recipe!</t>
        </is>
      </c>
    </row>
    <row r="4511">
      <c r="A4511" s="7" t="n">
        <v>123072</v>
      </c>
      <c r="B4511" s="7" t="n">
        <v>942724</v>
      </c>
      <c r="C4511" s="7" t="n">
        <v>1523091</v>
      </c>
      <c r="D4511" s="7" t="n">
        <v>17620</v>
      </c>
      <c r="E4511" s="8" t="n">
        <v>40242</v>
      </c>
      <c r="F4511" s="7" t="n">
        <v>5</v>
      </c>
      <c r="G4511" s="7" t="inlineStr">
        <is>
          <t>Yum! This really did taste like a creamsicle! So good. I did add extra ice cream. Make this! It is delicious :)</t>
        </is>
      </c>
    </row>
    <row r="4512">
      <c r="A4512" s="7" t="n">
        <v>244</v>
      </c>
      <c r="B4512" s="7" t="n">
        <v>879453</v>
      </c>
      <c r="C4512" s="7" t="n">
        <v>2434352</v>
      </c>
      <c r="D4512" s="7" t="n">
        <v>14192</v>
      </c>
      <c r="E4512" s="8" t="n">
        <v>41551</v>
      </c>
      <c r="F4512" s="7" t="n">
        <v>5</v>
      </c>
      <c r="G4512" s="7" t="inlineStr">
        <is>
          <t>I needed an affordable substitute for VegiZest, a no-salt seasoning and soup base. This recipe works well. I&amp;#039;ve just made a second batch; the first lasted six weeks. I use dehydrated mint from my garden--I&amp;#039;m not certain it&amp;#039;s spearmint, but it&amp;#039;s readily available to me.</t>
        </is>
      </c>
    </row>
    <row r="4513">
      <c r="A4513" s="7" t="n">
        <v>65179</v>
      </c>
      <c r="B4513" s="7" t="n">
        <v>506097</v>
      </c>
      <c r="C4513" s="7" t="n">
        <v>493242</v>
      </c>
      <c r="D4513" s="7" t="n">
        <v>111103</v>
      </c>
      <c r="E4513" s="8" t="n">
        <v>39204</v>
      </c>
      <c r="F4513" s="7" t="n">
        <v>4</v>
      </c>
      <c r="G4513" s="7" t="inlineStr">
        <is>
          <t>I halved this recipe and got a pretty good result. They came out more like biscuits than bread rolls, though, but were still very good nd soft in the center. I'll definitly be making these again and they're great for those days when you just don't feel up to kneading and rising.</t>
        </is>
      </c>
    </row>
    <row r="4514">
      <c r="A4514" s="7" t="n">
        <v>96480</v>
      </c>
      <c r="B4514" s="7" t="n">
        <v>1061810</v>
      </c>
      <c r="C4514" s="7" t="n">
        <v>461834</v>
      </c>
      <c r="D4514" s="7" t="n">
        <v>350722</v>
      </c>
      <c r="E4514" s="8" t="n">
        <v>40027</v>
      </c>
      <c r="F4514" s="7" t="n">
        <v>5</v>
      </c>
      <c r="G4514" s="7" t="inlineStr">
        <is>
          <t>Wonderful chocolate chip cookie recipe, as with most of Betty Crocker recipes!!!  I made these yesterday morning, 1/2 of the recipe, and they are almost gone.  I followed the recipe as written and wouldn't change a thing.  Thanks for sharing the recipe NWG!!</t>
        </is>
      </c>
    </row>
    <row r="4515">
      <c r="A4515" s="7" t="n">
        <v>2666</v>
      </c>
      <c r="B4515" s="7" t="n">
        <v>422315</v>
      </c>
      <c r="C4515" s="7" t="n">
        <v>219942</v>
      </c>
      <c r="D4515" s="7" t="n">
        <v>230470</v>
      </c>
      <c r="E4515" s="8" t="n">
        <v>39266</v>
      </c>
      <c r="F4515" s="7" t="n">
        <v>5</v>
      </c>
      <c r="G4515" s="7" t="inlineStr">
        <is>
          <t>Holy huge angus cow, ladies! This burger is so over the top Bill cooked with me!!! Now, there's a feat few can accomplish! But he was so excited about this bad boy burger he just couldn't help himself. I bought the leanest beef, but still he made the burgers WAY too wide, but he was in his element, so I just let him go. But then he was afraid of grilling them and maybe all the filling would be lost so I fried them. You gals are definitely Good Lookin' Cooking Mamas, (BABES in our book!) All these flavors came together SO well, I just can't tell you how much we loved it.Bill went to bed with a SMILE on his face, and he ate THE WHOLE THING! That just blew my mind. They don't make Kaiser rolls big enough for this burger, though! I will make this again to impress people and earn brownie points and favors, :winkers:, but will use everything called for with a burger patty as the base. You gals would have loved to be here with him looking over my shoulder when mine started to leak cheese! LOL! Our burgers were SO FAT, and he tried hard to keep the meat thin because I insisted...but they looked like ROASTS! Fabulous recipe, you gals rock! We followed the recipe except for using the canned diced jalapenos rather than the green chilies.</t>
        </is>
      </c>
    </row>
    <row r="4516">
      <c r="A4516" s="7" t="n">
        <v>81874</v>
      </c>
      <c r="B4516" s="7" t="n">
        <v>147816</v>
      </c>
      <c r="C4516" s="7" t="n">
        <v>283390</v>
      </c>
      <c r="D4516" s="7" t="n">
        <v>137874</v>
      </c>
      <c r="E4516" s="8" t="n">
        <v>39885</v>
      </c>
      <c r="F4516" s="7" t="n">
        <v>5</v>
      </c>
      <c r="G4516" s="7" t="inlineStr">
        <is>
          <t>This recipe was really good! We used red wine (not beer) and served it with with rice. I think this recipe made a generous 4 servings if served with rice (my boyfriend disagrees...he thinks it made 2 servings, but that's because it's hard to stop eating it). It was a very good use of my precious saffron threads. :) Thanks for posting!</t>
        </is>
      </c>
    </row>
    <row r="4517">
      <c r="A4517" s="7" t="n">
        <v>87222</v>
      </c>
      <c r="B4517" s="7" t="n">
        <v>115687</v>
      </c>
      <c r="C4517" s="7" t="n">
        <v>177753</v>
      </c>
      <c r="D4517" s="7" t="n">
        <v>154851</v>
      </c>
      <c r="E4517" s="8" t="n">
        <v>41091</v>
      </c>
      <c r="F4517" s="7" t="n">
        <v>4</v>
      </c>
      <c r="G4517" s="7" t="inlineStr">
        <is>
          <t>Perfect way to use up all those fresh raspberries from my garden. These were very moist and had the perfect amount of sweetness to complement the berries. Would definitely make these again!</t>
        </is>
      </c>
    </row>
    <row r="4518">
      <c r="A4518" s="7" t="n">
        <v>8656</v>
      </c>
      <c r="B4518" s="7" t="n">
        <v>638621</v>
      </c>
      <c r="C4518" s="7" t="n">
        <v>696423</v>
      </c>
      <c r="D4518" s="7" t="n">
        <v>279896</v>
      </c>
      <c r="E4518" s="8" t="n">
        <v>39913</v>
      </c>
      <c r="F4518" s="7" t="n">
        <v>5</v>
      </c>
      <c r="G4518" s="7" t="inlineStr">
        <is>
          <t>This was very good and so easy to make. I used Tilapia and olive oil. I plan to make this recipe on a regular basis.</t>
        </is>
      </c>
    </row>
    <row r="4519">
      <c r="A4519" s="7" t="n">
        <v>49211</v>
      </c>
      <c r="B4519" s="7" t="n">
        <v>348718</v>
      </c>
      <c r="C4519" s="7" t="n">
        <v>410727</v>
      </c>
      <c r="D4519" s="7" t="n">
        <v>50719</v>
      </c>
      <c r="E4519" s="8" t="n">
        <v>39273</v>
      </c>
      <c r="F4519" s="7" t="n">
        <v>3</v>
      </c>
      <c r="G4519" s="7" t="inlineStr">
        <is>
          <t>Good recipe. Perhaps more cupcake-like in texture than muffin-like, but good. I used a bit over 1 cup dried blueberries, plumped, and 1 cup chocolate chips. Fresh blueberries are probably not an option, where I live, but I would like to try this with frozen blueberries. Still, the combination of blueberries and chocolate chips was nice.</t>
        </is>
      </c>
    </row>
    <row r="4520">
      <c r="A4520" s="7" t="n">
        <v>12400</v>
      </c>
      <c r="B4520" s="7" t="n">
        <v>42304</v>
      </c>
      <c r="C4520" s="7" t="n">
        <v>67243</v>
      </c>
      <c r="D4520" s="7" t="n">
        <v>16696</v>
      </c>
      <c r="E4520" s="8" t="n">
        <v>39863</v>
      </c>
      <c r="F4520" s="7" t="n">
        <v>4</v>
      </c>
      <c r="G4520" s="7" t="inlineStr">
        <is>
          <t>Flavor is very good. Very soupy. I can see why you said you like to double the crackers. Maybe the recipe should be changed to reflect that, or perhaps should say to serve over rice or noodles. Flavor is great and I will make again, will probably double the chicken or make as is and serve over noodles.</t>
        </is>
      </c>
    </row>
    <row r="4521">
      <c r="A4521" t="n">
        <v>102406</v>
      </c>
      <c r="B4521" t="n">
        <v>214432</v>
      </c>
      <c r="C4521" t="n">
        <v>2001893548</v>
      </c>
      <c r="D4521" t="n">
        <v>145067</v>
      </c>
      <c r="E4521" s="1" t="n">
        <v>43096</v>
      </c>
      <c r="F4521" t="n">
        <v>5</v>
      </c>
      <c r="G4521" t="inlineStr">
        <is>
          <t>this is an awesome recipe. Thank you. 2 days later even better in the salad</t>
        </is>
      </c>
    </row>
    <row r="4522">
      <c r="A4522" s="7" t="n">
        <v>30246</v>
      </c>
      <c r="B4522" s="7" t="n">
        <v>607944</v>
      </c>
      <c r="C4522" s="7" t="n">
        <v>181781</v>
      </c>
      <c r="D4522" s="7" t="n">
        <v>64659</v>
      </c>
      <c r="E4522" s="8" t="n">
        <v>38818</v>
      </c>
      <c r="F4522" s="7" t="n">
        <v>5</v>
      </c>
      <c r="G4522" s="7" t="inlineStr">
        <is>
          <t>These were very good. I used regular flour and corn meal and that was a mistake. Use self-rising only. Great flavor.</t>
        </is>
      </c>
    </row>
    <row r="4523">
      <c r="A4523" t="n">
        <v>53825</v>
      </c>
      <c r="B4523" t="n">
        <v>620920</v>
      </c>
      <c r="C4523" t="n">
        <v>345756</v>
      </c>
      <c r="D4523" t="n">
        <v>74629</v>
      </c>
      <c r="E4523" s="1" t="n">
        <v>39806</v>
      </c>
      <c r="F4523" t="n">
        <v>5</v>
      </c>
      <c r="G4523" t="inlineStr">
        <is>
          <t>Delicious! and easy! I make this all the time now. I recommend using only 2 cups of chicken broth (and 1 cup water), I thought the chicken broth taste was too strong. Also doubling the amount of seasoning, using a whole white onion, and using colby jack cheese.</t>
        </is>
      </c>
    </row>
    <row r="4524">
      <c r="A4524" s="7" t="n">
        <v>2929</v>
      </c>
      <c r="B4524" s="7" t="n">
        <v>606464</v>
      </c>
      <c r="C4524" s="7" t="n">
        <v>168896</v>
      </c>
      <c r="D4524" s="7" t="n">
        <v>256017</v>
      </c>
      <c r="E4524" s="8" t="n">
        <v>39375</v>
      </c>
      <c r="F4524" s="7" t="n">
        <v>5</v>
      </c>
      <c r="G4524" s="7" t="inlineStr">
        <is>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is>
      </c>
    </row>
    <row r="4525">
      <c r="A4525" s="7" t="n">
        <v>56050</v>
      </c>
      <c r="B4525" s="7" t="n">
        <v>631340</v>
      </c>
      <c r="C4525" s="7" t="n">
        <v>525400</v>
      </c>
      <c r="D4525" s="7" t="n">
        <v>295280</v>
      </c>
      <c r="E4525" s="8" t="n">
        <v>39993</v>
      </c>
      <c r="F4525" s="7" t="n">
        <v>5</v>
      </c>
      <c r="G4525" s="7" t="inlineStr">
        <is>
          <t>This pancake is ooooh soooo good!  I halved the recipe and dusted the pancake with powdered sugar for just myself.  It is so quick and easy to make.  I'll be making this again and again.</t>
        </is>
      </c>
    </row>
    <row r="4526">
      <c r="A4526" s="7" t="n">
        <v>14816</v>
      </c>
      <c r="B4526" s="7" t="n">
        <v>1108747</v>
      </c>
      <c r="C4526" s="7" t="n">
        <v>70073</v>
      </c>
      <c r="D4526" s="7" t="n">
        <v>30358</v>
      </c>
      <c r="E4526" s="8" t="n">
        <v>39260</v>
      </c>
      <c r="F4526" s="7" t="n">
        <v>5</v>
      </c>
      <c r="G4526" s="7" t="inlineStr">
        <is>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is>
      </c>
    </row>
    <row r="4527">
      <c r="A4527" s="7" t="n">
        <v>63210</v>
      </c>
      <c r="B4527" s="7" t="n">
        <v>116773</v>
      </c>
      <c r="C4527" s="7" t="n">
        <v>691737</v>
      </c>
      <c r="D4527" s="7" t="n">
        <v>178348</v>
      </c>
      <c r="E4527" s="8" t="n">
        <v>40068</v>
      </c>
      <c r="F4527" s="7" t="n">
        <v>5</v>
      </c>
      <c r="G4527" s="7" t="inlineStr">
        <is>
          <t>10 stars if I could. Sooooo good! Thanks Tanya</t>
        </is>
      </c>
    </row>
    <row r="4528">
      <c r="A4528" s="7" t="n">
        <v>45957</v>
      </c>
      <c r="B4528" s="7" t="n">
        <v>1066325</v>
      </c>
      <c r="C4528" s="7" t="n">
        <v>1287695</v>
      </c>
      <c r="D4528" s="7" t="n">
        <v>278233</v>
      </c>
      <c r="E4528" s="8" t="n">
        <v>39969</v>
      </c>
      <c r="F4528" s="7" t="n">
        <v>4</v>
      </c>
      <c r="G4528" s="7" t="inlineStr">
        <is>
          <t>I used reg coconut milk and it was fab in a graham cracker crust!</t>
        </is>
      </c>
    </row>
    <row r="4529">
      <c r="A4529" s="7" t="n">
        <v>88430</v>
      </c>
      <c r="B4529" s="7" t="n">
        <v>269930</v>
      </c>
      <c r="C4529" s="7" t="n">
        <v>495568</v>
      </c>
      <c r="D4529" s="7" t="n">
        <v>32880</v>
      </c>
      <c r="E4529" s="8" t="n">
        <v>39562</v>
      </c>
      <c r="F4529" s="7" t="n">
        <v>5</v>
      </c>
      <c r="G4529" s="7" t="inlineStr">
        <is>
          <t>This was amazing! I made a lot of changes for healthy-ness reasons:) I used 6 egg whites instead of 3 eggs, 1 cup of sugar instead of two cups, 1 cup no sugar added applesauce, used 2 3/4 cups of whole wheat pastry flour, and only added cinnamon (I was out of everything else) and nuts. I baked at 350 for about 15-20 minutes in a square pan. I will probably add another half cup of apple sauce, as I like my cake super moist:)</t>
        </is>
      </c>
    </row>
    <row r="4530" ht="240" customHeight="1">
      <c r="A4530" s="7" t="n">
        <v>26225</v>
      </c>
      <c r="B4530" s="7" t="n">
        <v>801361</v>
      </c>
      <c r="C4530" s="7" t="n">
        <v>188119</v>
      </c>
      <c r="D4530" s="7" t="n">
        <v>100014</v>
      </c>
      <c r="E4530" s="8" t="n">
        <v>38470</v>
      </c>
      <c r="F4530" s="7" t="n">
        <v>5</v>
      </c>
      <c r="G4530" s="9" t="inlineStr">
        <is>
          <t xml:space="preserve">mm smells so good and tastes great too. I didn't change a thing. My parents and I loved it, thanks!_x000D_
_x000D_
</t>
        </is>
      </c>
    </row>
    <row r="4531">
      <c r="A4531" s="7" t="n">
        <v>119990</v>
      </c>
      <c r="B4531" s="7" t="n">
        <v>72132</v>
      </c>
      <c r="C4531" s="7" t="n">
        <v>2000893657</v>
      </c>
      <c r="D4531" s="7" t="n">
        <v>11420</v>
      </c>
      <c r="E4531" s="8" t="n">
        <v>43203</v>
      </c>
      <c r="F4531" s="7" t="n">
        <v>4</v>
      </c>
      <c r="G4531" s="7" t="inlineStr">
        <is>
          <t>My father, a Mississippi delta man, would roll over in his grave to know I used honey and applesauce in cornbread. But he would love this as he called it Yankee cornbread...with lottsa butter</t>
        </is>
      </c>
    </row>
    <row r="4532">
      <c r="A4532" s="7" t="n">
        <v>99351</v>
      </c>
      <c r="B4532" s="7" t="n">
        <v>231887</v>
      </c>
      <c r="C4532" s="7" t="n">
        <v>382071</v>
      </c>
      <c r="D4532" s="7" t="n">
        <v>177749</v>
      </c>
      <c r="E4532" s="8" t="n">
        <v>39314</v>
      </c>
      <c r="F4532" s="7" t="n">
        <v>4</v>
      </c>
      <c r="G4532" s="7" t="inlineStr">
        <is>
          <t>These are VERY GOOD SOFT HEALTHY bars. They didn't turn out flavorwise as expected though...they taste sort of like a bran muffin to me...that may be because I used 1c whole wheat pastry flour and 1c whole wheat flour. I also can't taste the chocolate or spices at all. This was my first experience with flax seeds...they're not bad. I used pecan chips and omitted the raisins so I could eat this on the South Beach diet.</t>
        </is>
      </c>
    </row>
    <row r="4533">
      <c r="A4533" s="7" t="n">
        <v>93641</v>
      </c>
      <c r="B4533" s="7" t="n">
        <v>264628</v>
      </c>
      <c r="C4533" s="7" t="n">
        <v>201581</v>
      </c>
      <c r="D4533" s="7" t="n">
        <v>232367</v>
      </c>
      <c r="E4533" s="8" t="n">
        <v>40401</v>
      </c>
      <c r="F4533" s="7" t="n">
        <v>5</v>
      </c>
      <c r="G4533" s="7" t="inlineStr">
        <is>
          <t>Made as posted using just 1 tablespoon sugar. Very sweet and refreshing. Thanks for posting dicentra. Made for Choose Your Event Party.</t>
        </is>
      </c>
    </row>
    <row r="4534">
      <c r="A4534" s="7" t="n">
        <v>84947</v>
      </c>
      <c r="B4534" s="7" t="n">
        <v>838441</v>
      </c>
      <c r="C4534" s="7" t="n">
        <v>209983</v>
      </c>
      <c r="D4534" s="7" t="n">
        <v>139728</v>
      </c>
      <c r="E4534" s="8" t="n">
        <v>38796</v>
      </c>
      <c r="F4534" s="7" t="n">
        <v>5</v>
      </c>
      <c r="G4534" s="7" t="inlineStr">
        <is>
          <t>This was really good. My daughter and I love mushrooms and potatoes and this was great.  My mushrooms were a tad dry as well but still tasted great, next time I may cover it for the last 15 mins or so of cooking.  I may also add a bit more garlic.  I LOVE LOVE LOVE the crispiness of the potatoes!!  This was a well loved recipe thanks for posting!!</t>
        </is>
      </c>
    </row>
    <row r="4535" ht="409.5" customHeight="1">
      <c r="A4535" s="7" t="n">
        <v>50001</v>
      </c>
      <c r="B4535" s="7" t="n">
        <v>967615</v>
      </c>
      <c r="C4535" s="7" t="n">
        <v>345852</v>
      </c>
      <c r="D4535" s="7" t="n">
        <v>165096</v>
      </c>
      <c r="E4535" s="8" t="n">
        <v>39406</v>
      </c>
      <c r="F4535" s="7" t="n">
        <v>3</v>
      </c>
      <c r="G4535" s="9" t="inlineStr">
        <is>
          <t>hmm... i wasn't sure about this. i made this on a whim last night - though again, i had only 1/2 a cup of coconut milk powder. 
i must have done something wrong - probably didn't boil the water long enough since i didnt know what one thread consistency is .. so when i poured it all out &amp; cooled it etc, it didn't have the consistency of barfi. it was really sticky so the best i could do was scrape it off my pan and roll it into tiny balls and told my toddler it was candy - and he loves it. 
it does taste like coconut candies we would have as kids - melts in the mouth, although too sweet for my taste. but my son loves it. 
thanks charishma.</t>
        </is>
      </c>
    </row>
    <row r="4536">
      <c r="A4536" s="7" t="n">
        <v>31944</v>
      </c>
      <c r="B4536" s="7" t="n">
        <v>289708</v>
      </c>
      <c r="C4536" s="7" t="n">
        <v>2359545</v>
      </c>
      <c r="D4536" s="7" t="n">
        <v>83890</v>
      </c>
      <c r="E4536" s="8" t="n">
        <v>42459</v>
      </c>
      <c r="F4536" s="7" t="n">
        <v>5</v>
      </c>
      <c r="G4536" s="7" t="inlineStr">
        <is>
          <t>Loved this tomato base albondigas!  Simple tasting.  I used 3 cloves of garlic and added 1 bay leaf.</t>
        </is>
      </c>
    </row>
    <row r="4537">
      <c r="A4537" s="7" t="n">
        <v>99924</v>
      </c>
      <c r="B4537" s="7" t="n">
        <v>191658</v>
      </c>
      <c r="C4537" s="7" t="n">
        <v>344231</v>
      </c>
      <c r="D4537" s="7" t="n">
        <v>173209</v>
      </c>
      <c r="E4537" s="8" t="n">
        <v>39362</v>
      </c>
      <c r="F4537" s="7" t="n">
        <v>5</v>
      </c>
      <c r="G4537" s="7" t="inlineStr">
        <is>
          <t>Wonderful addition to our salad tonight.  Great blend of flavors and very easy to put together!!! Thanks, Cabnolen, and please keep posting those recipes.  Made for PAC 2007. (:</t>
        </is>
      </c>
    </row>
    <row r="4538">
      <c r="A4538" s="7" t="n">
        <v>17362</v>
      </c>
      <c r="B4538" s="7" t="n">
        <v>52512</v>
      </c>
      <c r="C4538" s="7" t="n">
        <v>424680</v>
      </c>
      <c r="D4538" s="7" t="n">
        <v>387339</v>
      </c>
      <c r="E4538" s="8" t="n">
        <v>40647</v>
      </c>
      <c r="F4538" s="7" t="n">
        <v>5</v>
      </c>
      <c r="G4538" s="7" t="inlineStr">
        <is>
          <t>Very, very nice tasting salad, &amp; the only change I made was to cut back on the mayo by almost half! Served it with roast pork, with enough for snacking on the next day! Definitely a keeper recipe! Thanks for sharing it! [Made &amp; reviewed in 123 Hits tag]</t>
        </is>
      </c>
    </row>
    <row r="4539">
      <c r="A4539" s="7" t="n">
        <v>34391</v>
      </c>
      <c r="B4539" s="7" t="n">
        <v>802205</v>
      </c>
      <c r="C4539" s="7" t="n">
        <v>330505</v>
      </c>
      <c r="D4539" s="7" t="n">
        <v>241948</v>
      </c>
      <c r="E4539" s="8" t="n">
        <v>39320</v>
      </c>
      <c r="F4539" s="7" t="n">
        <v>4</v>
      </c>
      <c r="G4539" s="7" t="inlineStr">
        <is>
          <t>Very tasty.  I've never had avocado butter before.  I used it on my tilapia tonight and it added a nice tangy flavor.</t>
        </is>
      </c>
    </row>
    <row r="4540">
      <c r="A4540" s="7" t="n">
        <v>12052</v>
      </c>
      <c r="B4540" s="7" t="n">
        <v>1055623</v>
      </c>
      <c r="C4540" s="7" t="n">
        <v>328866</v>
      </c>
      <c r="D4540" s="7" t="n">
        <v>399264</v>
      </c>
      <c r="E4540" s="8" t="n">
        <v>40155</v>
      </c>
      <c r="F4540" s="7" t="n">
        <v>5</v>
      </c>
      <c r="G4540" s="7" t="inlineStr">
        <is>
          <t>This was a hit tonight!  I agree with previous reviewer that the pepperoni adds to the flavor.  I cheated a bit and just cooked frozen meatballs all day in the crockpot.  Will definitely become a regular in our house, we get tired of just plain old spaghetti &amp; meatballs!</t>
        </is>
      </c>
    </row>
    <row r="4541">
      <c r="A4541" s="7" t="n">
        <v>22357</v>
      </c>
      <c r="B4541" s="7" t="n">
        <v>1039931</v>
      </c>
      <c r="C4541" s="7" t="n">
        <v>41914555</v>
      </c>
      <c r="D4541" s="7" t="n">
        <v>59462</v>
      </c>
      <c r="E4541" s="8" t="n">
        <v>42947</v>
      </c>
      <c r="F4541" s="7" t="n">
        <v>3</v>
      </c>
      <c r="G4541" s="7" t="inlineStr">
        <is>
          <t>Pretzels came out soft and chewy, but did not taste the same, perhaps I did something wrong?</t>
        </is>
      </c>
    </row>
    <row r="4542">
      <c r="A4542" s="7" t="n">
        <v>37177</v>
      </c>
      <c r="B4542" s="7" t="n">
        <v>10725</v>
      </c>
      <c r="C4542" s="7" t="n">
        <v>1119406</v>
      </c>
      <c r="D4542" s="7" t="n">
        <v>66077</v>
      </c>
      <c r="E4542" s="8" t="n">
        <v>39822</v>
      </c>
      <c r="F4542" s="7" t="n">
        <v>5</v>
      </c>
      <c r="G4542" s="7" t="inlineStr">
        <is>
          <t>I was making a lemon cream roll and it called for Mascarpone Cheese. When I saw the price I thought, "NO WAY!" My lemon roll turned out beautifully!</t>
        </is>
      </c>
    </row>
    <row r="4543">
      <c r="A4543" s="7" t="n">
        <v>76767</v>
      </c>
      <c r="B4543" s="7" t="n">
        <v>998735</v>
      </c>
      <c r="C4543" s="7" t="n">
        <v>422893</v>
      </c>
      <c r="D4543" s="7" t="n">
        <v>119112</v>
      </c>
      <c r="E4543" s="8" t="n">
        <v>39811</v>
      </c>
      <c r="F4543" s="7" t="n">
        <v>5</v>
      </c>
      <c r="G4543" s="7" t="inlineStr">
        <is>
          <t>Yum, I never would have thought of using pesto &amp; tuna together but it definitely works. Thanks Kit for a tasty lunch in which I'm getting a good dose of Omega-3...</t>
        </is>
      </c>
    </row>
    <row r="4544">
      <c r="A4544" s="7" t="n">
        <v>5441</v>
      </c>
      <c r="B4544" s="7" t="n">
        <v>786335</v>
      </c>
      <c r="C4544" s="7" t="n">
        <v>327445</v>
      </c>
      <c r="D4544" s="7" t="n">
        <v>53323</v>
      </c>
      <c r="E4544" s="8" t="n">
        <v>38924</v>
      </c>
      <c r="F4544" s="7" t="n">
        <v>5</v>
      </c>
      <c r="G4544" s="7" t="inlineStr">
        <is>
          <t>For being low-fat, the shrimp was very tasty--it was sweet, and yet a little spicy!</t>
        </is>
      </c>
    </row>
    <row r="4545">
      <c r="A4545" s="7" t="n">
        <v>79970</v>
      </c>
      <c r="B4545" s="7" t="n">
        <v>764621</v>
      </c>
      <c r="C4545" s="7" t="n">
        <v>29300</v>
      </c>
      <c r="D4545" s="7" t="n">
        <v>114596</v>
      </c>
      <c r="E4545" s="8" t="n">
        <v>38494</v>
      </c>
      <c r="F4545" s="7" t="n">
        <v>4</v>
      </c>
      <c r="G4545" s="7" t="inlineStr">
        <is>
          <t xml:space="preserve">This was a nice and refreshing recipe and not too tart like some other lime recipes are. Very nice for this weekend. It was very hot outside. Thank you, Chia. </t>
        </is>
      </c>
    </row>
    <row r="4546">
      <c r="A4546" s="7" t="n">
        <v>126668</v>
      </c>
      <c r="B4546" s="7" t="n">
        <v>627862</v>
      </c>
      <c r="C4546" s="7" t="n">
        <v>68357</v>
      </c>
      <c r="D4546" s="7" t="n">
        <v>55285</v>
      </c>
      <c r="E4546" s="8" t="n">
        <v>37780</v>
      </c>
      <c r="F4546" s="7" t="n">
        <v>5</v>
      </c>
      <c r="G4546" s="7" t="inlineStr">
        <is>
          <t>The filling was very good and I liked the nutmeg addition.  In fact, I added a little extra nutmeg.  The salmon took about 15 min. to get done.  I enjoyed this but DH thought it was no better than plain fish with no filling.  Men!  For an alternate presentation,I can see making this again and putting filling on plate and then topping with unfilled, coated salmon.  This would be good with tuna or dolphin, too.</t>
        </is>
      </c>
    </row>
    <row r="4547">
      <c r="A4547" s="7" t="n">
        <v>115574</v>
      </c>
      <c r="B4547" s="7" t="n">
        <v>272334</v>
      </c>
      <c r="C4547" s="7" t="n">
        <v>373404</v>
      </c>
      <c r="D4547" s="7" t="n">
        <v>101814</v>
      </c>
      <c r="E4547" s="8" t="n">
        <v>39530</v>
      </c>
      <c r="F4547" s="7" t="n">
        <v>5</v>
      </c>
      <c r="G4547" s="7" t="inlineStr">
        <is>
          <t>We loved these!  Even dh, who is normally anti-health food, said they were good!  I used the Splenda brown sugar, and I couldn't even tell a difference in taste.  Thanks for the great recipe!</t>
        </is>
      </c>
    </row>
    <row r="4548">
      <c r="A4548" s="7" t="n">
        <v>58781</v>
      </c>
      <c r="B4548" s="7" t="n">
        <v>281513</v>
      </c>
      <c r="C4548" s="7" t="n">
        <v>1326857</v>
      </c>
      <c r="D4548" s="7" t="n">
        <v>68470</v>
      </c>
      <c r="E4548" s="8" t="n">
        <v>40195</v>
      </c>
      <c r="F4548" s="7" t="n">
        <v>5</v>
      </c>
      <c r="G4548" s="7" t="inlineStr">
        <is>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is>
      </c>
    </row>
    <row r="4549">
      <c r="A4549" s="7" t="n">
        <v>5001</v>
      </c>
      <c r="B4549" s="7" t="n">
        <v>45552</v>
      </c>
      <c r="C4549" s="7" t="n">
        <v>251917</v>
      </c>
      <c r="D4549" s="7" t="n">
        <v>57771</v>
      </c>
      <c r="E4549" s="8" t="n">
        <v>39625</v>
      </c>
      <c r="F4549" s="7" t="n">
        <v>5</v>
      </c>
      <c r="G4549" s="7" t="inlineStr">
        <is>
          <t>ZWT$ Mmmmm!! EXCELLENT! I love apple cakes and this is a perfect one us!!</t>
        </is>
      </c>
    </row>
    <row r="4550">
      <c r="A4550" s="7" t="n">
        <v>2154</v>
      </c>
      <c r="B4550" s="7" t="n">
        <v>591985</v>
      </c>
      <c r="C4550" s="7" t="n">
        <v>48305</v>
      </c>
      <c r="D4550" s="7" t="n">
        <v>118958</v>
      </c>
      <c r="E4550" s="8" t="n">
        <v>38482</v>
      </c>
      <c r="F4550" s="7" t="n">
        <v>5</v>
      </c>
      <c r="G4550" s="7" t="inlineStr">
        <is>
          <t>Fast, easy, and light. Next time I will put flour on the salmon before frying. I served it with stri fried vegies and rice. I will make again and again.</t>
        </is>
      </c>
    </row>
    <row r="4551">
      <c r="A4551" s="7" t="n">
        <v>53823</v>
      </c>
      <c r="B4551" s="7" t="n">
        <v>1068540</v>
      </c>
      <c r="C4551" s="7" t="n">
        <v>182010</v>
      </c>
      <c r="D4551" s="7" t="n">
        <v>20298</v>
      </c>
      <c r="E4551" s="8" t="n">
        <v>39380</v>
      </c>
      <c r="F4551" s="7" t="n">
        <v>5</v>
      </c>
      <c r="G4551" s="7" t="inlineStr">
        <is>
          <t>Excellent candy!  For me, using a silpat made it quite easy.  I just poured the crystallized nuts onto the mat, popped the mat into the oven--let nuts cool on the mat.  I slid the cooled nuts off the mat into the bowl of melted chocolate, mixed to coat, then poured the now chocolate covered nuts back onto the mat, and let them cool in the fridge.  This time I used whole almonds.  I look forward to trying this with other varieties of nuts.  Thanks, Mirj!</t>
        </is>
      </c>
    </row>
    <row r="4552">
      <c r="A4552" s="7" t="n">
        <v>11555</v>
      </c>
      <c r="B4552" s="7" t="n">
        <v>985026</v>
      </c>
      <c r="C4552" s="7" t="n">
        <v>117781</v>
      </c>
      <c r="D4552" s="7" t="n">
        <v>103243</v>
      </c>
      <c r="E4552" s="8" t="n">
        <v>38533</v>
      </c>
      <c r="F4552" s="7" t="n">
        <v>5</v>
      </c>
      <c r="G4552" s="7" t="inlineStr">
        <is>
          <t>This is an easy and tasty recipe.  I cut one tablespoon of the soy sauce out and added a tablespoon of oyster sauce instead and we were quite pleased with the results. Thanks for a great recipe.</t>
        </is>
      </c>
    </row>
    <row r="4553">
      <c r="A4553" s="7" t="n">
        <v>66179</v>
      </c>
      <c r="B4553" s="7" t="n">
        <v>1016765</v>
      </c>
      <c r="C4553" s="7" t="n">
        <v>2000681399</v>
      </c>
      <c r="D4553" s="7" t="n">
        <v>349246</v>
      </c>
      <c r="E4553" s="8" t="n">
        <v>42514</v>
      </c>
      <c r="F4553" s="7" t="n">
        <v>5</v>
      </c>
      <c r="G4553" s="7" t="inlineStr">
        <is>
          <t>I saw everyone saying to use milk instead of water, so I went one step further and used my favorite vanilla creamer (2 tbsp + 1/4 tsp to replace the liquid from the vanilla extract) instead and only used about half a tablespoon of sugar. I microwaved it for 60 seconds and it is rich and moist, so good for a chocolate fix!</t>
        </is>
      </c>
    </row>
    <row r="4554">
      <c r="A4554" s="7" t="n">
        <v>44200</v>
      </c>
      <c r="B4554" s="7" t="n">
        <v>833528</v>
      </c>
      <c r="C4554" s="7" t="n">
        <v>237427</v>
      </c>
      <c r="D4554" s="7" t="n">
        <v>19211</v>
      </c>
      <c r="E4554" s="8" t="n">
        <v>39001</v>
      </c>
      <c r="F4554" s="7" t="n">
        <v>5</v>
      </c>
      <c r="G4554" s="7" t="inlineStr">
        <is>
          <t>My little girl (8) made this for her Father, for Fathers Day breakfast. To see her face as she put this out on the table for all of us was the best as she did it all by herself We enjoyed this so much that we are now haveing it for breakfast most days. I also added canned mangos. Thank you for putting this up. and a big smile from Emma</t>
        </is>
      </c>
    </row>
    <row r="4555">
      <c r="A4555" s="7" t="n">
        <v>119336</v>
      </c>
      <c r="B4555" s="7" t="n">
        <v>136600</v>
      </c>
      <c r="C4555" s="7" t="n">
        <v>103245</v>
      </c>
      <c r="D4555" s="7" t="n">
        <v>44888</v>
      </c>
      <c r="E4555" s="8" t="n">
        <v>37904</v>
      </c>
      <c r="F4555" s="7" t="n">
        <v>5</v>
      </c>
      <c r="G4555" s="7" t="inlineStr">
        <is>
          <t>WE SERVED THESE TO OUR GUESTS OVER THE WEEKEND.everyone loved them. I added  a good sprinkling of cheyenne pepper to the wings before baking. I will make these alot. Great finger food. Gina</t>
        </is>
      </c>
    </row>
    <row r="4556">
      <c r="A4556" s="7" t="n">
        <v>7861</v>
      </c>
      <c r="B4556" s="7" t="n">
        <v>160068</v>
      </c>
      <c r="C4556" s="7" t="n">
        <v>2001297534</v>
      </c>
      <c r="D4556" s="7" t="n">
        <v>20711</v>
      </c>
      <c r="E4556" s="8" t="n">
        <v>42842</v>
      </c>
      <c r="F4556" s="7" t="n">
        <v>5</v>
      </c>
      <c r="G4556" s="7" t="inlineStr">
        <is>
          <t>I was looking for something new to try with ham steak and decided to try this recipe. I'm glad I did. The sauce was easy to make and had a lot of flavor. It definitely has made my make again list.</t>
        </is>
      </c>
    </row>
    <row r="4557">
      <c r="A4557" s="7" t="n">
        <v>121804</v>
      </c>
      <c r="B4557" s="7" t="n">
        <v>524987</v>
      </c>
      <c r="C4557" s="7" t="n">
        <v>121985</v>
      </c>
      <c r="D4557" s="7" t="n">
        <v>17398</v>
      </c>
      <c r="E4557" s="8" t="n">
        <v>39603</v>
      </c>
      <c r="F4557" s="7" t="n">
        <v>4</v>
      </c>
      <c r="G4557" s="7" t="inlineStr">
        <is>
          <t>This had a great flavor, but I think I blanched mine too long because the broccoli turned to mush.  I will try again becuase it was a very tastey dish.</t>
        </is>
      </c>
    </row>
    <row r="4558" ht="409.5" customHeight="1">
      <c r="A4558" s="7" t="n">
        <v>46056</v>
      </c>
      <c r="B4558" s="7" t="n">
        <v>784937</v>
      </c>
      <c r="C4558" s="7" t="n">
        <v>593675</v>
      </c>
      <c r="D4558" s="7" t="n">
        <v>181935</v>
      </c>
      <c r="E4558" s="8" t="n">
        <v>39652</v>
      </c>
      <c r="F4558" s="7" t="n">
        <v>5</v>
      </c>
      <c r="G4558" s="9" t="inlineStr">
        <is>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is>
      </c>
    </row>
    <row r="4559">
      <c r="A4559" s="7" t="n">
        <v>113916</v>
      </c>
      <c r="B4559" s="7" t="n">
        <v>349002</v>
      </c>
      <c r="C4559" s="7" t="n">
        <v>1803099400</v>
      </c>
      <c r="D4559" s="7" t="n">
        <v>50719</v>
      </c>
      <c r="E4559" s="8" t="n">
        <v>41884</v>
      </c>
      <c r="F4559" s="7" t="n">
        <v>5</v>
      </c>
      <c r="G4559" s="7" t="inlineStr">
        <is>
          <t>These muffins were easy and DELICIOUS to make! I overfilled my muffin cups(can&amp;#039;t help myself) And they baked up the perfect amount and didn&amp;#039;t look funky at all! I used fresh blueberries because I don&amp;#039;t about y&amp;#039;all, but I can&amp;#039;t stand that blue/grey color that frozen blueberries give off after baked! These were even better the next day, as they got that nice soft sticky top! I will for sure be using this recipe many more times!</t>
        </is>
      </c>
    </row>
    <row r="4560">
      <c r="A4560" s="7" t="n">
        <v>12254</v>
      </c>
      <c r="B4560" s="7" t="n">
        <v>333005</v>
      </c>
      <c r="C4560" s="7" t="n">
        <v>28729</v>
      </c>
      <c r="D4560" s="7" t="n">
        <v>135210</v>
      </c>
      <c r="E4560" s="8" t="n">
        <v>38614</v>
      </c>
      <c r="F4560" s="7" t="n">
        <v>5</v>
      </c>
      <c r="G4560" s="7" t="inlineStr">
        <is>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is>
      </c>
    </row>
    <row r="4561">
      <c r="A4561" s="7" t="n">
        <v>108128</v>
      </c>
      <c r="B4561" s="7" t="n">
        <v>1072037</v>
      </c>
      <c r="C4561" s="7" t="n">
        <v>219352</v>
      </c>
      <c r="D4561" s="7" t="n">
        <v>145573</v>
      </c>
      <c r="E4561" s="8" t="n">
        <v>38863</v>
      </c>
      <c r="F4561" s="7" t="n">
        <v>5</v>
      </c>
      <c r="G4561" s="7" t="inlineStr">
        <is>
          <t>LOVE, LOVE, LOVE these.  Not much more that needs to be said :)</t>
        </is>
      </c>
    </row>
    <row r="4562">
      <c r="A4562" s="7" t="n">
        <v>109619</v>
      </c>
      <c r="B4562" s="7" t="n">
        <v>924007</v>
      </c>
      <c r="C4562" s="7" t="n">
        <v>22311</v>
      </c>
      <c r="D4562" s="7" t="n">
        <v>13293</v>
      </c>
      <c r="E4562" s="8" t="n">
        <v>37192</v>
      </c>
      <c r="F4562" s="7" t="n">
        <v>5</v>
      </c>
      <c r="G4562" s="7" t="inlineStr">
        <is>
          <t>This is an incredible dish,easy,fast,i had time to cook and entertain.Everybody raved about it.I can't see eating salmon any other way now.</t>
        </is>
      </c>
    </row>
    <row r="4563">
      <c r="A4563" s="7" t="n">
        <v>106265</v>
      </c>
      <c r="B4563" s="7" t="n">
        <v>184560</v>
      </c>
      <c r="C4563" s="7" t="n">
        <v>58439</v>
      </c>
      <c r="D4563" s="7" t="n">
        <v>287510</v>
      </c>
      <c r="E4563" s="8" t="n">
        <v>40426</v>
      </c>
      <c r="F4563" s="7" t="n">
        <v>5</v>
      </c>
      <c r="G4563" s="7" t="inlineStr">
        <is>
          <t>For presentation, this is REALLY great, TRUE!&lt;br/&gt;By accident I put the cheese mixed through the finely chopped lettuce too!&lt;br/&gt;Then drizzled the dressing, LOOKED like I really did fuss on the day!&lt;br/&gt;Next time might try using a pastry brush to do the whole won ton BEFORE I put it into the mini muffin mold too!&lt;br/&gt;As had a little difficulty getting the too large brush to coat the wrappers so they could also even bake, TRUE!&lt;br/&gt;But totally did not take anything away,&lt;br/&gt;The recipe is a keeper and in my cook books it will stay! THANKS! :)</t>
        </is>
      </c>
    </row>
    <row r="4564">
      <c r="A4564" s="7" t="n">
        <v>105328</v>
      </c>
      <c r="B4564" s="7" t="n">
        <v>283600</v>
      </c>
      <c r="C4564" s="7" t="n">
        <v>2666285</v>
      </c>
      <c r="D4564" s="7" t="n">
        <v>201134</v>
      </c>
      <c r="E4564" s="8" t="n">
        <v>41303</v>
      </c>
      <c r="F4564" s="7" t="n">
        <v>5</v>
      </c>
      <c r="G4564" s="7" t="inlineStr">
        <is>
          <t>Excellent..easy  very light...A</t>
        </is>
      </c>
    </row>
    <row r="4565">
      <c r="A4565" s="7" t="n">
        <v>114715</v>
      </c>
      <c r="B4565" s="7" t="n">
        <v>1096477</v>
      </c>
      <c r="C4565" s="7" t="n">
        <v>173579</v>
      </c>
      <c r="D4565" s="7" t="n">
        <v>39961</v>
      </c>
      <c r="E4565" s="8" t="n">
        <v>40334</v>
      </c>
      <c r="F4565" s="7" t="n">
        <v>5</v>
      </c>
      <c r="G4565" s="7" t="inlineStr">
        <is>
          <t>Great salad!  Nice combination of ingredients.  Thanks for posting.</t>
        </is>
      </c>
    </row>
    <row r="4566">
      <c r="A4566" s="7" t="n">
        <v>30652</v>
      </c>
      <c r="B4566" s="7" t="n">
        <v>93573</v>
      </c>
      <c r="C4566" s="7" t="n">
        <v>1175362</v>
      </c>
      <c r="D4566" s="7" t="n">
        <v>459993</v>
      </c>
      <c r="E4566" s="8" t="n">
        <v>42659</v>
      </c>
      <c r="F4566" s="7" t="n">
        <v>5</v>
      </c>
      <c r="G4566" s="7" t="inlineStr">
        <is>
          <t>Quick and delicious sauce/condiment for stir fries. I made Char Siu Pork Corn and Bok Choy Stir Fry posted by The Flying Chef (also very delicious) which called for adding Char Siu sauce at the end and was glad to find a recipe to make it! Tasty, thanks!</t>
        </is>
      </c>
    </row>
    <row r="4567">
      <c r="A4567" t="n">
        <v>28482</v>
      </c>
      <c r="B4567" t="n">
        <v>945867</v>
      </c>
      <c r="C4567" t="n">
        <v>71517</v>
      </c>
      <c r="D4567" t="n">
        <v>159934</v>
      </c>
      <c r="E4567" s="1" t="n">
        <v>40322</v>
      </c>
      <c r="F4567" t="n">
        <v>3</v>
      </c>
      <c r="G4567" t="inlineStr">
        <is>
          <t>I found this to be way too much lemon -- even after I added the remainder of the 1-pound bag of orzo to the salad in an attempt to dilute it -- but my dining companions all went back for seconds, making happy exclamations about freshness and lemonyness. You may wish to start out with a little less zest and juice and add more after tasting the result. I browned the onions in a spritz of olive oil first, fearing that raw red onions would be too much bite. This compacts them, and I think a whole red onion would be delightful if you go with the pre-cooking route.</t>
        </is>
      </c>
    </row>
    <row r="4568">
      <c r="A4568" s="7" t="n">
        <v>22540</v>
      </c>
      <c r="B4568" s="7" t="n">
        <v>503713</v>
      </c>
      <c r="C4568" s="7" t="n">
        <v>848920</v>
      </c>
      <c r="D4568" s="7" t="n">
        <v>237999</v>
      </c>
      <c r="E4568" s="8" t="n">
        <v>39596</v>
      </c>
      <c r="F4568" s="7" t="n">
        <v>5</v>
      </c>
      <c r="G4568" s="7" t="inlineStr">
        <is>
          <t>When I make this I always use reg parmesan and asiago, half and half, I like the tangy taste of the asiago and thats a lot less expensive then the Parmigaiano-Reggiano....</t>
        </is>
      </c>
    </row>
    <row r="4569">
      <c r="A4569" s="7" t="n">
        <v>3866</v>
      </c>
      <c r="B4569" s="7" t="n">
        <v>348022</v>
      </c>
      <c r="C4569" s="7" t="n">
        <v>2000028256</v>
      </c>
      <c r="D4569" s="7" t="n">
        <v>44133</v>
      </c>
      <c r="E4569" s="8" t="n">
        <v>42255</v>
      </c>
      <c r="F4569" s="7" t="n">
        <v>3</v>
      </c>
      <c r="G4569" s="7" t="inlineStr">
        <is>
          <t>Expected more. Cut down on the salt like others recommended. Don&amp;#039;t like olives so skipped that. Otherwise followed recipe. It was good just not great.</t>
        </is>
      </c>
    </row>
    <row r="4570">
      <c r="A4570" s="7" t="n">
        <v>24393</v>
      </c>
      <c r="B4570" s="7" t="n">
        <v>631339</v>
      </c>
      <c r="C4570" s="7" t="n">
        <v>446143</v>
      </c>
      <c r="D4570" s="7" t="n">
        <v>295280</v>
      </c>
      <c r="E4570" s="8" t="n">
        <v>39560</v>
      </c>
      <c r="F4570" s="7" t="n">
        <v>5</v>
      </c>
      <c r="G4570" s="7" t="inlineStr">
        <is>
          <t>Yummy and easy!  I halved the recipe for just myself, using a slightly smaller oven dish.  I also used egg substitute for the egg, and almond milk for the regular milk.  I used white whole wheat flour as well, and added a bit of Stevia herb for sweetening.  Topped with fresh strawberries and sugar-free maple syrup.  This was very filling and healthy, thanks!</t>
        </is>
      </c>
    </row>
    <row r="4571">
      <c r="A4571" s="7" t="n">
        <v>3842</v>
      </c>
      <c r="B4571" s="7" t="n">
        <v>997374</v>
      </c>
      <c r="C4571" s="7" t="n">
        <v>5060</v>
      </c>
      <c r="D4571" s="7" t="n">
        <v>114409</v>
      </c>
      <c r="E4571" s="8" t="n">
        <v>39482</v>
      </c>
      <c r="F4571" s="7" t="n">
        <v>4</v>
      </c>
      <c r="G4571" s="7" t="inlineStr">
        <is>
          <t>very good!! we like the sauce, it added a lot of depth to the chops. Just did 2 chops.  Next time i may add a little hot sauce to give a little kick.  I agree with the other reviewer, I think the recipe would be improved to marinate the cops for at least an hour and will try this next time. Served with steamed carrots and celery and recipe #17694  Thanks for posting.</t>
        </is>
      </c>
    </row>
    <row r="4572">
      <c r="A4572" s="7" t="n">
        <v>57315</v>
      </c>
      <c r="B4572" s="7" t="n">
        <v>773774</v>
      </c>
      <c r="C4572" s="7" t="n">
        <v>318262</v>
      </c>
      <c r="D4572" s="7" t="n">
        <v>381634</v>
      </c>
      <c r="E4572" s="8" t="n">
        <v>41552</v>
      </c>
      <c r="F4572" s="7" t="n">
        <v>4</v>
      </c>
      <c r="G4572" s="7" t="inlineStr">
        <is>
          <t>This was definitely moist but I prefer even chocolatey!</t>
        </is>
      </c>
    </row>
    <row r="4573">
      <c r="A4573" s="7" t="n">
        <v>12880</v>
      </c>
      <c r="B4573" s="7" t="n">
        <v>999895</v>
      </c>
      <c r="C4573" s="7" t="n">
        <v>22720</v>
      </c>
      <c r="D4573" s="7" t="n">
        <v>51501</v>
      </c>
      <c r="E4573" s="8" t="n">
        <v>39586</v>
      </c>
      <c r="F4573" s="7" t="n">
        <v>5</v>
      </c>
      <c r="G4573" s="7" t="inlineStr">
        <is>
          <t>You are not kidding! The smell is so heavenly while this roast is cooking It's hard not to salivate! I was cooking this with windows open in my condo and i had a few extra visitors! My mom told me she could smell it from outside. I had never tried whole stone ground mustard before this recipe. So i tried a spoonful before adding it to the roast. Wow! it's so good that i added extra on the roast and in the sauce. I used a 3.3 lb roast and it was gone in seconds. Really...I cooked the roast with Yukon gold potatoes, Parsnips, Carrots, Onions and Celery. The roasted vegetables also seemed to disappear quickly. The sauce is very, very good. If i didn't find the idea of drinking gravy replusive i'd drink this sauce/gravy. yeah, It's that good. I'm making this again, and again, and again. No complaints from me. Thanks very, very, very much for sharing this.</t>
        </is>
      </c>
    </row>
    <row r="4574">
      <c r="A4574" t="n">
        <v>59762</v>
      </c>
      <c r="B4574" t="n">
        <v>869043</v>
      </c>
      <c r="C4574" t="n">
        <v>2121663</v>
      </c>
      <c r="D4574" t="n">
        <v>332323</v>
      </c>
      <c r="E4574" s="1" t="n">
        <v>40902</v>
      </c>
      <c r="F4574" t="n">
        <v>0</v>
      </c>
      <c r="G4574" t="inlineStr">
        <is>
          <t>I had a recipe like this many years ago that I made my on oldest son was a toddler. This is the 1st time I have been able to find it again!!!!! THANK YOU!!!</t>
        </is>
      </c>
    </row>
    <row r="4575">
      <c r="A4575" s="7" t="n">
        <v>38008</v>
      </c>
      <c r="B4575" s="7" t="n">
        <v>256532</v>
      </c>
      <c r="C4575" s="7" t="n">
        <v>209747</v>
      </c>
      <c r="D4575" s="7" t="n">
        <v>217537</v>
      </c>
      <c r="E4575" s="8" t="n">
        <v>39416</v>
      </c>
      <c r="F4575" s="7" t="n">
        <v>5</v>
      </c>
      <c r="G4575" s="7" t="inlineStr">
        <is>
          <t>Yum! This was a perfectly delicious end to a horrific day! Thank you so much for sharing this recipe! Cheers V! Made for Beverage Tag!</t>
        </is>
      </c>
    </row>
    <row r="4576">
      <c r="A4576" s="7" t="n">
        <v>97091</v>
      </c>
      <c r="B4576" s="7" t="n">
        <v>587750</v>
      </c>
      <c r="C4576" s="7" t="n">
        <v>173558</v>
      </c>
      <c r="D4576" s="7" t="n">
        <v>73062</v>
      </c>
      <c r="E4576" s="8" t="n">
        <v>39013</v>
      </c>
      <c r="F4576" s="7" t="n">
        <v>4</v>
      </c>
      <c r="G4576" s="7" t="inlineStr">
        <is>
          <t>Really liked this recipe. I used store bought bread crumbs to save on time, but I bet using fresh would have made these even better. Great recipe. Thanks.</t>
        </is>
      </c>
    </row>
    <row r="4577">
      <c r="A4577" s="7" t="n">
        <v>70440</v>
      </c>
      <c r="B4577" s="7" t="n">
        <v>730248</v>
      </c>
      <c r="C4577" s="7" t="n">
        <v>1663799</v>
      </c>
      <c r="D4577" s="7" t="n">
        <v>287812</v>
      </c>
      <c r="E4577" s="8" t="n">
        <v>40682</v>
      </c>
      <c r="F4577" s="7" t="n">
        <v>0</v>
      </c>
      <c r="G4577" s="7" t="inlineStr">
        <is>
          <t>um.. this recipe seems to be missing the  time its in the oven.. I am assuming 350 oven  for what 1 hour or until browned? Oh well just thought you needed to know info is missing.. &lt;br/&gt;&lt;br/&gt;Sounds good,.. Will be making this eventually.. &lt;br/&gt;&lt;br/&gt;thanks</t>
        </is>
      </c>
    </row>
    <row r="4578">
      <c r="A4578" s="7" t="n">
        <v>19323</v>
      </c>
      <c r="B4578" s="7" t="n">
        <v>75668</v>
      </c>
      <c r="C4578" s="7" t="n">
        <v>46660</v>
      </c>
      <c r="D4578" s="7" t="n">
        <v>31351</v>
      </c>
      <c r="E4578" s="8" t="n">
        <v>37599</v>
      </c>
      <c r="F4578" s="7" t="n">
        <v>5</v>
      </c>
      <c r="G4578" s="7" t="inlineStr">
        <is>
          <t>Oh my goodness!  What a delicious dish!  And easy too...I love that!  Everyone raved about it, even my stepson who is very, very picky.  When I told him there were cheese and mushrooms in it, he was stunned, because he always says that he hates them both.  I served it with mashed potatoes and steamed broccoli.  I can definitely see why you have been making this one for 30 years, Inez.  Thanks, yet again, for another wonderful recipe!</t>
        </is>
      </c>
    </row>
    <row r="4579">
      <c r="A4579" s="7" t="n">
        <v>89173</v>
      </c>
      <c r="B4579" s="7" t="n">
        <v>642684</v>
      </c>
      <c r="C4579" s="7" t="n">
        <v>718620</v>
      </c>
      <c r="D4579" s="7" t="n">
        <v>35988</v>
      </c>
      <c r="E4579" s="8" t="n">
        <v>39868</v>
      </c>
      <c r="F4579" s="7" t="n">
        <v>5</v>
      </c>
      <c r="G4579" s="7" t="inlineStr">
        <is>
          <t>awesome.  i used a can of diced tomatoes, a bag of frozen cheese tortellini, omitted the parmesan cheese, and used fresh spinach until it wilted - i'll be making this a lot, it's so easy</t>
        </is>
      </c>
    </row>
    <row r="4580">
      <c r="A4580" s="7" t="n">
        <v>95693</v>
      </c>
      <c r="B4580" s="7" t="n">
        <v>460996</v>
      </c>
      <c r="C4580" s="7" t="n">
        <v>223854</v>
      </c>
      <c r="D4580" s="7" t="n">
        <v>224221</v>
      </c>
      <c r="E4580" s="8" t="n">
        <v>39239</v>
      </c>
      <c r="F4580" s="7" t="n">
        <v>5</v>
      </c>
      <c r="G4580" s="7" t="inlineStr">
        <is>
          <t>This was very yummy, healthy and easy to put together. We are big miso soup fans and enjoy Japanese food so we really wanted to make this one.  The only change I made was I omitted the red chilli so Little Miss (DD) was able to eat it but I added one tablespoon of red capsicum for the colour.  Thank you AmandaInOz</t>
        </is>
      </c>
    </row>
    <row r="4581">
      <c r="A4581" s="7" t="n">
        <v>28796</v>
      </c>
      <c r="B4581" s="7" t="n">
        <v>1060667</v>
      </c>
      <c r="C4581" s="7" t="n">
        <v>126440</v>
      </c>
      <c r="D4581" s="7" t="n">
        <v>149784</v>
      </c>
      <c r="E4581" s="8" t="n">
        <v>40251</v>
      </c>
      <c r="F4581" s="7" t="n">
        <v>5</v>
      </c>
      <c r="G4581" s="7" t="inlineStr">
        <is>
          <t>I used a pork loin and let it sit for three hours.  Great served with the sauce from Recipe #413695.</t>
        </is>
      </c>
    </row>
    <row r="4582">
      <c r="A4582" s="7" t="n">
        <v>29953</v>
      </c>
      <c r="B4582" s="7" t="n">
        <v>704549</v>
      </c>
      <c r="C4582" s="7" t="n">
        <v>131126</v>
      </c>
      <c r="D4582" s="7" t="n">
        <v>480364</v>
      </c>
      <c r="E4582" s="8" t="n">
        <v>41083</v>
      </c>
      <c r="F4582" s="7" t="n">
        <v>5</v>
      </c>
      <c r="G4582" s="7" t="inlineStr">
        <is>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is>
      </c>
    </row>
    <row r="4583">
      <c r="A4583" s="7" t="n">
        <v>98796</v>
      </c>
      <c r="B4583" s="7" t="n">
        <v>1021843</v>
      </c>
      <c r="C4583" s="7" t="n">
        <v>373020</v>
      </c>
      <c r="D4583" s="7" t="n">
        <v>459984</v>
      </c>
      <c r="E4583" s="8" t="n">
        <v>40741</v>
      </c>
      <c r="F4583" s="7" t="n">
        <v>5</v>
      </c>
      <c r="G4583" s="7" t="inlineStr">
        <is>
          <t>I made this minus the chives, due to children.  I loved the creaminess.  Salt and pepper is a must!!  I like freshly ground.  The sour cream adds to this dish,  potatoes LOVE sour cream.</t>
        </is>
      </c>
    </row>
    <row r="4584" ht="409.5" customHeight="1">
      <c r="A4584" s="7" t="n">
        <v>115740</v>
      </c>
      <c r="B4584" s="7" t="n">
        <v>267777</v>
      </c>
      <c r="C4584" s="7" t="n">
        <v>54067</v>
      </c>
      <c r="D4584" s="7" t="n">
        <v>92499</v>
      </c>
      <c r="E4584" s="8" t="n">
        <v>38877</v>
      </c>
      <c r="F4584" s="7" t="n">
        <v>5</v>
      </c>
      <c r="G4584" s="9" t="inlineStr">
        <is>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is>
      </c>
    </row>
    <row r="4585">
      <c r="A4585" s="7" t="n">
        <v>38692</v>
      </c>
      <c r="B4585" s="7" t="n">
        <v>111586</v>
      </c>
      <c r="C4585" s="7" t="n">
        <v>138016</v>
      </c>
      <c r="D4585" s="7" t="n">
        <v>65193</v>
      </c>
      <c r="E4585" s="8" t="n">
        <v>38503</v>
      </c>
      <c r="F4585" s="7" t="n">
        <v>5</v>
      </c>
      <c r="G4585" s="7" t="inlineStr">
        <is>
          <t>This recipe worked perfectly.  Thanks!</t>
        </is>
      </c>
    </row>
    <row r="4586">
      <c r="A4586" s="7" t="n">
        <v>60088</v>
      </c>
      <c r="B4586" s="7" t="n">
        <v>19687</v>
      </c>
      <c r="C4586" s="7" t="n">
        <v>456679</v>
      </c>
      <c r="D4586" s="7" t="n">
        <v>16996</v>
      </c>
      <c r="E4586" s="8" t="n">
        <v>39203</v>
      </c>
      <c r="F4586" s="7" t="n">
        <v>5</v>
      </c>
      <c r="G4586" s="7" t="inlineStr">
        <is>
          <t>Wonderful Soup.  I added carrots, onion, snow peas, green pepper, potatoes and whatever else I could find in my fridge to use up.  This was just what I was looking for.  I added garlic and a bay leaf.  Thanks, just what I need for tonight and it had great flavor.</t>
        </is>
      </c>
    </row>
    <row r="4587">
      <c r="A4587" s="7" t="n">
        <v>52667</v>
      </c>
      <c r="B4587" s="7" t="n">
        <v>1099405</v>
      </c>
      <c r="C4587" s="7" t="n">
        <v>1799376</v>
      </c>
      <c r="D4587" s="7" t="n">
        <v>62180</v>
      </c>
      <c r="E4587" s="8" t="n">
        <v>40716</v>
      </c>
      <c r="F4587" s="7" t="n">
        <v>5</v>
      </c>
      <c r="G4587" s="7" t="inlineStr">
        <is>
          <t>Fantastic as a sandwich on crusty bread!!  Great for leftovers...if there's any left that is.</t>
        </is>
      </c>
    </row>
    <row r="4588">
      <c r="A4588" s="7" t="n">
        <v>72453</v>
      </c>
      <c r="B4588" s="7" t="n">
        <v>588877</v>
      </c>
      <c r="C4588" s="7" t="n">
        <v>35848</v>
      </c>
      <c r="D4588" s="7" t="n">
        <v>17865</v>
      </c>
      <c r="E4588" s="8" t="n">
        <v>38191</v>
      </c>
      <c r="F4588" s="7" t="n">
        <v>5</v>
      </c>
      <c r="G4588" s="7" t="inlineStr">
        <is>
          <t>This is so cool  - I remember this recipe in my Kids Betty Crocker cookbook when I was a kid.  I made it for my granddaughters   - 1 and 4 and they loved it!!  The adults ate quite a few also!</t>
        </is>
      </c>
    </row>
    <row r="4589">
      <c r="A4589" s="7" t="n">
        <v>30139</v>
      </c>
      <c r="B4589" s="7" t="n">
        <v>341227</v>
      </c>
      <c r="C4589" s="7" t="n">
        <v>48447</v>
      </c>
      <c r="D4589" s="7" t="n">
        <v>33381</v>
      </c>
      <c r="E4589" s="8" t="n">
        <v>37835</v>
      </c>
      <c r="F4589" s="7" t="n">
        <v>5</v>
      </c>
      <c r="G4589" s="7" t="inlineStr">
        <is>
          <t>Great recipe....I have made this several times and always asked to pass the recipe on!  I add an onion to it as my grandmother made something similar with onions too.</t>
        </is>
      </c>
    </row>
    <row r="4590">
      <c r="A4590" s="7" t="n">
        <v>14658</v>
      </c>
      <c r="B4590" s="7" t="n">
        <v>623335</v>
      </c>
      <c r="C4590" s="7" t="n">
        <v>135470</v>
      </c>
      <c r="D4590" s="7" t="n">
        <v>421073</v>
      </c>
      <c r="E4590" s="8" t="n">
        <v>40342</v>
      </c>
      <c r="F4590" s="7" t="n">
        <v>4</v>
      </c>
      <c r="G4590" s="7" t="inlineStr">
        <is>
          <t>My couscous came out perfectly cooked. I made it with chicken broth and butter. Thanks Rita.  Made for ZWT 6 by one of the Unrulies Under the Influence.</t>
        </is>
      </c>
    </row>
    <row r="4591">
      <c r="A4591" s="7" t="n">
        <v>16369</v>
      </c>
      <c r="B4591" s="7" t="n">
        <v>676959</v>
      </c>
      <c r="C4591" s="7" t="n">
        <v>1800379832</v>
      </c>
      <c r="D4591" s="7" t="n">
        <v>42320</v>
      </c>
      <c r="E4591" s="8" t="n">
        <v>41611</v>
      </c>
      <c r="F4591" s="7" t="n">
        <v>0</v>
      </c>
      <c r="G4591" s="7" t="inlineStr">
        <is>
          <t>I&amp;#039;m hoping these are the same cookies that my grandmother made when she was still with us.  It does sound like them [I remember her having trays laying all over the place overnight :)], she use to put sprinkles or hard silver balls on them.  Will try for sure.</t>
        </is>
      </c>
    </row>
    <row r="4592">
      <c r="A4592" s="7" t="n">
        <v>40571</v>
      </c>
      <c r="B4592" s="7" t="n">
        <v>690169</v>
      </c>
      <c r="C4592" s="7" t="n">
        <v>53932</v>
      </c>
      <c r="D4592" s="7" t="n">
        <v>70522</v>
      </c>
      <c r="E4592" s="8" t="n">
        <v>40245</v>
      </c>
      <c r="F4592" s="7" t="n">
        <v>4</v>
      </c>
      <c r="G4592" s="7" t="inlineStr">
        <is>
          <t>This tasted great cold in sandwiches, but I was not as fond of it warm.</t>
        </is>
      </c>
    </row>
    <row r="4593">
      <c r="A4593" s="7" t="n">
        <v>27696</v>
      </c>
      <c r="B4593" s="7" t="n">
        <v>960289</v>
      </c>
      <c r="C4593" s="7" t="n">
        <v>61660</v>
      </c>
      <c r="D4593" s="7" t="n">
        <v>171809</v>
      </c>
      <c r="E4593" s="8" t="n">
        <v>38883</v>
      </c>
      <c r="F4593" s="7" t="n">
        <v>5</v>
      </c>
      <c r="G4593" s="7" t="inlineStr">
        <is>
          <t>I've always eaten cucumbers and cider vinegar, but never used any sugar before.  I think it added just the right amount of sweetness without being sugary and the 'bite' of vinegar was mellowed.  DH and I both enjoyed this!</t>
        </is>
      </c>
    </row>
    <row r="4594">
      <c r="A4594" s="7" t="n">
        <v>108882</v>
      </c>
      <c r="B4594" s="7" t="n">
        <v>664006</v>
      </c>
      <c r="C4594" s="7" t="n">
        <v>43083</v>
      </c>
      <c r="D4594" s="7" t="n">
        <v>82089</v>
      </c>
      <c r="E4594" s="8" t="n">
        <v>38892</v>
      </c>
      <c r="F4594" s="7" t="n">
        <v>4</v>
      </c>
      <c r="G4594" s="7" t="inlineStr">
        <is>
          <t>My chicken was still partially frozen so my spices didnt "stick". Therefore, my dish was just a bit on the bland side but I will make it again because I know you have the best recipes around!:)</t>
        </is>
      </c>
    </row>
    <row r="4595">
      <c r="A4595" s="7" t="n">
        <v>11871</v>
      </c>
      <c r="B4595" s="7" t="n">
        <v>1047317</v>
      </c>
      <c r="C4595" s="7" t="n">
        <v>52448</v>
      </c>
      <c r="D4595" s="7" t="n">
        <v>57781</v>
      </c>
      <c r="E4595" s="8" t="n">
        <v>37886</v>
      </c>
      <c r="F4595" s="7" t="n">
        <v>5</v>
      </c>
      <c r="G4595" s="7" t="inlineStr">
        <is>
          <t>Thanks for sharing this easy and tasty recipe for chicken. I prepared it early in the day and only hat to pop it in the oven.</t>
        </is>
      </c>
    </row>
    <row r="4596">
      <c r="A4596" s="7" t="n">
        <v>117640</v>
      </c>
      <c r="B4596" s="7" t="n">
        <v>1122794</v>
      </c>
      <c r="C4596" s="7" t="n">
        <v>89831</v>
      </c>
      <c r="D4596" s="7" t="n">
        <v>211580</v>
      </c>
      <c r="E4596" s="8" t="n">
        <v>39488</v>
      </c>
      <c r="F4596" s="7" t="n">
        <v>5</v>
      </c>
      <c r="G4596" s="7" t="inlineStr">
        <is>
          <t>I made this as a take-home meal for my DS, with a few changes though, I browned the beef with onion and also fresh garlic and 2 large jalapeno peppers, I omitted the celery and celery leaves and omitted the salt the dry soup mix and soy sauce is salty enough, I used 2 cups beef broth and the rest water, I received a quick call to inform me that this hearty was enjoyed, thanks for this great recipe Engrossed!</t>
        </is>
      </c>
    </row>
    <row r="4597">
      <c r="A4597" s="7" t="n">
        <v>3121</v>
      </c>
      <c r="B4597" s="7" t="n">
        <v>553399</v>
      </c>
      <c r="C4597" s="7" t="n">
        <v>2000973470</v>
      </c>
      <c r="D4597" s="7" t="n">
        <v>187284</v>
      </c>
      <c r="E4597" s="8" t="n">
        <v>42475</v>
      </c>
      <c r="F4597" s="7" t="n">
        <v>2</v>
      </c>
      <c r="G4597" s="7" t="inlineStr">
        <is>
          <t>they ARE supposed to be cut lengthwise,  the are NOT supposed to be mushy.   this recipe is not Costa Rican</t>
        </is>
      </c>
    </row>
    <row r="4598">
      <c r="A4598" s="7" t="n">
        <v>89493</v>
      </c>
      <c r="B4598" s="7" t="n">
        <v>458314</v>
      </c>
      <c r="C4598" s="7" t="n">
        <v>1318188</v>
      </c>
      <c r="D4598" s="7" t="n">
        <v>66409</v>
      </c>
      <c r="E4598" s="8" t="n">
        <v>43166</v>
      </c>
      <c r="F4598" s="7" t="n">
        <v>5</v>
      </c>
      <c r="G4598" s="7" t="inlineStr">
        <is>
          <t>I made this with a few tweaks. I changed the sugar to 1/2 cup, added a splash of vanilla extract and used Penzeys Pie Spice to the point it looked and smelled good. I sprinkled the top with cinnamon sugar. I also used my food processor on pulse to make the dough. I baked mine in a World Market scone baking dish (not pictured) I Bought on Amazon.com. No greasing necessary and they come out fine.</t>
        </is>
      </c>
    </row>
    <row r="4599" ht="409.5" customHeight="1">
      <c r="A4599" s="7" t="n">
        <v>5270</v>
      </c>
      <c r="B4599" s="7" t="n">
        <v>1052651</v>
      </c>
      <c r="C4599" s="7" t="n">
        <v>302815</v>
      </c>
      <c r="D4599" s="7" t="n">
        <v>95926</v>
      </c>
      <c r="E4599" s="8" t="n">
        <v>38794</v>
      </c>
      <c r="F4599" s="7" t="n">
        <v>1</v>
      </c>
      <c r="G4599" s="9" t="inlineStr">
        <is>
          <t>A sandwich can taste great to one person and terrible to another. The banana with mayo just does not go, it has acidity and banana is sweet. I made it,i ate it ( at least tried), I throw it. I made it again as a sweet sandwich useing thick whip cream in place of the mayo. Try both yourself! I tested both  at a party, nearly all the mayo were left, the banana cream filling were all gone. Action speaks better than words._x000D_
davepearce1575@yahoo.com</t>
        </is>
      </c>
    </row>
    <row r="4600">
      <c r="A4600" s="7" t="n">
        <v>116566</v>
      </c>
      <c r="B4600" s="7" t="n">
        <v>497097</v>
      </c>
      <c r="C4600" s="7" t="n">
        <v>313369</v>
      </c>
      <c r="D4600" s="7" t="n">
        <v>52558</v>
      </c>
      <c r="E4600" s="8" t="n">
        <v>39083</v>
      </c>
      <c r="F4600" s="7" t="n">
        <v>5</v>
      </c>
      <c r="G4600" s="7" t="inlineStr">
        <is>
          <t>Yum! This will be permanently added to my collection of recipes!</t>
        </is>
      </c>
    </row>
    <row r="4601">
      <c r="A4601" s="7" t="n">
        <v>15983</v>
      </c>
      <c r="B4601" s="7" t="n">
        <v>405365</v>
      </c>
      <c r="C4601" s="7" t="n">
        <v>52125</v>
      </c>
      <c r="D4601" s="7" t="n">
        <v>110077</v>
      </c>
      <c r="E4601" s="8" t="n">
        <v>38787</v>
      </c>
      <c r="F4601" s="7" t="n">
        <v>4</v>
      </c>
      <c r="G4601" s="7" t="inlineStr">
        <is>
          <t>Wonderful pizza sauce, tasted really good.</t>
        </is>
      </c>
    </row>
    <row r="4602">
      <c r="A4602" s="7" t="n">
        <v>28557</v>
      </c>
      <c r="B4602" s="7" t="n">
        <v>238891</v>
      </c>
      <c r="C4602" s="7" t="n">
        <v>106897</v>
      </c>
      <c r="D4602" s="7" t="n">
        <v>108941</v>
      </c>
      <c r="E4602" s="8" t="n">
        <v>38419</v>
      </c>
      <c r="F4602" s="7" t="n">
        <v>4</v>
      </c>
      <c r="G4602" s="7" t="inlineStr">
        <is>
          <t>This is a very good chowder making it was easy I added some tyme about a teaspoon. My family enjoyed it.</t>
        </is>
      </c>
    </row>
    <row r="4603" ht="409.5" customHeight="1">
      <c r="A4603" t="n">
        <v>46872</v>
      </c>
      <c r="B4603" t="n">
        <v>710071</v>
      </c>
      <c r="C4603" t="n">
        <v>59064</v>
      </c>
      <c r="D4603" t="n">
        <v>71567</v>
      </c>
      <c r="E4603" s="1" t="n">
        <v>38042</v>
      </c>
      <c r="F4603" t="n">
        <v>2</v>
      </c>
      <c r="G4603" s="2" t="inlineStr">
        <is>
          <t>This recipe smelled so promising..._x000D_
So easy to prepare with simple ingredients..._x000D_
Unfortunately it ended up as one big watery mess that needs something to bind it together._x000D_
Nice idea but it just didn't work for us. However it was semi-salvageable.</t>
        </is>
      </c>
    </row>
    <row r="4604">
      <c r="A4604" s="7" t="n">
        <v>33299</v>
      </c>
      <c r="B4604" s="7" t="n">
        <v>494130</v>
      </c>
      <c r="C4604" s="7" t="n">
        <v>37036</v>
      </c>
      <c r="D4604" s="7" t="n">
        <v>29251</v>
      </c>
      <c r="E4604" s="8" t="n">
        <v>38248</v>
      </c>
      <c r="F4604" s="7" t="n">
        <v>5</v>
      </c>
      <c r="G4604" s="7" t="inlineStr">
        <is>
          <t xml:space="preserve">These burgers were delicious!  I used "chive and onion" flavored cream cheese and omitted the ancho chili powder because I didn't have any on hand, but the burgers were wonderful without it.  I did buy some ancho chili powder today and plan on giving these a try again soon. </t>
        </is>
      </c>
    </row>
    <row r="4605">
      <c r="A4605" s="7" t="n">
        <v>92391</v>
      </c>
      <c r="B4605" s="7" t="n">
        <v>525537</v>
      </c>
      <c r="C4605" s="7" t="n">
        <v>2270135</v>
      </c>
      <c r="D4605" s="7" t="n">
        <v>107281</v>
      </c>
      <c r="E4605" s="8" t="n">
        <v>41050</v>
      </c>
      <c r="F4605" s="7" t="n">
        <v>0</v>
      </c>
      <c r="G4605" s="7" t="inlineStr">
        <is>
          <t>This soup is wonderful. I've made two batches in the past week for just my wife and myself. The first batch I followed the recipe to the letter, the second I made some minor modifications. On the meatballs, I doubled the cilantro and added a little red pepper seasoned salt. I then made mini meatballs by putting the meat mixture in a jerky gun and made lines of rope on a cutting board, which I then cut in 1" pieces and rolled them into balls. I ended up with 220 3/4" meatballs from the 2 lb meat mixture. That means we get a little meatball in nearly every spoonful. I then fried the meatballs in a covered skillet, then drained and blotted them with paper towels. They are delicious and stay fully intact in the soup as well as looking more appetizing. I tasted the grease that I drained off and couldn't discern any appreciable amount of flavor, so I don't think there's any good reason to retain it. For the stock I used 3 cans of chicken broth and 10 cups of broth made with water and Knorr's Tomato Chicken Bouillon. I also used 3 cans of diced tomatoes with green chiles and nearly doubled the amount of zucchini and cilantro. This second batch is one of the best soups I've ever tasted. We noticed that it tastes even better with age. It freezes and thaws well with just a slight breakdown of the zucchini that we found acceptable, so we have 4 meals in the freezer that we can enjoy anytime. I plan on making this often.</t>
        </is>
      </c>
    </row>
    <row r="4606">
      <c r="A4606" s="7" t="n">
        <v>77167</v>
      </c>
      <c r="B4606" s="7" t="n">
        <v>312932</v>
      </c>
      <c r="C4606" s="7" t="n">
        <v>2290115</v>
      </c>
      <c r="D4606" s="7" t="n">
        <v>124259</v>
      </c>
      <c r="E4606" s="8" t="n">
        <v>41070</v>
      </c>
      <c r="F4606" s="7" t="n">
        <v>5</v>
      </c>
      <c r="G4606" s="7" t="inlineStr">
        <is>
          <t>Wonderful pie, this will turn non-rhubarb pie lovers into rhubarb lovers (my husband).  When I asked if he wanted me to make a rhubarb pie he answered with "just like the last one you made?" This is a very good pie recipe.</t>
        </is>
      </c>
    </row>
    <row r="4607">
      <c r="A4607" s="7" t="n">
        <v>123156</v>
      </c>
      <c r="B4607" s="7" t="n">
        <v>77752</v>
      </c>
      <c r="C4607" s="7" t="n">
        <v>520923</v>
      </c>
      <c r="D4607" s="7" t="n">
        <v>41218</v>
      </c>
      <c r="E4607" s="8" t="n">
        <v>39260</v>
      </c>
      <c r="F4607" s="7" t="n">
        <v>5</v>
      </c>
      <c r="G4607" s="7" t="inlineStr">
        <is>
          <t>an excellent blend of vegetables.  i added more garlic and left the spicing up to the eaters.  rave reviews from all who consumed.</t>
        </is>
      </c>
    </row>
    <row r="4608">
      <c r="A4608" s="7" t="n">
        <v>14906</v>
      </c>
      <c r="B4608" s="7" t="n">
        <v>424306</v>
      </c>
      <c r="C4608" s="7" t="n">
        <v>333562</v>
      </c>
      <c r="D4608" s="7" t="n">
        <v>43824</v>
      </c>
      <c r="E4608" s="8" t="n">
        <v>39187</v>
      </c>
      <c r="F4608" s="7" t="n">
        <v>4</v>
      </c>
      <c r="G4608" s="7" t="inlineStr">
        <is>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is>
      </c>
    </row>
    <row r="4609">
      <c r="A4609" s="7" t="n">
        <v>114499</v>
      </c>
      <c r="B4609" s="7" t="n">
        <v>405318</v>
      </c>
      <c r="C4609" s="7" t="n">
        <v>515810</v>
      </c>
      <c r="D4609" s="7" t="n">
        <v>132488</v>
      </c>
      <c r="E4609" s="8" t="n">
        <v>40020</v>
      </c>
      <c r="F4609" s="7" t="n">
        <v>5</v>
      </c>
      <c r="G4609" s="7" t="inlineStr">
        <is>
          <t>Thank you! Thank you! Thank you!! I've been looking for the perfect Dutch buttercake recipe, and you had it!! Thanks so much for sharing. I got so excited to make it, I didn't look to see if I had almond extract, which I didn't, so I used Amaretto liquor instead, and it still came out fabulous. Only problem? I can't stop slicing off little slivers to eat!!! Also...for anyone who might like to make this recipe...if you can control yourself, it's even better the next day!!! Thanks so much once again, this is a keeper! No more searching for me!!</t>
        </is>
      </c>
    </row>
    <row r="4610">
      <c r="A4610" s="7" t="n">
        <v>119704</v>
      </c>
      <c r="B4610" s="7" t="n">
        <v>16935</v>
      </c>
      <c r="C4610" s="7" t="n">
        <v>6095229</v>
      </c>
      <c r="D4610" s="7" t="n">
        <v>501641</v>
      </c>
      <c r="E4610" s="8" t="n">
        <v>41548</v>
      </c>
      <c r="F4610" s="7" t="n">
        <v>3</v>
      </c>
      <c r="G4610" s="7" t="inlineStr">
        <is>
          <t>Too salty</t>
        </is>
      </c>
    </row>
    <row r="4611" ht="409.5" customHeight="1">
      <c r="A4611" s="7" t="n">
        <v>60467</v>
      </c>
      <c r="B4611" s="7" t="n">
        <v>696877</v>
      </c>
      <c r="C4611" s="7" t="n">
        <v>935912</v>
      </c>
      <c r="D4611" s="7" t="n">
        <v>127066</v>
      </c>
      <c r="E4611" s="8" t="n">
        <v>39955</v>
      </c>
      <c r="F4611" s="7" t="n">
        <v>5</v>
      </c>
      <c r="G4611" s="9" t="inlineStr">
        <is>
          <t>Loved it!!!  I followed Toni1 for the shrimp idea and it worked fantastic... the best tastes of summer are in this recipe!!!_x000D_
Like the other reviewers, it only took my hubby &amp; I to eat the whole thing!!_x000D_
Thanks!!!  Well done!!!</t>
        </is>
      </c>
    </row>
    <row r="4612">
      <c r="A4612" s="7" t="n">
        <v>105613</v>
      </c>
      <c r="B4612" s="7" t="n">
        <v>800147</v>
      </c>
      <c r="C4612" s="7" t="n">
        <v>823189</v>
      </c>
      <c r="D4612" s="7" t="n">
        <v>27864</v>
      </c>
      <c r="E4612" s="8" t="n">
        <v>40145</v>
      </c>
      <c r="F4612" s="7" t="n">
        <v>5</v>
      </c>
      <c r="G4612" s="7" t="inlineStr">
        <is>
          <t>This recipe was great. I made it because dad was visiting from RSA for a day. Being a vegetarian myself I did not know what to cook.  I knew he loved curries so I found this recipe, followed it to the T and hoped that it would taste good. My family loved it. My brother even went for 2nds! Thank you so much for this wonderful dish.</t>
        </is>
      </c>
    </row>
    <row r="4613">
      <c r="A4613" s="7" t="n">
        <v>65113</v>
      </c>
      <c r="B4613" s="7" t="n">
        <v>2816</v>
      </c>
      <c r="C4613" s="7" t="n">
        <v>1227563</v>
      </c>
      <c r="D4613" s="7" t="n">
        <v>94442</v>
      </c>
      <c r="E4613" s="8" t="n">
        <v>41149</v>
      </c>
      <c r="F4613" s="7" t="n">
        <v>5</v>
      </c>
      <c r="G4613" s="7" t="inlineStr">
        <is>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is>
      </c>
    </row>
    <row r="4614">
      <c r="A4614" s="7" t="n">
        <v>2156</v>
      </c>
      <c r="B4614" s="7" t="n">
        <v>747378</v>
      </c>
      <c r="C4614" s="7" t="n">
        <v>2631030</v>
      </c>
      <c r="D4614" s="7" t="n">
        <v>135814</v>
      </c>
      <c r="E4614" s="8" t="n">
        <v>41287</v>
      </c>
      <c r="F4614" s="7" t="n">
        <v>3</v>
      </c>
      <c r="G4614" s="7" t="inlineStr">
        <is>
          <t>I have not tried this yet, but will very soon.  Since my husband does not like really spicy foods I am going to eliminate the jalapenos and use diced tomatos that have jalapenos in them as they are not as strong - just enough kick.  I have also found a recipe to make my own taco seasoning so that I can reduce the sodium in the dish.</t>
        </is>
      </c>
    </row>
    <row r="4615">
      <c r="A4615" s="7" t="n">
        <v>51202</v>
      </c>
      <c r="B4615" s="7" t="n">
        <v>997908</v>
      </c>
      <c r="C4615" s="7" t="n">
        <v>161953</v>
      </c>
      <c r="D4615" s="7" t="n">
        <v>118237</v>
      </c>
      <c r="E4615" s="8" t="n">
        <v>38464</v>
      </c>
      <c r="F4615" s="7" t="n">
        <v>5</v>
      </c>
      <c r="G4615" s="7" t="inlineStr">
        <is>
          <t xml:space="preserve">What a brilliant plan!  My daughter loves egg salad sandwiches so I tried it out last night.  I cut a few corners - put the eggs in a small baking dish (I try not to use aluminium foil) and it worked great.  I even included a cracked egg, with some trepidation.  It didn't look too good on the outside, but it was usable. Such a simple idea - now why didn't I think of this before? </t>
        </is>
      </c>
    </row>
    <row r="4616">
      <c r="A4616" s="7" t="n">
        <v>55785</v>
      </c>
      <c r="B4616" s="7" t="n">
        <v>322282</v>
      </c>
      <c r="C4616" s="7" t="n">
        <v>67026</v>
      </c>
      <c r="D4616" s="7" t="n">
        <v>68899</v>
      </c>
      <c r="E4616" s="8" t="n">
        <v>37975</v>
      </c>
      <c r="F4616" s="7" t="n">
        <v>5</v>
      </c>
      <c r="G4616" s="7" t="inlineStr">
        <is>
          <t>Awesome.  I used Andes candies (they had to be cut in half), and subbed Splenda for the sugar.  Made 40 cookies. They are so good that I made BF run to the store for more Andes so I can make more tomorrow!</t>
        </is>
      </c>
    </row>
    <row r="4617">
      <c r="A4617" s="7" t="n">
        <v>59684</v>
      </c>
      <c r="B4617" s="7" t="n">
        <v>745078</v>
      </c>
      <c r="C4617" s="7" t="n">
        <v>510313</v>
      </c>
      <c r="D4617" s="7" t="n">
        <v>233971</v>
      </c>
      <c r="E4617" s="8" t="n">
        <v>39255</v>
      </c>
      <c r="F4617" s="7" t="n">
        <v>5</v>
      </c>
      <c r="G4617" s="7" t="inlineStr">
        <is>
          <t>"Reviewed for ZWT III. I absolutely loved this rice pudding! I am a big fan of rice puddings in general but the addition of the spices really made a nice change. This was very easy to make and the whole family enjoyed eating it. Will certainly make this again!"</t>
        </is>
      </c>
    </row>
    <row r="4618">
      <c r="A4618" s="7" t="n">
        <v>3963</v>
      </c>
      <c r="B4618" s="7" t="n">
        <v>723508</v>
      </c>
      <c r="C4618" s="7" t="n">
        <v>453421</v>
      </c>
      <c r="D4618" s="7" t="n">
        <v>226732</v>
      </c>
      <c r="E4618" s="8" t="n">
        <v>39599</v>
      </c>
      <c r="F4618" s="7" t="n">
        <v>5</v>
      </c>
      <c r="G4618" s="7" t="inlineStr">
        <is>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is>
      </c>
    </row>
    <row r="4619">
      <c r="A4619" t="n">
        <v>100275</v>
      </c>
      <c r="B4619" t="n">
        <v>141569</v>
      </c>
      <c r="C4619" t="n">
        <v>754920</v>
      </c>
      <c r="D4619" t="n">
        <v>135874</v>
      </c>
      <c r="E4619" s="1" t="n">
        <v>39484</v>
      </c>
      <c r="F4619" t="n">
        <v>5</v>
      </c>
      <c r="G4619" t="inlineStr">
        <is>
          <t>I'm one of the rare people who still cooks so I've made many muffins before including banana nut.  These are unbelieveable!! Wow.  I want to eat them all.  I added a crunchy topping, but this is THE BANANS NUT RECIPE I will only use from now on.  Cant say enough its really a 10 star not 5.</t>
        </is>
      </c>
    </row>
    <row r="4620">
      <c r="A4620" s="7" t="n">
        <v>18367</v>
      </c>
      <c r="B4620" s="7" t="n">
        <v>95836</v>
      </c>
      <c r="C4620" s="7" t="n">
        <v>1027388</v>
      </c>
      <c r="D4620" s="7" t="n">
        <v>29375</v>
      </c>
      <c r="E4620" s="8" t="n">
        <v>40040</v>
      </c>
      <c r="F4620" s="7" t="n">
        <v>4</v>
      </c>
      <c r="G4620" s="7" t="inlineStr">
        <is>
          <t>delicious! worked well in the wok. i left out the butter, which i know would have made it taste heaps better but gotta watch them calories. had it with a simple soda bread and it was a really good simple meal. used rump steak (it was on special and cheaper than stewing steak) so that obviously helped! also threw in some carrots and celery. thanks for the recipe.</t>
        </is>
      </c>
    </row>
    <row r="4621" ht="409.5" customHeight="1">
      <c r="A4621" s="7" t="n">
        <v>43229</v>
      </c>
      <c r="B4621" s="7" t="n">
        <v>317778</v>
      </c>
      <c r="C4621" s="7" t="n">
        <v>212609</v>
      </c>
      <c r="D4621" s="7" t="n">
        <v>364806</v>
      </c>
      <c r="E4621" s="8" t="n">
        <v>39914</v>
      </c>
      <c r="F4621" s="7" t="n">
        <v>4</v>
      </c>
      <c r="G4621" s="9" t="inlineStr">
        <is>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is>
      </c>
    </row>
    <row r="4622">
      <c r="A4622" s="7" t="n">
        <v>46609</v>
      </c>
      <c r="B4622" s="7" t="n">
        <v>885654</v>
      </c>
      <c r="C4622" s="7" t="n">
        <v>330545</v>
      </c>
      <c r="D4622" s="7" t="n">
        <v>306714</v>
      </c>
      <c r="E4622" s="8" t="n">
        <v>39609</v>
      </c>
      <c r="F4622" s="7" t="n">
        <v>5</v>
      </c>
      <c r="G4622" s="7" t="inlineStr">
        <is>
          <t>I agree, this is a very refreshing drink and one was sufficient for me!  Made for ZWT4.</t>
        </is>
      </c>
    </row>
    <row r="4623">
      <c r="A4623" s="7" t="n">
        <v>71111</v>
      </c>
      <c r="B4623" s="7" t="n">
        <v>1049151</v>
      </c>
      <c r="C4623" s="7" t="n">
        <v>55221</v>
      </c>
      <c r="D4623" s="7" t="n">
        <v>102274</v>
      </c>
      <c r="E4623" s="8" t="n">
        <v>39749</v>
      </c>
      <c r="F4623" s="7" t="n">
        <v>4</v>
      </c>
      <c r="G4623" s="7" t="inlineStr">
        <is>
          <t>I don't know how it compares to TGIFriday's, but this is good soup. Thanks!</t>
        </is>
      </c>
    </row>
    <row r="4624">
      <c r="A4624" s="7" t="n">
        <v>26758</v>
      </c>
      <c r="B4624" s="7" t="n">
        <v>377654</v>
      </c>
      <c r="C4624" s="7" t="n">
        <v>1154249</v>
      </c>
      <c r="D4624" s="7" t="n">
        <v>299075</v>
      </c>
      <c r="E4624" s="8" t="n">
        <v>41316</v>
      </c>
      <c r="F4624" s="7" t="n">
        <v>5</v>
      </c>
      <c r="G4624" s="7" t="inlineStr">
        <is>
          <t>Easy. Delish. What more can one ask for? Thanks for posting!</t>
        </is>
      </c>
    </row>
    <row r="4625">
      <c r="A4625" s="7" t="n">
        <v>125074</v>
      </c>
      <c r="B4625" s="7" t="n">
        <v>192627</v>
      </c>
      <c r="C4625" s="7" t="n">
        <v>10404</v>
      </c>
      <c r="D4625" s="7" t="n">
        <v>116610</v>
      </c>
      <c r="E4625" s="8" t="n">
        <v>40902</v>
      </c>
      <c r="F4625" s="7" t="n">
        <v>5</v>
      </c>
      <c r="G4625" s="7" t="inlineStr">
        <is>
          <t>We loved this!  I did add a scant teaspoon of dijon mustard to the olive oil/garlic blend, coating the spears before I wrapped them.  I used hickory smoked bacon that was on the thick side so I baked for 30 minutes, flipping the bundles after 15 minutes.  The perfect side for our Christmas Eve Dinner!</t>
        </is>
      </c>
    </row>
    <row r="4626">
      <c r="A4626" s="7" t="n">
        <v>47011</v>
      </c>
      <c r="B4626" s="7" t="n">
        <v>91383</v>
      </c>
      <c r="C4626" s="7" t="n">
        <v>199848</v>
      </c>
      <c r="D4626" s="7" t="n">
        <v>117683</v>
      </c>
      <c r="E4626" s="8" t="n">
        <v>39250</v>
      </c>
      <c r="F4626" s="7" t="n">
        <v>5</v>
      </c>
      <c r="G4626" s="7" t="inlineStr">
        <is>
          <t>Yummy and easy!  I liked that it's not over-sauced.  Just a nice butter and mustard coating.  The topping is yummy, too.  I think you could easily short-cut this: it would be a great recipe to try with frozen broccoli/cauliflower. Thanx for posting this!</t>
        </is>
      </c>
    </row>
    <row r="4627">
      <c r="A4627" t="n">
        <v>53924</v>
      </c>
      <c r="B4627" t="n">
        <v>929835</v>
      </c>
      <c r="C4627" t="n">
        <v>704950</v>
      </c>
      <c r="D4627" t="n">
        <v>544</v>
      </c>
      <c r="E4627" s="1" t="n">
        <v>39527</v>
      </c>
      <c r="F4627" t="n">
        <v>4</v>
      </c>
      <c r="G4627" t="inlineStr">
        <is>
          <t>I was scared when I got to the point in the recipe where it said 1/2 cup water because I thought it was looking delicious without it but I put it in because that's what it said.  I think that this recipe would be great without the water, I thought that it diluted the flavors.  I am going to try it again without the water.  Thanks for the recipe!</t>
        </is>
      </c>
    </row>
    <row r="4628">
      <c r="A4628" s="7" t="n">
        <v>6581</v>
      </c>
      <c r="B4628" s="7" t="n">
        <v>641215</v>
      </c>
      <c r="C4628" s="7" t="n">
        <v>55655</v>
      </c>
      <c r="D4628" s="7" t="n">
        <v>34664</v>
      </c>
      <c r="E4628" s="8" t="n">
        <v>37940</v>
      </c>
      <c r="F4628" s="7" t="n">
        <v>4</v>
      </c>
      <c r="G4628" s="7" t="inlineStr">
        <is>
          <t>Very easy and quite tasty. I added a few onions as well. Cooking times are right on - vegetables remained nicely crisp-tender. I did marinate the tofu a little longer (25 min), so it would pick up more of the flavour.</t>
        </is>
      </c>
    </row>
    <row r="4629">
      <c r="A4629" s="7" t="n">
        <v>93601</v>
      </c>
      <c r="B4629" s="7" t="n">
        <v>357786</v>
      </c>
      <c r="C4629" s="7" t="n">
        <v>842751</v>
      </c>
      <c r="D4629" s="7" t="n">
        <v>164695</v>
      </c>
      <c r="E4629" s="8" t="n">
        <v>40058</v>
      </c>
      <c r="F4629" s="7" t="n">
        <v>5</v>
      </c>
      <c r="G4629" s="7" t="inlineStr">
        <is>
          <t>I tried these and they were a little bland at the beginning. I used ground beef instead of pork because we aren't fond of ground pork. I also added a sauce made from tomato soup undiluted mixed with some brown sugar and ginger and soy sauce. I added a tiny bit of red pepper flakes for a "kick" and they were very good. Thank you for sharing this simple way to make something we all love. At least our family does!</t>
        </is>
      </c>
    </row>
    <row r="4630">
      <c r="A4630" s="7" t="n">
        <v>115547</v>
      </c>
      <c r="B4630" s="7" t="n">
        <v>179247</v>
      </c>
      <c r="C4630" s="7" t="n">
        <v>6007</v>
      </c>
      <c r="D4630" s="7" t="n">
        <v>8473</v>
      </c>
      <c r="E4630" s="8" t="n">
        <v>36950</v>
      </c>
      <c r="F4630" s="7" t="n">
        <v>0</v>
      </c>
      <c r="G4630" s="7" t="inlineStr">
        <is>
          <t>Isn't it dangerous to consume raw eggs?</t>
        </is>
      </c>
    </row>
    <row r="4631">
      <c r="A4631" s="7" t="n">
        <v>113162</v>
      </c>
      <c r="B4631" s="7" t="n">
        <v>780168</v>
      </c>
      <c r="C4631" s="7" t="n">
        <v>1155939</v>
      </c>
      <c r="D4631" s="7" t="n">
        <v>149822</v>
      </c>
      <c r="E4631" s="8" t="n">
        <v>40064</v>
      </c>
      <c r="F4631" s="7" t="n">
        <v>0</v>
      </c>
      <c r="G4631" s="7" t="inlineStr">
        <is>
          <t>The whole family loved this recipe. It is easy to make and very favorful.</t>
        </is>
      </c>
    </row>
    <row r="4632">
      <c r="A4632" s="7" t="n">
        <v>68832</v>
      </c>
      <c r="B4632" s="7" t="n">
        <v>1001652</v>
      </c>
      <c r="C4632" s="7" t="n">
        <v>2000059042</v>
      </c>
      <c r="D4632" s="7" t="n">
        <v>267571</v>
      </c>
      <c r="E4632" s="8" t="n">
        <v>42076</v>
      </c>
      <c r="F4632" s="7" t="n">
        <v>0</v>
      </c>
      <c r="G4632" s="7" t="inlineStr">
        <is>
          <t>Anytime that I make recipes that call for Oreos for the crust, I use chocolate Graham crackers it works way better than Oreos bc theres no cream filling. Also they are cheaper than Oreos especially when you  get the store brand.</t>
        </is>
      </c>
    </row>
    <row r="4633">
      <c r="A4633" s="7" t="n">
        <v>118399</v>
      </c>
      <c r="B4633" s="7" t="n">
        <v>664784</v>
      </c>
      <c r="C4633" s="7" t="n">
        <v>2204786</v>
      </c>
      <c r="D4633" s="7" t="n">
        <v>494631</v>
      </c>
      <c r="E4633" s="8" t="n">
        <v>41309</v>
      </c>
      <c r="F4633" s="7" t="n">
        <v>5</v>
      </c>
      <c r="G4633" s="7" t="inlineStr">
        <is>
          <t>You're always a winner!</t>
        </is>
      </c>
    </row>
    <row r="4634">
      <c r="A4634" s="7" t="n">
        <v>29266</v>
      </c>
      <c r="B4634" s="7" t="n">
        <v>212694</v>
      </c>
      <c r="C4634" s="7" t="n">
        <v>2479260</v>
      </c>
      <c r="D4634" s="7" t="n">
        <v>199579</v>
      </c>
      <c r="E4634" s="8" t="n">
        <v>41216</v>
      </c>
      <c r="F4634" s="7" t="n">
        <v>5</v>
      </c>
      <c r="G4634" s="7" t="inlineStr">
        <is>
          <t>I absolutely LOVE this tuna casserole!  It is by far the absolute best I ever had.  I made a few adjustments to match what ingredients I had at home and I also doubled it.  I used one can of cream of mushroom soup and one can of cream of chicken, I hate celery so I kept that out.  Instead of half a yellow onion, I used a white one since that's what I happened to have in the fridge.  I didn't have any peas, but happened to have some frozen edamame (soy beans), so I threw those in.  I also forgot to add the milk, but turns out you don't need it.  I also never added any salt or pepper.  I added shredded cheddar and mozzarella cheese on top and cooked for about 35-40 minutes.  I personally think it must be the mayo that makes all the difference.  I have never seen a tuna noodle casserole made with mayo before until this one.  It reheats well and is still just as delicious.  Also tastes great cold as well!</t>
        </is>
      </c>
    </row>
    <row r="4635">
      <c r="A4635" s="7" t="n">
        <v>43174</v>
      </c>
      <c r="B4635" s="7" t="n">
        <v>609001</v>
      </c>
      <c r="C4635" s="7" t="n">
        <v>236211</v>
      </c>
      <c r="D4635" s="7" t="n">
        <v>97196</v>
      </c>
      <c r="E4635" s="8" t="n">
        <v>38579</v>
      </c>
      <c r="F4635" s="7" t="n">
        <v>5</v>
      </c>
      <c r="G4635" s="7" t="inlineStr">
        <is>
          <t>I have been canning salsa for years.  This was easy and very tasty.  My family wanted me to trash my old recipe and make lots of this one to share.  Thanks for sharing.</t>
        </is>
      </c>
    </row>
    <row r="4636" ht="409.5" customHeight="1">
      <c r="A4636" s="7" t="n">
        <v>45870</v>
      </c>
      <c r="B4636" s="7" t="n">
        <v>205497</v>
      </c>
      <c r="C4636" s="7" t="n">
        <v>512309</v>
      </c>
      <c r="D4636" s="7" t="n">
        <v>52262</v>
      </c>
      <c r="E4636" s="8" t="n">
        <v>39395</v>
      </c>
      <c r="F4636" s="7" t="n">
        <v>4</v>
      </c>
      <c r="G4636" s="9" t="inlineStr">
        <is>
          <t>This was really delicious!  I served it on top of couscous because I ran out of rice (oops!) and I served a mixture of spicy mint chutney with plain yogurt along side the tomatoes, which was good to offset the little bit of heat._x000D_
Fantastic use for all the green tomatoes I picked from the garden just before the first frost!  Thanks, Pets'R'us!</t>
        </is>
      </c>
    </row>
    <row r="4637">
      <c r="A4637" s="7" t="n">
        <v>108621</v>
      </c>
      <c r="B4637" s="7" t="n">
        <v>149019</v>
      </c>
      <c r="C4637" s="7" t="n">
        <v>780172</v>
      </c>
      <c r="D4637" s="7" t="n">
        <v>269017</v>
      </c>
      <c r="E4637" s="8" t="n">
        <v>39621</v>
      </c>
      <c r="F4637" s="7" t="n">
        <v>4</v>
      </c>
      <c r="G4637" s="7" t="inlineStr">
        <is>
          <t>This was good, I found a nice round loaf of bread and it was very good. I think there might have been a little too much meat and cheese on this sandwich. I also added cucumbers and tomatoes, just couldn't resist. Nice recipe. Made for ZWT4</t>
        </is>
      </c>
    </row>
    <row r="4638">
      <c r="A4638" s="7" t="n">
        <v>5623</v>
      </c>
      <c r="B4638" s="7" t="n">
        <v>818751</v>
      </c>
      <c r="C4638" s="7" t="n">
        <v>140198</v>
      </c>
      <c r="D4638" s="7" t="n">
        <v>93910</v>
      </c>
      <c r="E4638" s="8" t="n">
        <v>38814</v>
      </c>
      <c r="F4638" s="7" t="n">
        <v>5</v>
      </c>
      <c r="G4638" s="7" t="inlineStr">
        <is>
          <t>This was great! Everyone raved and what a great way to sneak veggies into young children. We added dried cranberries and increased the spices just a touch -- very yummy!</t>
        </is>
      </c>
    </row>
    <row r="4639">
      <c r="A4639" s="7" t="n">
        <v>108705</v>
      </c>
      <c r="B4639" s="7" t="n">
        <v>1098212</v>
      </c>
      <c r="C4639" s="7" t="n">
        <v>840768</v>
      </c>
      <c r="D4639" s="7" t="n">
        <v>273841</v>
      </c>
      <c r="E4639" s="8" t="n">
        <v>40301</v>
      </c>
      <c r="F4639" s="7" t="n">
        <v>0</v>
      </c>
      <c r="G4639" s="7" t="inlineStr">
        <is>
          <t>I made a silly mistake &amp; quickly copied this recipe onto another that needed self-rising flour.  Don't make the same mistake I did &amp; made both recipes into 1 &amp; tried to make some bread.  Not fun when you are cooking for 12 people &amp; this happens!</t>
        </is>
      </c>
    </row>
    <row r="4640">
      <c r="A4640" s="7" t="n">
        <v>33080</v>
      </c>
      <c r="B4640" s="7" t="n">
        <v>519706</v>
      </c>
      <c r="C4640" s="7" t="n">
        <v>159706</v>
      </c>
      <c r="D4640" s="7" t="n">
        <v>4671</v>
      </c>
      <c r="E4640" s="8" t="n">
        <v>38298</v>
      </c>
      <c r="F4640" s="7" t="n">
        <v>4</v>
      </c>
      <c r="G4640" s="7" t="inlineStr">
        <is>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is>
      </c>
    </row>
    <row r="4641">
      <c r="A4641" s="7" t="n">
        <v>101275</v>
      </c>
      <c r="B4641" s="7" t="n">
        <v>553182</v>
      </c>
      <c r="C4641" s="7" t="n">
        <v>2001224161</v>
      </c>
      <c r="D4641" s="7" t="n">
        <v>463437</v>
      </c>
      <c r="E4641" s="8" t="n">
        <v>42671</v>
      </c>
      <c r="F4641" s="7" t="n">
        <v>4</v>
      </c>
      <c r="G4641" s="7" t="inlineStr">
        <is>
          <t>Good consistency, but somewhat tasteless and dry. Adding a bit more salt and Virtue sweetener helped. Also, I spread the batter thinly in a circular shape on parchment paper and nuked it for 2 minutes. It came out perfectly without having to grease a glass dish.</t>
        </is>
      </c>
    </row>
    <row r="4642">
      <c r="A4642" s="7" t="n">
        <v>122247</v>
      </c>
      <c r="B4642" s="7" t="n">
        <v>224661</v>
      </c>
      <c r="C4642" s="7" t="n">
        <v>2177426</v>
      </c>
      <c r="D4642" s="7" t="n">
        <v>431100</v>
      </c>
      <c r="E4642" s="8" t="n">
        <v>42953</v>
      </c>
      <c r="F4642" s="7" t="n">
        <v>5</v>
      </c>
      <c r="G4642" s="7" t="inlineStr">
        <is>
          <t>Excellent! Thank you for a healthy, filling, quick bread!</t>
        </is>
      </c>
    </row>
    <row r="4643">
      <c r="A4643" s="7" t="n">
        <v>1702</v>
      </c>
      <c r="B4643" s="7" t="n">
        <v>814774</v>
      </c>
      <c r="C4643" s="7" t="n">
        <v>2525256</v>
      </c>
      <c r="D4643" s="7" t="n">
        <v>173879</v>
      </c>
      <c r="E4643" s="8" t="n">
        <v>41237</v>
      </c>
      <c r="F4643" s="7" t="n">
        <v>0</v>
      </c>
      <c r="G4643" s="7" t="inlineStr">
        <is>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is>
      </c>
    </row>
    <row r="4644">
      <c r="A4644" s="7" t="n">
        <v>65987</v>
      </c>
      <c r="B4644" s="7" t="n">
        <v>735219</v>
      </c>
      <c r="C4644" s="7" t="n">
        <v>869184</v>
      </c>
      <c r="D4644" s="7" t="n">
        <v>395433</v>
      </c>
      <c r="E4644" s="8" t="n">
        <v>40180</v>
      </c>
      <c r="F4644" s="7" t="n">
        <v>5</v>
      </c>
      <c r="G4644" s="7" t="inlineStr">
        <is>
          <t>This is a really good broth and perfect base for a Vietnamese Pho. A very quick short cut. I would say that to our liking the soya sauce should be doubled and an addition of 1 1/2 tbsp of fish sauce did wonders too. I did not char the ginger and I used home made chicken stock instead of vegetable stock. For the Pho itself (Vietnamese soup that you serve with condiments at the table) we served - fresh cilantro, cut up Thai chilies, raw thinly sliced onions, green onions, flank steak (precooked), rice noodles, bean sprouts and lime wedges. Fresh mint and Thai basil is also wonderful in the soup, but I didn't have any. Oh was it ever enjoyed by all. Made for Everyday is a Holiday tag.</t>
        </is>
      </c>
    </row>
    <row r="4645">
      <c r="A4645" s="7" t="n">
        <v>2951</v>
      </c>
      <c r="B4645" s="7" t="n">
        <v>262812</v>
      </c>
      <c r="C4645" s="7" t="n">
        <v>334145</v>
      </c>
      <c r="D4645" s="7" t="n">
        <v>89977</v>
      </c>
      <c r="E4645" s="8" t="n">
        <v>39215</v>
      </c>
      <c r="F4645" s="7" t="n">
        <v>4</v>
      </c>
      <c r="G4645" s="7" t="inlineStr">
        <is>
          <t>I altered the recipe only slightly.  Used 1 cup regular sugar since i didn't have brown.  used vanilla pudding(thank god, because if i used banana cream they would have tasted too much like bananas) and i used 1/2 choc chip and 1/2 peanut butter chips since i didn't have enough chocolate. they were wonderful and we finished them all up!</t>
        </is>
      </c>
    </row>
    <row r="4646">
      <c r="A4646" s="7" t="n">
        <v>102872</v>
      </c>
      <c r="B4646" s="7" t="n">
        <v>496625</v>
      </c>
      <c r="C4646" s="7" t="n">
        <v>381990</v>
      </c>
      <c r="D4646" s="7" t="n">
        <v>110199</v>
      </c>
      <c r="E4646" s="8" t="n">
        <v>39110</v>
      </c>
      <c r="F4646" s="7" t="n">
        <v>5</v>
      </c>
      <c r="G4646" s="7" t="inlineStr">
        <is>
          <t>Very delicious!!  Wish I could give it more stars.  I was apprehensive at first, considering I've never cooked with apple juice before, but it came out phenominal!  Also my DH is not a pork chop fan, so instead I cut a pork tenderloin into medallions and used that.  He absolutely loved it!  I also included some fresh garlic (about 2 cloves) along with the powder.  This is definitely a keeper for us!!</t>
        </is>
      </c>
    </row>
    <row r="4647">
      <c r="A4647" s="7" t="n">
        <v>18262</v>
      </c>
      <c r="B4647" s="7" t="n">
        <v>1074499</v>
      </c>
      <c r="C4647" s="7" t="n">
        <v>876513</v>
      </c>
      <c r="D4647" s="7" t="n">
        <v>135350</v>
      </c>
      <c r="E4647" s="8" t="n">
        <v>40291</v>
      </c>
      <c r="F4647" s="7" t="n">
        <v>5</v>
      </c>
      <c r="G4647" s="7" t="inlineStr">
        <is>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is>
      </c>
    </row>
    <row r="4648">
      <c r="A4648" s="7" t="n">
        <v>8503</v>
      </c>
      <c r="B4648" s="7" t="n">
        <v>1074796</v>
      </c>
      <c r="C4648" s="7" t="n">
        <v>1689705</v>
      </c>
      <c r="D4648" s="7" t="n">
        <v>135350</v>
      </c>
      <c r="E4648" s="8" t="n">
        <v>41382</v>
      </c>
      <c r="F4648" s="7" t="n">
        <v>5</v>
      </c>
      <c r="G4648" s="7" t="inlineStr">
        <is>
          <t>I&amp;#039;m a lover of macaroni and cheese!  At least once a week, I eat one meatless meal for lunch and dinner.  I&amp;#039;ve tried other macaroni and cheese recipes and always come back to this one.&amp;lt;br/&amp;gt;This is a classic for a reason!  It don&amp;#039;t require alot of items and most are things you have at home without making a trip to the store.&amp;lt;br/&amp;gt;It&amp;#039;s easy to make and I rarely have leftovers to put up.&amp;lt;br/&amp;gt;The only thing that I don&amp;#039;t do is place breadcrumbs, but extra cheese on top.</t>
        </is>
      </c>
    </row>
    <row r="4649">
      <c r="A4649" s="7" t="n">
        <v>95100</v>
      </c>
      <c r="B4649" s="7" t="n">
        <v>120720</v>
      </c>
      <c r="C4649" s="7" t="n">
        <v>461834</v>
      </c>
      <c r="D4649" s="7" t="n">
        <v>211988</v>
      </c>
      <c r="E4649" s="8" t="n">
        <v>39777</v>
      </c>
      <c r="F4649" s="7" t="n">
        <v>5</v>
      </c>
      <c r="G4649" s="7" t="inlineStr">
        <is>
          <t>Loved these potatoes!!!  I cut the recipe in half and omitted the nutmeg, only like it in sweets, and then used Lawry's seasoned salt.  I cheated and bought refrigerated shredded potatoes, which really made this a quick side dish!!!  Thanks for sharing Teresa.  Made for 123 tag.</t>
        </is>
      </c>
    </row>
    <row r="4650">
      <c r="A4650" s="7" t="n">
        <v>66310</v>
      </c>
      <c r="B4650" s="7" t="n">
        <v>252936</v>
      </c>
      <c r="C4650" s="7" t="n">
        <v>8688</v>
      </c>
      <c r="D4650" s="7" t="n">
        <v>212380</v>
      </c>
      <c r="E4650" s="8" t="n">
        <v>39155</v>
      </c>
      <c r="F4650" s="7" t="n">
        <v>5</v>
      </c>
      <c r="G4650" s="7" t="inlineStr">
        <is>
          <t>What a great combination of flavors! I made this using fresh jalapeÃ±os and they worked very well! I will definitely make this again! It is wonderful!  Thank you, cookiedog!</t>
        </is>
      </c>
    </row>
    <row r="4651">
      <c r="A4651" s="7" t="n">
        <v>20884</v>
      </c>
      <c r="B4651" s="7" t="n">
        <v>676155</v>
      </c>
      <c r="C4651" s="7" t="n">
        <v>201581</v>
      </c>
      <c r="D4651" s="7" t="n">
        <v>185321</v>
      </c>
      <c r="E4651" s="8" t="n">
        <v>39112</v>
      </c>
      <c r="F4651" s="7" t="n">
        <v>5</v>
      </c>
      <c r="G4651" s="7" t="inlineStr">
        <is>
          <t>Awesome soup Lainey! The Ro-Tel tomatoes and cumin added the zip! Quick and easy to make. Made for Holiday Tag Game. Thanks for posting a keeper!</t>
        </is>
      </c>
    </row>
    <row r="4652" ht="409.5" customHeight="1">
      <c r="A4652" s="7" t="n">
        <v>68841</v>
      </c>
      <c r="B4652" s="7" t="n">
        <v>731838</v>
      </c>
      <c r="C4652" s="7" t="n">
        <v>59064</v>
      </c>
      <c r="D4652" s="7" t="n">
        <v>51235</v>
      </c>
      <c r="E4652" s="8" t="n">
        <v>37853</v>
      </c>
      <c r="F4652" s="7" t="n">
        <v>5</v>
      </c>
      <c r="G4652" s="9" t="inlineStr">
        <is>
          <t>It's a simple recipe that takes little time to prepare...but it was the first thing to disappear from the Mediterranean dinner I prepared tonight when we had guests over._x000D_
Great for those homegrown tomatoes.</t>
        </is>
      </c>
    </row>
    <row r="4653">
      <c r="A4653" s="7" t="n">
        <v>46766</v>
      </c>
      <c r="B4653" s="7" t="n">
        <v>455711</v>
      </c>
      <c r="C4653" s="7" t="n">
        <v>353579</v>
      </c>
      <c r="D4653" s="7" t="n">
        <v>112555</v>
      </c>
      <c r="E4653" s="8" t="n">
        <v>39649</v>
      </c>
      <c r="F4653" s="7" t="n">
        <v>5</v>
      </c>
      <c r="G4653" s="7" t="inlineStr">
        <is>
          <t>So simple, tastes great.  Makes a great side dish for grilled meats.  I used about 2 T olive oil and 1/2 teaspoon cayenne - it added just enough flavor to make it interesting.  I cut my pineapple into cubes and put them on skewers.  Thanks for sharing.</t>
        </is>
      </c>
    </row>
    <row r="4654">
      <c r="A4654" s="7" t="n">
        <v>102089</v>
      </c>
      <c r="B4654" s="7" t="n">
        <v>94560</v>
      </c>
      <c r="C4654" s="7" t="n">
        <v>1625704</v>
      </c>
      <c r="D4654" s="7" t="n">
        <v>93549</v>
      </c>
      <c r="E4654" s="8" t="n">
        <v>40941</v>
      </c>
      <c r="F4654" s="7" t="n">
        <v>4</v>
      </c>
      <c r="G4654" s="7" t="inlineStr">
        <is>
          <t>What a great way to cook Round Steak since it tends to get tough.  The kids ate it all up. Will definately make again!  Great Recipe for Round Steak for sure!</t>
        </is>
      </c>
    </row>
    <row r="4655">
      <c r="A4655" s="7" t="n">
        <v>47114</v>
      </c>
      <c r="B4655" s="7" t="n">
        <v>712774</v>
      </c>
      <c r="C4655" s="7" t="n">
        <v>269243</v>
      </c>
      <c r="D4655" s="7" t="n">
        <v>51209</v>
      </c>
      <c r="E4655" s="8" t="n">
        <v>39121</v>
      </c>
      <c r="F4655" s="7" t="n">
        <v>5</v>
      </c>
      <c r="G4655" s="7" t="inlineStr">
        <is>
          <t>Excellent!</t>
        </is>
      </c>
    </row>
    <row r="4656">
      <c r="A4656" s="7" t="n">
        <v>97722</v>
      </c>
      <c r="B4656" s="7" t="n">
        <v>408834</v>
      </c>
      <c r="C4656" s="7" t="n">
        <v>186855</v>
      </c>
      <c r="D4656" s="7" t="n">
        <v>27424</v>
      </c>
      <c r="E4656" s="8" t="n">
        <v>39222</v>
      </c>
      <c r="F4656" s="7" t="n">
        <v>3</v>
      </c>
      <c r="G4656" s="7" t="inlineStr">
        <is>
          <t>I was kinda turned off at first.  This is more the consistance of a sauce.  I guess the word 'relish' gave me the impression that it would be chunky, sort of like pickle relish.  Of course, once I tasted it.....who cares what it looks like. :)  The flavour is wonderful.  I had it on burgers tonight, and I even gave a jar to our supper guests.  They also enjoyed it.</t>
        </is>
      </c>
    </row>
    <row r="4657">
      <c r="A4657" s="7" t="n">
        <v>13681</v>
      </c>
      <c r="B4657" s="7" t="n">
        <v>880343</v>
      </c>
      <c r="C4657" s="7" t="n">
        <v>637486</v>
      </c>
      <c r="D4657" s="7" t="n">
        <v>109537</v>
      </c>
      <c r="E4657" s="8" t="n">
        <v>40216</v>
      </c>
      <c r="F4657" s="7" t="n">
        <v>5</v>
      </c>
      <c r="G4657" s="7" t="inlineStr">
        <is>
          <t>Mmmm, this was really good!  I used fresh spinach and just put in half a bag in with the milk/cheese mixture and cooked it just until it wilted and it turned out great!  I will definitely be making this again.  Thanks for posting.</t>
        </is>
      </c>
    </row>
    <row r="4658">
      <c r="A4658" s="7" t="n">
        <v>103165</v>
      </c>
      <c r="B4658" s="7" t="n">
        <v>348800</v>
      </c>
      <c r="C4658" s="7" t="n">
        <v>388469</v>
      </c>
      <c r="D4658" s="7" t="n">
        <v>50719</v>
      </c>
      <c r="E4658" s="8" t="n">
        <v>39835</v>
      </c>
      <c r="F4658" s="7" t="n">
        <v>5</v>
      </c>
      <c r="G4658" s="7" t="inlineStr">
        <is>
          <t>I made this with the help of my 3 year old daughter and they turned out awesome! Seemed like there were going to be too many blueberries have the muffin stick together but they were great. Will not bother trying another recipe.</t>
        </is>
      </c>
    </row>
    <row r="4659">
      <c r="A4659" s="7" t="n">
        <v>94592</v>
      </c>
      <c r="B4659" s="7" t="n">
        <v>588919</v>
      </c>
      <c r="C4659" s="7" t="n">
        <v>663084</v>
      </c>
      <c r="D4659" s="7" t="n">
        <v>17865</v>
      </c>
      <c r="E4659" s="8" t="n">
        <v>39489</v>
      </c>
      <c r="F4659" s="7" t="n">
        <v>4</v>
      </c>
      <c r="G4659" s="7" t="inlineStr">
        <is>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is>
      </c>
    </row>
    <row r="4660">
      <c r="A4660" s="7" t="n">
        <v>31579</v>
      </c>
      <c r="B4660" s="7" t="n">
        <v>975711</v>
      </c>
      <c r="C4660" s="7" t="n">
        <v>192264</v>
      </c>
      <c r="D4660" s="7" t="n">
        <v>261645</v>
      </c>
      <c r="E4660" s="8" t="n">
        <v>39423</v>
      </c>
      <c r="F4660" s="7" t="n">
        <v>4</v>
      </c>
      <c r="G4660" s="7" t="inlineStr">
        <is>
          <t>I loved these. I've gotten mixed feeling from others about them, just because the cheesy dough and powdered sugar seem weird to some. My daughters said they didn't care for them at first, but then said, "they grow on you"! Thanks for posting.</t>
        </is>
      </c>
    </row>
    <row r="4661">
      <c r="A4661" s="7" t="n">
        <v>55811</v>
      </c>
      <c r="B4661" s="7" t="n">
        <v>540022</v>
      </c>
      <c r="C4661" s="7" t="n">
        <v>21752</v>
      </c>
      <c r="D4661" s="7" t="n">
        <v>130652</v>
      </c>
      <c r="E4661" s="8" t="n">
        <v>38930</v>
      </c>
      <c r="F4661" s="7" t="n">
        <v>5</v>
      </c>
      <c r="G4661" s="7" t="inlineStr">
        <is>
          <t>This is the second of saylaveev's recipes that I've made and as in the first (&lt;a href="/141561"&gt;Clean out the Fridge, Sausage and Pasta&lt;/a&gt;), I've had to substitute Middle Eastern ingredients for others that are just not available here.  I've heard that wonton wrappers actually do exist in Israel, but you have to travel way out of your way (no matter where you live), and even then, once you get to the store, you have to know the secret password so they'll give you the goods.  Having said all that, I decided to take matters into my own hands and use Moroccan cigar wrappers instead (no, you don't smoke 'em!)  Aside from that one substitution, I was able to make this recipe as written.  And it's yummy!  The dried mushrooms, ginger, sesame oil, chili pepper, cilantro, all of it adds the most amazing flavor to the tofu.  Moroccan cigar wrappers are notorious for not sticking together, so I just folded them and made sure to fry them first on the seam.  The dipping sauce is divine!  I wish I had come across this recipe when I was a vegan, I would have been eating this every day.  Thanks for my latest addiction!</t>
        </is>
      </c>
    </row>
    <row r="4662">
      <c r="A4662" s="7" t="n">
        <v>46842</v>
      </c>
      <c r="B4662" s="7" t="n">
        <v>271172</v>
      </c>
      <c r="C4662" s="7" t="n">
        <v>328831</v>
      </c>
      <c r="D4662" s="7" t="n">
        <v>88207</v>
      </c>
      <c r="E4662" s="8" t="n">
        <v>39049</v>
      </c>
      <c r="F4662" s="7" t="n">
        <v>1</v>
      </c>
      <c r="G4662" s="7" t="inlineStr">
        <is>
          <t>I'm sorry. This just wasn't pleasing to my family's palate. My mom-in-law (a salmon lover) said the fish was cooked perfectly, but she didn't care for the topping. I didn't like the topping and felt the fish was dry. My husband took one taste and left the rest. If you're looking for a great tasting salmon recipe, I highly reccomend the salmon wellington w/ a sauteed spinach. It's to die for. A little more work, but well worth it!</t>
        </is>
      </c>
    </row>
    <row r="4663">
      <c r="A4663" t="n">
        <v>61748</v>
      </c>
      <c r="B4663" t="n">
        <v>918991</v>
      </c>
      <c r="C4663" t="n">
        <v>239758</v>
      </c>
      <c r="D4663" t="n">
        <v>282609</v>
      </c>
      <c r="E4663" s="1" t="n">
        <v>40644</v>
      </c>
      <c r="F4663" t="n">
        <v>5</v>
      </c>
      <c r="G4663" t="inlineStr">
        <is>
          <t>The pesto sauce really makes this fantastic soup. I made a few tweaks -- my carrots were small so I used two. You didn't specify what kind of beans so I used a combo of drained and rinsed cannellini and lima (broad) beans as they seemed more tuscan than green beans. Also, I used thick Greek-style yogurt for the pesto sauce.  So delicious. Thanks so much for posting.</t>
        </is>
      </c>
    </row>
    <row r="4664">
      <c r="A4664" s="7" t="n">
        <v>108513</v>
      </c>
      <c r="B4664" s="7" t="n">
        <v>16599</v>
      </c>
      <c r="C4664" s="7" t="n">
        <v>1800286030</v>
      </c>
      <c r="D4664" s="7" t="n">
        <v>301754</v>
      </c>
      <c r="E4664" s="8" t="n">
        <v>41900</v>
      </c>
      <c r="F4664" s="7" t="n">
        <v>4</v>
      </c>
      <c r="G4664" s="7" t="inlineStr">
        <is>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is>
      </c>
    </row>
    <row r="4665">
      <c r="A4665" s="7" t="n">
        <v>100386</v>
      </c>
      <c r="B4665" s="7" t="n">
        <v>300555</v>
      </c>
      <c r="C4665" s="7" t="n">
        <v>1596732</v>
      </c>
      <c r="D4665" s="7" t="n">
        <v>419483</v>
      </c>
      <c r="E4665" s="8" t="n">
        <v>40282</v>
      </c>
      <c r="F4665" s="7" t="n">
        <v>5</v>
      </c>
      <c r="G4665" s="7" t="inlineStr">
        <is>
          <t>I'm always looking for good vegetable recipes to attract my family. This was so easy to make and we all loved it...I've already made this several times!</t>
        </is>
      </c>
    </row>
    <row r="4666">
      <c r="A4666" s="7" t="n">
        <v>38915</v>
      </c>
      <c r="B4666" s="7" t="n">
        <v>119242</v>
      </c>
      <c r="C4666" s="7" t="n">
        <v>764068</v>
      </c>
      <c r="D4666" s="7" t="n">
        <v>159787</v>
      </c>
      <c r="E4666" s="8" t="n">
        <v>39785</v>
      </c>
      <c r="F4666" s="7" t="n">
        <v>5</v>
      </c>
      <c r="G4666" s="7" t="inlineStr">
        <is>
          <t>Made this for Thanksgiving to great reviews. The presentation was just amazing, it got a lot of Oh's and Ah's. I will be making this again and again. There is one thing I will change only because I think it will make the cake much better and it's just a personal preference, I make my own caramel sauce. Otherwise, the texture and taste are fantastic. Thank you for posting!</t>
        </is>
      </c>
    </row>
    <row r="4667">
      <c r="A4667" s="7" t="n">
        <v>63176</v>
      </c>
      <c r="B4667" s="7" t="n">
        <v>484337</v>
      </c>
      <c r="C4667" s="7" t="n">
        <v>217657</v>
      </c>
      <c r="D4667" s="7" t="n">
        <v>89047</v>
      </c>
      <c r="E4667" s="8" t="n">
        <v>39005</v>
      </c>
      <c r="F4667" s="7" t="n">
        <v>5</v>
      </c>
      <c r="G4667" s="7" t="inlineStr">
        <is>
          <t>Darn you Sandi!!!!!  I saw her photo and could not stop thinking about this.  YUM!  Of course anything with an entire head of garli is a winner here!!!!</t>
        </is>
      </c>
    </row>
    <row r="4668" ht="409.5" customHeight="1">
      <c r="A4668" t="n">
        <v>83086</v>
      </c>
      <c r="B4668" t="n">
        <v>728814</v>
      </c>
      <c r="C4668" t="n">
        <v>57436</v>
      </c>
      <c r="D4668" t="n">
        <v>33808</v>
      </c>
      <c r="E4668" s="1" t="n">
        <v>37605</v>
      </c>
      <c r="F4668" t="n">
        <v>5</v>
      </c>
      <c r="G4668" s="2" t="inlineStr">
        <is>
          <t xml:space="preserve">This is a recipe that my mother used in the 1950's.  She always baked hers in a 9x13 pan and it made a wonderful, moist, and very "chocolaty" cake.  I believe it was called the "Million Dollar Cake"._x000D_
</t>
        </is>
      </c>
    </row>
    <row r="4669">
      <c r="A4669" s="7" t="n">
        <v>35799</v>
      </c>
      <c r="B4669" s="7" t="n">
        <v>256619</v>
      </c>
      <c r="C4669" s="7" t="n">
        <v>174096</v>
      </c>
      <c r="D4669" s="7" t="n">
        <v>248096</v>
      </c>
      <c r="E4669" s="8" t="n">
        <v>40267</v>
      </c>
      <c r="F4669" s="7" t="n">
        <v>5</v>
      </c>
      <c r="G4669" s="7" t="inlineStr">
        <is>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is>
      </c>
    </row>
    <row r="4670">
      <c r="A4670" s="7" t="n">
        <v>92223</v>
      </c>
      <c r="B4670" s="7" t="n">
        <v>910596</v>
      </c>
      <c r="C4670" s="7" t="n">
        <v>172628</v>
      </c>
      <c r="D4670" s="7" t="n">
        <v>443686</v>
      </c>
      <c r="E4670" s="8" t="n">
        <v>41289</v>
      </c>
      <c r="F4670" s="7" t="n">
        <v>5</v>
      </c>
      <c r="G4670" s="7" t="inlineStr">
        <is>
          <t>You have earned your place in foodie paradise.  This is the best tasting vegan dessert I've found to date.  I only had to substitute for the cocoa; I was out, used some Starbucks hot cocoa mix and cut down on the agave to balance the sweetness.  Outstanding, and now becomes one of my four basic food groups:-)</t>
        </is>
      </c>
    </row>
    <row r="4671">
      <c r="A4671" s="7" t="n">
        <v>8860</v>
      </c>
      <c r="B4671" s="7" t="n">
        <v>157744</v>
      </c>
      <c r="C4671" s="7" t="n">
        <v>320849</v>
      </c>
      <c r="D4671" s="7" t="n">
        <v>46967</v>
      </c>
      <c r="E4671" s="8" t="n">
        <v>39447</v>
      </c>
      <c r="F4671" s="7" t="n">
        <v>4</v>
      </c>
      <c r="G4671" s="7" t="inlineStr">
        <is>
          <t>I made this with a few variations, too. I guess that's a sign of a solid recipe--not finicky about being just so. I used ground chicken and added onion, garlic, cumin, green chilies, and some sliced black olives to the meat part. The olives couldn't really be tasted per se but they give it an earthier flavor. I mixed up about an equal amount of frozen corn with my black beans, and stirred in a bit of salsa to that. When my pasta was ready, I stirred maybe 3/4s cup of salsa into it and then put that in the casserole dish, followed by the meat mixture, some shredded cheese, then the bean/corn mix, and some more cheese. Overall, I think I only used a bit over a cup of salsa and about 3/4s cup of cheese. It was easy, worked out witih the make-ahead schedule, and was filling, hearty, colorful, and not too unhealthy. Thanks.</t>
        </is>
      </c>
    </row>
    <row r="4672">
      <c r="A4672" s="7" t="n">
        <v>23452</v>
      </c>
      <c r="B4672" s="7" t="n">
        <v>823860</v>
      </c>
      <c r="C4672" s="7" t="n">
        <v>209441</v>
      </c>
      <c r="D4672" s="7" t="n">
        <v>78814</v>
      </c>
      <c r="E4672" s="8" t="n">
        <v>38470</v>
      </c>
      <c r="F4672" s="7" t="n">
        <v>5</v>
      </c>
      <c r="G4672" s="7" t="inlineStr">
        <is>
          <t>Wow are these chicken rolls every the best! no wonder they are in the top recipe! I poured the sauce on top before baking them and they were not soggy at all.they are so good, one of my new favorite recipes thank you!</t>
        </is>
      </c>
    </row>
    <row r="4673">
      <c r="A4673" s="7" t="n">
        <v>76754</v>
      </c>
      <c r="B4673" s="7" t="n">
        <v>897534</v>
      </c>
      <c r="C4673" s="7" t="n">
        <v>232480</v>
      </c>
      <c r="D4673" s="7" t="n">
        <v>437005</v>
      </c>
      <c r="E4673" s="8" t="n">
        <v>40614</v>
      </c>
      <c r="F4673" s="7" t="n">
        <v>4</v>
      </c>
      <c r="G4673" s="7" t="inlineStr">
        <is>
          <t>This is chocolatey!  Rich, but yummy.  Cake worked perfectly for me, baked in about 47 minutes.  The frosting was an interesting recipe, but I didn't find it the consistency of a glaze really...more like thinned out canned frosting I think.  I'll keep this cake recipe, but next time use my own frosting recipe, I think.  Made for PAC Spring '11.</t>
        </is>
      </c>
    </row>
    <row r="4674">
      <c r="A4674" s="7" t="n">
        <v>12030</v>
      </c>
      <c r="B4674" s="7" t="n">
        <v>688380</v>
      </c>
      <c r="C4674" s="7" t="n">
        <v>89831</v>
      </c>
      <c r="D4674" s="7" t="n">
        <v>93520</v>
      </c>
      <c r="E4674" s="8" t="n">
        <v>38182</v>
      </c>
      <c r="F4674" s="7" t="n">
        <v>5</v>
      </c>
      <c r="G4674" s="7" t="inlineStr">
        <is>
          <t>OMG, this salad was totally amazing Shimmerchk!! I did however make my own chipotle puree from the whole ones in a store-bought jar, and used diced chicken (I too was a bit lazy LOL!) the dressing in this recipe is just so yummy I am thinking I will use this on other salads also!..I didn't have any mint leaves, so I left that out, but don't leave out the peanuts, they give the salad such a wonderful texture and flavor...this is better than any top restaurant salad...thank you so much for sharing, I will make this again and again!...Kitten:)</t>
        </is>
      </c>
    </row>
    <row r="4675">
      <c r="A4675" s="7" t="n">
        <v>117157</v>
      </c>
      <c r="B4675" s="7" t="n">
        <v>195252</v>
      </c>
      <c r="C4675" s="7" t="n">
        <v>654485</v>
      </c>
      <c r="D4675" s="7" t="n">
        <v>89609</v>
      </c>
      <c r="E4675" s="8" t="n">
        <v>39550</v>
      </c>
      <c r="F4675" s="7" t="n">
        <v>5</v>
      </c>
      <c r="G4675" s="7" t="inlineStr">
        <is>
          <t>These were great crab cakes...I made them exactly as directed.  Didn't think the mustard was too much.   I love Faidley's crab cakes in Baltimore and was looking for the recipe.  If this doesn't taste exactly like it, it is very close to the real thing.</t>
        </is>
      </c>
    </row>
    <row r="4676">
      <c r="A4676" s="7" t="n">
        <v>20673</v>
      </c>
      <c r="B4676" s="7" t="n">
        <v>262002</v>
      </c>
      <c r="C4676" s="7" t="n">
        <v>240552</v>
      </c>
      <c r="D4676" s="7" t="n">
        <v>292638</v>
      </c>
      <c r="E4676" s="8" t="n">
        <v>39543</v>
      </c>
      <c r="F4676" s="7" t="n">
        <v>5</v>
      </c>
      <c r="G4676" s="7" t="inlineStr">
        <is>
          <t>Yummy dessert!  I made these in individual ramekins.  I used 1/2 sugar/1/2 splenda to cut down on the sugar.  It had a nice spicy taste not just cinnamon like I'm used to.  Thanks for the recipe!</t>
        </is>
      </c>
    </row>
    <row r="4677">
      <c r="A4677" s="7" t="n">
        <v>119625</v>
      </c>
      <c r="B4677" s="7" t="n">
        <v>626636</v>
      </c>
      <c r="C4677" s="7" t="n">
        <v>133174</v>
      </c>
      <c r="D4677" s="7" t="n">
        <v>468518</v>
      </c>
      <c r="E4677" s="8" t="n">
        <v>41005</v>
      </c>
      <c r="F4677" s="7" t="n">
        <v>5</v>
      </c>
      <c r="G4677" s="7" t="inlineStr">
        <is>
          <t>DH paid this the highest complement by having a second helping.  Made this using 1/2 chicken stock and 1/2 water while resisting the urge to add in chili flakes.  Again, I failed to read directions and chopped the onion and minced the garlic, thus leaving them in the finished product.  The sweet potatoes added a light sweetness.  Not having fresh parsley, the soup was garnished with additional cilantro when serving.  Made for Aussie Swap.</t>
        </is>
      </c>
    </row>
    <row r="4678">
      <c r="A4678" s="7" t="n">
        <v>67759</v>
      </c>
      <c r="B4678" s="7" t="n">
        <v>987292</v>
      </c>
      <c r="C4678" s="7" t="n">
        <v>463202</v>
      </c>
      <c r="D4678" s="7" t="n">
        <v>116718</v>
      </c>
      <c r="E4678" s="8" t="n">
        <v>39414</v>
      </c>
      <c r="F4678" s="7" t="n">
        <v>5</v>
      </c>
      <c r="G4678" s="7" t="inlineStr">
        <is>
          <t>Yup, Delicious is the right word for this bread!  Very cheddary, with a slight oniony flavor (which my chive hating DH didn't even comment on, he just got another slice).  I used dried chives, and will probably try fresh in the spring when it comes up in the garden.  Very yummy, thanks for posting, I will definitely be making this one again.</t>
        </is>
      </c>
    </row>
    <row r="4679">
      <c r="A4679" s="7" t="n">
        <v>69743</v>
      </c>
      <c r="B4679" s="7" t="n">
        <v>193834</v>
      </c>
      <c r="C4679" s="7" t="n">
        <v>426903</v>
      </c>
      <c r="D4679" s="7" t="n">
        <v>258522</v>
      </c>
      <c r="E4679" s="8" t="n">
        <v>40202</v>
      </c>
      <c r="F4679" s="7" t="n">
        <v>5</v>
      </c>
      <c r="G4679" s="7" t="inlineStr">
        <is>
          <t>Very good, but beware...these are very very rich. Make sure you have a glass of milk to go along with these delicious treats! Thanks for posting.</t>
        </is>
      </c>
    </row>
    <row r="4680">
      <c r="A4680" s="7" t="n">
        <v>113477</v>
      </c>
      <c r="B4680" s="7" t="n">
        <v>775255</v>
      </c>
      <c r="C4680" s="7" t="n">
        <v>196038</v>
      </c>
      <c r="D4680" s="7" t="n">
        <v>203530</v>
      </c>
      <c r="E4680" s="8" t="n">
        <v>39091</v>
      </c>
      <c r="F4680" s="7" t="n">
        <v>4</v>
      </c>
      <c r="G4680" s="7" t="inlineStr">
        <is>
          <t>We have enjoyed this cake, however, next time I want to try adding perhaps some coconut and/or nuts.  It just seemed that we wanted a little more something. Thank you for posting it Olga Drozd</t>
        </is>
      </c>
    </row>
    <row r="4681">
      <c r="A4681" s="7" t="n">
        <v>87516</v>
      </c>
      <c r="B4681" s="7" t="n">
        <v>629750</v>
      </c>
      <c r="C4681" s="7" t="n">
        <v>227652</v>
      </c>
      <c r="D4681" s="7" t="n">
        <v>248020</v>
      </c>
      <c r="E4681" s="8" t="n">
        <v>43421</v>
      </c>
      <c r="F4681" s="7" t="n">
        <v>5</v>
      </c>
      <c r="G4681" s="7" t="inlineStr">
        <is>
          <t>Wonderful recipe! Next time I'll use more cinnamon (personal preference). Delicious and easy to make!</t>
        </is>
      </c>
    </row>
    <row r="4682">
      <c r="A4682" s="7" t="n">
        <v>18321</v>
      </c>
      <c r="B4682" s="7" t="n">
        <v>607235</v>
      </c>
      <c r="C4682" s="7" t="n">
        <v>64203</v>
      </c>
      <c r="D4682" s="7" t="n">
        <v>230588</v>
      </c>
      <c r="E4682" s="8" t="n">
        <v>39231</v>
      </c>
      <c r="F4682" s="7" t="n">
        <v>5</v>
      </c>
      <c r="G4682" s="7" t="inlineStr">
        <is>
          <t>I tried this recipe from the June/July 2007 issue of Taste of Home magazine. This is a DELICIOUS cake! The whipped cream frosting is the perfect compliment to the chocolate cake. I wish the rum glaze flavor was stronger throughout the cake, but that is a minor complaint! This was fantastic!</t>
        </is>
      </c>
    </row>
    <row r="4683">
      <c r="A4683" s="7" t="n">
        <v>8112</v>
      </c>
      <c r="B4683" s="7" t="n">
        <v>356978</v>
      </c>
      <c r="C4683" s="7" t="n">
        <v>108843</v>
      </c>
      <c r="D4683" s="7" t="n">
        <v>28954</v>
      </c>
      <c r="E4683" s="8" t="n">
        <v>38148</v>
      </c>
      <c r="F4683" s="7" t="n">
        <v>4</v>
      </c>
      <c r="G4683" s="7" t="inlineStr">
        <is>
          <t xml:space="preserve">As with one of the raters above, I was mildly disappointed with the taste of the pudding. I needed to cook it for an addittional 3 minutes, but, microwaves do vary. I think next time I will try some Cinnamon or Nutmeg in the sugar mix, to start.4 stars tho' for a quick, easy pudding with nice simple directions, which is what I was looking for. </t>
        </is>
      </c>
    </row>
    <row r="4684">
      <c r="A4684" s="7" t="n">
        <v>78500</v>
      </c>
      <c r="B4684" s="7" t="n">
        <v>13765</v>
      </c>
      <c r="C4684" s="7" t="n">
        <v>62494</v>
      </c>
      <c r="D4684" s="7" t="n">
        <v>18563</v>
      </c>
      <c r="E4684" s="8" t="n">
        <v>38176</v>
      </c>
      <c r="F4684" s="7" t="n">
        <v>4</v>
      </c>
      <c r="G4684" s="7" t="inlineStr">
        <is>
          <t>This was pretty good, not my favorite recipe of all times, but I can't really say anything bad about it.</t>
        </is>
      </c>
    </row>
    <row r="4685">
      <c r="A4685" s="7" t="n">
        <v>17779</v>
      </c>
      <c r="B4685" s="7" t="n">
        <v>160805</v>
      </c>
      <c r="C4685" s="7" t="n">
        <v>224740</v>
      </c>
      <c r="D4685" s="7" t="n">
        <v>138110</v>
      </c>
      <c r="E4685" s="8" t="n">
        <v>38638</v>
      </c>
      <c r="F4685" s="7" t="n">
        <v>4</v>
      </c>
      <c r="G4685" s="7" t="inlineStr">
        <is>
          <t>Very simple and easy recipe with good flavours. I found the little bit of lemon especially refreshing.</t>
        </is>
      </c>
    </row>
    <row r="4686">
      <c r="A4686" s="7" t="n">
        <v>92064</v>
      </c>
      <c r="B4686" s="7" t="n">
        <v>662737</v>
      </c>
      <c r="C4686" s="7" t="n">
        <v>27783</v>
      </c>
      <c r="D4686" s="7" t="n">
        <v>2641</v>
      </c>
      <c r="E4686" s="8" t="n">
        <v>39189</v>
      </c>
      <c r="F4686" s="7" t="n">
        <v>5</v>
      </c>
      <c r="G4686" s="7" t="inlineStr">
        <is>
          <t>Wow this was so easy and tasted so very good. I used orange juice and brown sugar splenda for the juice and sweetener options. It turned out great! This is a thin, pourable sauce. I used it as a dip for coconut shrimp. Yum yum!</t>
        </is>
      </c>
    </row>
    <row r="4687">
      <c r="A4687" s="7" t="n">
        <v>26900</v>
      </c>
      <c r="B4687" s="7" t="n">
        <v>638291</v>
      </c>
      <c r="C4687" s="7" t="n">
        <v>157425</v>
      </c>
      <c r="D4687" s="7" t="n">
        <v>16869</v>
      </c>
      <c r="E4687" s="8" t="n">
        <v>39531</v>
      </c>
      <c r="F4687" s="7" t="n">
        <v>4</v>
      </c>
      <c r="G4687" s="7" t="inlineStr">
        <is>
          <t>I made one serving of this recipe and had a juice glass sized serving. If you are drinking only this smoothie for breakfast definitely make the two servings. Loved the thicker consistency and the flavor of the lime with kiwi and banana. Very fresh flavor with a little zing from the lime.</t>
        </is>
      </c>
    </row>
    <row r="4688">
      <c r="A4688" s="7" t="n">
        <v>100593</v>
      </c>
      <c r="B4688" s="7" t="n">
        <v>231763</v>
      </c>
      <c r="C4688" s="7" t="n">
        <v>64101</v>
      </c>
      <c r="D4688" s="7" t="n">
        <v>20233</v>
      </c>
      <c r="E4688" s="8" t="n">
        <v>37603</v>
      </c>
      <c r="F4688" s="7" t="n">
        <v>5</v>
      </c>
      <c r="G4688" s="7" t="inlineStr">
        <is>
          <t>I actually came to this site with the intention of posting this identical recipe.  I have been making this for a few years. Whether served in the pie crust, or as a dessert pudding, it's always been a hit!</t>
        </is>
      </c>
    </row>
    <row r="4689">
      <c r="A4689" s="7" t="n">
        <v>80757</v>
      </c>
      <c r="B4689" s="7" t="n">
        <v>1094213</v>
      </c>
      <c r="C4689" s="7" t="n">
        <v>2001385739</v>
      </c>
      <c r="D4689" s="7" t="n">
        <v>319219</v>
      </c>
      <c r="E4689" s="8" t="n">
        <v>43078</v>
      </c>
      <c r="F4689" s="7" t="n">
        <v>5</v>
      </c>
      <c r="G4689" s="7" t="inlineStr">
        <is>
          <t>Easy and delish. Used baby carrots, celery and Vidalia onion for veggies. Topped veggies with Aldi's rotisserie Turkey tenderloin, added Mrs. Dash chicken seasoning and kicking chicken seasoning to top of tenderloin. Nature's seasoning to veggies. Sealed in aluminum packet, 1 hour, 40 min later at 350 degrees it smelled amazing and was great! Served with my mashed potatoes... added greek yogurt, onion and chive cream cheese, salt, pepper, butter and just a little bit of milk to make mashed potatoes. Great meal... thank you.</t>
        </is>
      </c>
    </row>
    <row r="4690">
      <c r="A4690" s="7" t="n">
        <v>18732</v>
      </c>
      <c r="B4690" s="7" t="n">
        <v>29566</v>
      </c>
      <c r="C4690" s="7" t="n">
        <v>89831</v>
      </c>
      <c r="D4690" s="7" t="n">
        <v>117634</v>
      </c>
      <c r="E4690" s="8" t="n">
        <v>39017</v>
      </c>
      <c r="F4690" s="7" t="n">
        <v>5</v>
      </c>
      <c r="G4690" s="7" t="inlineStr">
        <is>
          <t>I actually made these for my DS's fiance who loves anything with cream cheese, the only change I made was I used frozen strawberries that I packed in a sugar syrup this summer, this recipe is a bit labour-intensive but well worth the extra effort, these are really good! thanks Ellie!...Kitten:)</t>
        </is>
      </c>
    </row>
    <row r="4691">
      <c r="A4691" s="7" t="n">
        <v>96178</v>
      </c>
      <c r="B4691" s="7" t="n">
        <v>717445</v>
      </c>
      <c r="C4691" s="7" t="n">
        <v>1930665</v>
      </c>
      <c r="D4691" s="7" t="n">
        <v>216894</v>
      </c>
      <c r="E4691" s="8" t="n">
        <v>40793</v>
      </c>
      <c r="F4691" s="7" t="n">
        <v>4</v>
      </c>
      <c r="G4691" s="7" t="inlineStr">
        <is>
          <t>Oh, so this is a universal recipe. My grandmother, who I call Lola, made me these too. I think she made them out of convenience because the ingredients were always on hand and I was told I loved sugar when I was a kid. It's a great comfort food.</t>
        </is>
      </c>
    </row>
    <row r="4692">
      <c r="A4692" s="7" t="n">
        <v>9610</v>
      </c>
      <c r="B4692" s="7" t="n">
        <v>473737</v>
      </c>
      <c r="C4692" s="7" t="n">
        <v>1072593</v>
      </c>
      <c r="D4692" s="7" t="n">
        <v>141826</v>
      </c>
      <c r="E4692" s="8" t="n">
        <v>40811</v>
      </c>
      <c r="F4692" s="7" t="n">
        <v>5</v>
      </c>
      <c r="G4692" s="7" t="inlineStr">
        <is>
          <t>My family likes their beans meaty so I added smoked sausage in addition to the ham.  The diversity of this dish reminded me.  I've always had the opinion that there is one thing with which I will never become bored...eating.</t>
        </is>
      </c>
    </row>
    <row r="4693">
      <c r="A4693" t="n">
        <v>29856</v>
      </c>
      <c r="B4693" t="n">
        <v>697208</v>
      </c>
      <c r="C4693" t="n">
        <v>169166</v>
      </c>
      <c r="D4693" t="n">
        <v>136774</v>
      </c>
      <c r="E4693" s="1" t="n">
        <v>39234</v>
      </c>
      <c r="F4693" t="n">
        <v>5</v>
      </c>
      <c r="G4693" t="inlineStr">
        <is>
          <t>These I've made many times before.... and have also had many times before. I've learned that you can try other liquors with it. For example.... sour pus, malibu, or any favorite flavored liquor. It adds variety and good flavor.</t>
        </is>
      </c>
    </row>
    <row r="4694">
      <c r="A4694" s="7" t="n">
        <v>37314</v>
      </c>
      <c r="B4694" s="7" t="n">
        <v>860849</v>
      </c>
      <c r="C4694" s="7" t="n">
        <v>2000259669</v>
      </c>
      <c r="D4694" s="7" t="n">
        <v>32005</v>
      </c>
      <c r="E4694" s="8" t="n">
        <v>42164</v>
      </c>
      <c r="F4694" s="7" t="n">
        <v>5</v>
      </c>
      <c r="G4694" s="7" t="inlineStr">
        <is>
          <t>I am so happy to have easily found this recipe again.  It is an absolutely delicious soup that you remember.  I can hardly wait to go buy the ingredients.  Like someone else said, I wouldn&amp;#039;t use over a gallon of broth.  I wonder if that is a typo.</t>
        </is>
      </c>
    </row>
    <row r="4695">
      <c r="A4695" s="7" t="n">
        <v>1713</v>
      </c>
      <c r="B4695" s="7" t="n">
        <v>172693</v>
      </c>
      <c r="C4695" s="7" t="n">
        <v>485728</v>
      </c>
      <c r="D4695" s="7" t="n">
        <v>319324</v>
      </c>
      <c r="E4695" s="8" t="n">
        <v>39919</v>
      </c>
      <c r="F4695" s="7" t="n">
        <v>5</v>
      </c>
      <c r="G4695" s="7" t="inlineStr">
        <is>
          <t>Wow, this casserole was amazing!  I was looking for a recipe to use up the leftover Easter ham, and as soon as I saw this I knew I had to try it.  I added a bit extra cheddar cheese so the casserole was really cheesy and creamy.  It was so delicious!  I may need to make hams now just to have this afterward.  Thanks so much for the recipe.</t>
        </is>
      </c>
    </row>
    <row r="4696">
      <c r="A4696" s="7" t="n">
        <v>40103</v>
      </c>
      <c r="B4696" s="7" t="n">
        <v>155143</v>
      </c>
      <c r="C4696" s="7" t="n">
        <v>237123</v>
      </c>
      <c r="D4696" s="7" t="n">
        <v>86962</v>
      </c>
      <c r="E4696" s="8" t="n">
        <v>38846</v>
      </c>
      <c r="F4696" s="7" t="n">
        <v>5</v>
      </c>
      <c r="G4696" s="7" t="inlineStr">
        <is>
          <t>Well, I changed the fruit up so much I'm not sure that my review accurately reflects this recipe.  But- it was your technique of using the dried fruit that is what made these muffins unique, and I give five stars to that!  I could only find different dried fruit at the farmer's market this week, so I used dried apricots, dried cherries, dried apples and raisins.  I did end up using a teaspoon or two of honey, as these fruits are not as sweet as dates and prunes.  Used whole wheat pastry flour.  These muffins are tasty and a nice light texture that I was not expecting at all.  They are just great, and will make them again for sure.  Thanks for sharing this recipe.</t>
        </is>
      </c>
    </row>
    <row r="4697">
      <c r="A4697" s="7" t="n">
        <v>4723</v>
      </c>
      <c r="B4697" s="7" t="n">
        <v>48371</v>
      </c>
      <c r="C4697" s="7" t="n">
        <v>29196</v>
      </c>
      <c r="D4697" s="7" t="n">
        <v>374473</v>
      </c>
      <c r="E4697" s="8" t="n">
        <v>39990</v>
      </c>
      <c r="F4697" s="7" t="n">
        <v>4</v>
      </c>
      <c r="G4697" s="7" t="inlineStr">
        <is>
          <t>I made the relish and we ate it over sirloin steaks. I din't use your combo of veg TFC, but served up a baked potato with sour cream and a salad. I'd like to make this again when I'm not so sick and try it with capsicums in season.</t>
        </is>
      </c>
    </row>
    <row r="4698">
      <c r="A4698" s="7" t="n">
        <v>35631</v>
      </c>
      <c r="B4698" s="7" t="n">
        <v>286234</v>
      </c>
      <c r="C4698" s="7" t="n">
        <v>18391</v>
      </c>
      <c r="D4698" s="7" t="n">
        <v>22179</v>
      </c>
      <c r="E4698" s="8" t="n">
        <v>38804</v>
      </c>
      <c r="F4698" s="7" t="n">
        <v>5</v>
      </c>
      <c r="G4698" s="7" t="inlineStr">
        <is>
          <t>Yummy! This is wonderful! Made exactly as stated except I brushed the loaf with butter left over from brushing the dough .. thanks for posting!</t>
        </is>
      </c>
    </row>
    <row r="4699">
      <c r="A4699" s="7" t="n">
        <v>96569</v>
      </c>
      <c r="B4699" s="7" t="n">
        <v>1071616</v>
      </c>
      <c r="C4699" s="7" t="n">
        <v>37449</v>
      </c>
      <c r="D4699" s="7" t="n">
        <v>504665</v>
      </c>
      <c r="E4699" s="8" t="n">
        <v>41494</v>
      </c>
      <c r="F4699" s="7" t="n">
        <v>5</v>
      </c>
      <c r="G4699" s="7" t="inlineStr">
        <is>
          <t>I really messed this recipe up and it still turned out good! I added the sauce ingredients except for the sour cream into the meatball mix, and added more breadcrumbs to hold it together. The results were delicious. Made for team Hot Stuff for ZWT 2013.</t>
        </is>
      </c>
    </row>
    <row r="4700">
      <c r="A4700" s="7" t="n">
        <v>73839</v>
      </c>
      <c r="B4700" s="7" t="n">
        <v>149075</v>
      </c>
      <c r="C4700" s="7" t="n">
        <v>728555</v>
      </c>
      <c r="D4700" s="7" t="n">
        <v>210940</v>
      </c>
      <c r="E4700" s="8" t="n">
        <v>40174</v>
      </c>
      <c r="F4700" s="7" t="n">
        <v>2</v>
      </c>
      <c r="G4700" s="7" t="inlineStr">
        <is>
          <t>My family and I did not care for these, I made them as printed, they were too salty and we did not care for the butter flavor in it</t>
        </is>
      </c>
    </row>
    <row r="4701">
      <c r="A4701" s="7" t="n">
        <v>47869</v>
      </c>
      <c r="B4701" s="7" t="n">
        <v>563340</v>
      </c>
      <c r="C4701" s="7" t="n">
        <v>1052873</v>
      </c>
      <c r="D4701" s="7" t="n">
        <v>164636</v>
      </c>
      <c r="E4701" s="8" t="n">
        <v>40621</v>
      </c>
      <c r="F4701" s="7" t="n">
        <v>5</v>
      </c>
      <c r="G4701" s="7" t="inlineStr">
        <is>
          <t>Wins in the easy category! I used 1/2 c flour and 1/2 cornstarch, plus some salt and pepper. Used on nugget-sized pieces of frozen catfish, 2 minutes, flipped, 3 minutes, flipped again for about a minute to brown. Don't do too many at a time because it lowers the temperature.</t>
        </is>
      </c>
    </row>
    <row r="4702">
      <c r="A4702" s="7" t="n">
        <v>79820</v>
      </c>
      <c r="B4702" s="7" t="n">
        <v>1065009</v>
      </c>
      <c r="C4702" s="7" t="n">
        <v>340818</v>
      </c>
      <c r="D4702" s="7" t="n">
        <v>55600</v>
      </c>
      <c r="E4702" s="8" t="n">
        <v>39180</v>
      </c>
      <c r="F4702" s="7" t="n">
        <v>5</v>
      </c>
      <c r="G4702" s="7" t="inlineStr">
        <is>
          <t>FABULOUS! I had never made lamb beore and the only other time I had eaten it I thought it was very dry, but not this one. My only complaint wasnt with the recipe, it was my own stupid mistake. One of the grocers had it on sell, I was in a big hurry and just grabbed one. I didnt realize till I got home that the one I grabbed was NOT on sell, paid double the sell price....that just made me enjoy it that much more..lol...Thanks for a great recipe!</t>
        </is>
      </c>
    </row>
    <row r="4703">
      <c r="A4703" s="7" t="n">
        <v>75936</v>
      </c>
      <c r="B4703" s="7" t="n">
        <v>935327</v>
      </c>
      <c r="C4703" s="7" t="n">
        <v>383346</v>
      </c>
      <c r="D4703" s="7" t="n">
        <v>411594</v>
      </c>
      <c r="E4703" s="8" t="n">
        <v>40945</v>
      </c>
      <c r="F4703" s="7" t="n">
        <v>5</v>
      </c>
      <c r="G4703" s="7" t="inlineStr">
        <is>
          <t>It was my first time making scones and it won't be my last time.  It was easy to do with the food processor.  I made a round and cut in 8 pieces.  I baked them 15 minutes.  The taste is wonderful.  The texture is great also.  I used dried cranberries.  Thanks Marra :)  Made for Zaar Star game</t>
        </is>
      </c>
    </row>
    <row r="4704">
      <c r="A4704" s="7" t="n">
        <v>35163</v>
      </c>
      <c r="B4704" s="7" t="n">
        <v>590415</v>
      </c>
      <c r="C4704" s="7" t="n">
        <v>1421140</v>
      </c>
      <c r="D4704" s="7" t="n">
        <v>335661</v>
      </c>
      <c r="E4704" s="8" t="n">
        <v>40621</v>
      </c>
      <c r="F4704" s="7" t="n">
        <v>5</v>
      </c>
      <c r="G4704" s="7" t="inlineStr">
        <is>
          <t>This is to die for......LITERALLY! Everyone loved it on pasta and chicken. Used it for two tilapia recipes too. This is a keeper as long as my heart lasts........</t>
        </is>
      </c>
    </row>
    <row r="4705">
      <c r="A4705" s="7" t="n">
        <v>56019</v>
      </c>
      <c r="B4705" s="7" t="n">
        <v>315240</v>
      </c>
      <c r="C4705" s="7" t="n">
        <v>159888</v>
      </c>
      <c r="D4705" s="7" t="n">
        <v>35509</v>
      </c>
      <c r="E4705" s="8" t="n">
        <v>38754</v>
      </c>
      <c r="F4705" s="7" t="n">
        <v>5</v>
      </c>
      <c r="G4705" s="7" t="inlineStr">
        <is>
          <t xml:space="preserve">I thought this was delicious. The mixture of meat &amp; veggies was awesome. Next time I may skip the pie crusts though,  as I thought it kinda took away from the great taste of meat &amp; veggies. I could of ate them right out of the pan.  I thought the final product was very tasty but a little dry, even though I added extra creme cheese to the top, before the pie crust on top, so I made up some beef gravy to pour on the top, yummy..  It may have been dry because I didnt pre cook the bottom pie crust, as I thought It might burn baking it in the oven a second time. so it may have absorbed alot of the juices. I am not use to cooking with pie crust.  It was delicious though. So next time I will either skip the pie crust all together or definatley precook the bottom one. I used a little bit of red cabbage too and added fresh garlic, also for the crust I used pillsbury, the refrigerated kind.  all in all this was very good and Im sure I will try to make it again.  Thank you. </t>
        </is>
      </c>
    </row>
    <row r="4706">
      <c r="A4706" s="7" t="n">
        <v>59751</v>
      </c>
      <c r="B4706" s="7" t="n">
        <v>325386</v>
      </c>
      <c r="C4706" s="7" t="n">
        <v>652006</v>
      </c>
      <c r="D4706" s="7" t="n">
        <v>194323</v>
      </c>
      <c r="E4706" s="8" t="n">
        <v>40190</v>
      </c>
      <c r="F4706" s="7" t="n">
        <v>5</v>
      </c>
      <c r="G4706" s="7" t="inlineStr">
        <is>
          <t>This has become a tradition in our family.  The Thanksgiving  table is never complete without Tom Turkey.  Every year he looks a little different, based on what is available, but he never fails to show off strutting his stuff.  Wonderful idea  Thank you posting Rita.</t>
        </is>
      </c>
    </row>
    <row r="4707">
      <c r="A4707" s="7" t="n">
        <v>98719</v>
      </c>
      <c r="B4707" s="7" t="n">
        <v>63713</v>
      </c>
      <c r="C4707" s="7" t="n">
        <v>114965</v>
      </c>
      <c r="D4707" s="7" t="n">
        <v>64913</v>
      </c>
      <c r="E4707" s="8" t="n">
        <v>38207</v>
      </c>
      <c r="F4707" s="7" t="n">
        <v>5</v>
      </c>
      <c r="G4707" s="7" t="inlineStr">
        <is>
          <t>Wonderful exotic aroma all over the house, through the windows and into the street ! Our neighbors loved the aroma, our family loved the taste. The review of fairywishes wish above says it all, just follow it and you have wonderful, wonderful roasted chicken without so much heat during summer. So easy to cook but results are great and we love garlic ! Thanks a lot Bekah for sharing this recipe. We will be doing this over and over again.</t>
        </is>
      </c>
    </row>
    <row r="4708">
      <c r="A4708" s="7" t="n">
        <v>34690</v>
      </c>
      <c r="B4708" s="7" t="n">
        <v>803443</v>
      </c>
      <c r="C4708" s="7" t="n">
        <v>166642</v>
      </c>
      <c r="D4708" s="7" t="n">
        <v>272806</v>
      </c>
      <c r="E4708" s="8" t="n">
        <v>39521</v>
      </c>
      <c r="F4708" s="7" t="n">
        <v>5</v>
      </c>
      <c r="G4708" s="7" t="inlineStr">
        <is>
          <t>I love that this recipe uses the refrigerated pizza dough and that they are only 1 point AND that they taste delicious. Definitely a wonderful flavor with the parmesan cheese and the slight kick from the red pepper. Thanks for a great recipe.</t>
        </is>
      </c>
    </row>
    <row r="4709">
      <c r="A4709" s="7" t="n">
        <v>118494</v>
      </c>
      <c r="B4709" s="7" t="n">
        <v>552346</v>
      </c>
      <c r="C4709" s="7" t="n">
        <v>119250</v>
      </c>
      <c r="D4709" s="7" t="n">
        <v>12584</v>
      </c>
      <c r="E4709" s="8" t="n">
        <v>39383</v>
      </c>
      <c r="F4709" s="7" t="n">
        <v>5</v>
      </c>
      <c r="G4709" s="7" t="inlineStr">
        <is>
          <t>This is a great recipe especially if the weather doesn't permit grilling. For years I've preferred "grilled corn on the cob". Soak corn with husked on in water for 30 minutes or more. While cooking your other foods on main grill, just place corn on top rack of grill or to the side. Depending on your grill temperature, cook 20 to 30 mins. Spray with water when husks start looking to dry out while grilling. Let cool a little before shucking the husks. The silks come right off.</t>
        </is>
      </c>
    </row>
    <row r="4710">
      <c r="A4710" s="7" t="n">
        <v>113547</v>
      </c>
      <c r="B4710" s="7" t="n">
        <v>537031</v>
      </c>
      <c r="C4710" s="7" t="n">
        <v>442988</v>
      </c>
      <c r="D4710" s="7" t="n">
        <v>113203</v>
      </c>
      <c r="E4710" s="8" t="n">
        <v>39478</v>
      </c>
      <c r="F4710" s="7" t="n">
        <v>5</v>
      </c>
      <c r="G4710" s="7" t="inlineStr">
        <is>
          <t>What a find!  I can't believe how great this is.  WONDERFUL texture; I had no graininess at all; it was wonderfully thick and smooth.  I made this up to use in a creamed spinach recipe, but I'm now thinking of all sorts of uses -- and I'm going to try the grand science experiment this summer, and use it to make ice cream.  Thanks so much for posting this!</t>
        </is>
      </c>
    </row>
    <row r="4711">
      <c r="A4711" s="7" t="n">
        <v>29481</v>
      </c>
      <c r="B4711" s="7" t="n">
        <v>1102698</v>
      </c>
      <c r="C4711" s="7" t="n">
        <v>102672</v>
      </c>
      <c r="D4711" s="7" t="n">
        <v>234344</v>
      </c>
      <c r="E4711" s="8" t="n">
        <v>39770</v>
      </c>
      <c r="F4711" s="7" t="n">
        <v>5</v>
      </c>
      <c r="G4711" s="7" t="inlineStr">
        <is>
          <t>DH was very grateful for this - said his throat started feeling better immediately.  Will use this one with every cold I'm sure!</t>
        </is>
      </c>
    </row>
    <row r="4712">
      <c r="A4712" t="n">
        <v>8253</v>
      </c>
      <c r="B4712" t="n">
        <v>402995</v>
      </c>
      <c r="C4712" t="n">
        <v>382203</v>
      </c>
      <c r="D4712" t="n">
        <v>18705</v>
      </c>
      <c r="E4712" s="1" t="n">
        <v>39419</v>
      </c>
      <c r="F4712" t="n">
        <v>5</v>
      </c>
      <c r="G4712" t="inlineStr">
        <is>
          <t>These were fabulous, my guests loved them. Thanks so much for sharing this recipe</t>
        </is>
      </c>
    </row>
    <row r="4713">
      <c r="A4713" s="7" t="n">
        <v>113035</v>
      </c>
      <c r="B4713" s="7" t="n">
        <v>508378</v>
      </c>
      <c r="C4713" s="7" t="n">
        <v>678366</v>
      </c>
      <c r="D4713" s="7" t="n">
        <v>124413</v>
      </c>
      <c r="E4713" s="8" t="n">
        <v>40107</v>
      </c>
      <c r="F4713" s="7" t="n">
        <v>5</v>
      </c>
      <c r="G4713" s="7" t="inlineStr">
        <is>
          <t>A very handy tip coz I just start baking without checking if I have the ingredients. Once I even used it instead of yogurt and it worked fine.</t>
        </is>
      </c>
    </row>
    <row r="4714">
      <c r="A4714" s="7" t="n">
        <v>94019</v>
      </c>
      <c r="B4714" s="7" t="n">
        <v>710863</v>
      </c>
      <c r="C4714" s="7" t="n">
        <v>30168</v>
      </c>
      <c r="D4714" s="7" t="n">
        <v>45707</v>
      </c>
      <c r="E4714" s="8" t="n">
        <v>37677</v>
      </c>
      <c r="F4714" s="7" t="n">
        <v>5</v>
      </c>
      <c r="G4714" s="7" t="inlineStr">
        <is>
          <t>wonderful! i did not thaw. i baked pastry per pkg instructions and just fill them with beef mixture, then added toppings. easy to make, kids think it's great!</t>
        </is>
      </c>
    </row>
    <row r="4715">
      <c r="A4715" s="7" t="n">
        <v>116313</v>
      </c>
      <c r="B4715" s="7" t="n">
        <v>910119</v>
      </c>
      <c r="C4715" s="7" t="n">
        <v>119421</v>
      </c>
      <c r="D4715" s="7" t="n">
        <v>74509</v>
      </c>
      <c r="E4715" s="8" t="n">
        <v>38826</v>
      </c>
      <c r="F4715" s="7" t="n">
        <v>5</v>
      </c>
      <c r="G4715" s="7" t="inlineStr">
        <is>
          <t>Delicious!! I used maple syrup instead of honey, a little less than 1/4 C. This dish was not too sweet, with just a dash of spiciness, wonderfully aromatic while baking, too!</t>
        </is>
      </c>
    </row>
    <row r="4716">
      <c r="A4716" s="7" t="n">
        <v>20798</v>
      </c>
      <c r="B4716" s="7" t="n">
        <v>265928</v>
      </c>
      <c r="C4716" s="7" t="n">
        <v>1103216</v>
      </c>
      <c r="D4716" s="7" t="n">
        <v>107786</v>
      </c>
      <c r="E4716" s="8" t="n">
        <v>40694</v>
      </c>
      <c r="F4716" s="7" t="n">
        <v>5</v>
      </c>
      <c r="G4716" s="7" t="inlineStr">
        <is>
          <t>Today was the second time I have made these ribs...and they are the BEST and the EASIEST ribs ever!  I do not know what bandcphilly did wrong, but even before I put the BBQ sauce and broiled them, they were SO good!  I followed the directions exactly, but I did not have any smoked salt, so I just used mesquite liquid smoke rubbed on prior to adding the rub, as suggested in the instructions.  Just be careful not to use too much liquid smoke, or it will make it better.  Liquid smoke is definitely one of those things, more is NOT better, and a little goes a long way!  Again, the best ribs I have ever made, and some of the best I have ever had!</t>
        </is>
      </c>
    </row>
    <row r="4717">
      <c r="A4717" s="7" t="n">
        <v>5059</v>
      </c>
      <c r="B4717" s="7" t="n">
        <v>373392</v>
      </c>
      <c r="C4717" s="7" t="n">
        <v>146047</v>
      </c>
      <c r="D4717" s="7" t="n">
        <v>41312</v>
      </c>
      <c r="E4717" s="8" t="n">
        <v>38977</v>
      </c>
      <c r="F4717" s="7" t="n">
        <v>5</v>
      </c>
      <c r="G4717" s="7" t="inlineStr">
        <is>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is>
      </c>
    </row>
    <row r="4718">
      <c r="A4718" s="7" t="n">
        <v>4823</v>
      </c>
      <c r="B4718" s="7" t="n">
        <v>820539</v>
      </c>
      <c r="C4718" s="7" t="n">
        <v>363055</v>
      </c>
      <c r="D4718" s="7" t="n">
        <v>194466</v>
      </c>
      <c r="E4718" s="8" t="n">
        <v>40145</v>
      </c>
      <c r="F4718" s="7" t="n">
        <v>5</v>
      </c>
      <c r="G4718" s="7" t="inlineStr">
        <is>
          <t>This is the BEST green bean casserole ever!!!!  A real hit at our Thanksgiving dinner!!</t>
        </is>
      </c>
    </row>
    <row r="4719">
      <c r="A4719" s="7" t="n">
        <v>88142</v>
      </c>
      <c r="B4719" s="7" t="n">
        <v>133134</v>
      </c>
      <c r="C4719" s="7" t="n">
        <v>2001564528</v>
      </c>
      <c r="D4719" s="7" t="n">
        <v>428634</v>
      </c>
      <c r="E4719" s="8" t="n">
        <v>42887</v>
      </c>
      <c r="F4719" s="7" t="n">
        <v>4</v>
      </c>
      <c r="G4719" s="7" t="inlineStr">
        <is>
          <t>Perfect!</t>
        </is>
      </c>
    </row>
    <row r="4720">
      <c r="A4720" s="7" t="n">
        <v>87641</v>
      </c>
      <c r="B4720" s="7" t="n">
        <v>67577</v>
      </c>
      <c r="C4720" s="7" t="n">
        <v>174096</v>
      </c>
      <c r="D4720" s="7" t="n">
        <v>367698</v>
      </c>
      <c r="E4720" s="8" t="n">
        <v>40655</v>
      </c>
      <c r="F4720" s="7" t="n">
        <v>5</v>
      </c>
      <c r="G4720" s="7" t="inlineStr">
        <is>
          <t>This was an excellent soup!  We loved the heat from the red pepper flakes, and the combo of veggies and pasta was delicious.  I omitted the optional chili powder, salt (personal preference) and used corn-quinoa blend pasta shells and low-sodium chicken broth.  Thanks for sharing!</t>
        </is>
      </c>
    </row>
    <row r="4721">
      <c r="A4721" s="7" t="n">
        <v>27470</v>
      </c>
      <c r="B4721" s="7" t="n">
        <v>588416</v>
      </c>
      <c r="C4721" s="7" t="n">
        <v>804550</v>
      </c>
      <c r="D4721" s="7" t="n">
        <v>226062</v>
      </c>
      <c r="E4721" s="8" t="n">
        <v>40598</v>
      </c>
      <c r="F4721" s="7" t="n">
        <v>5</v>
      </c>
      <c r="G4721" s="7" t="inlineStr">
        <is>
          <t>I personally thought this recipe was really yummy! I made them in personal dishes! Made as a RecipeNap for Veg 'N Swap tag.</t>
        </is>
      </c>
    </row>
    <row r="4722">
      <c r="A4722" s="7" t="n">
        <v>105917</v>
      </c>
      <c r="B4722" s="7" t="n">
        <v>574321</v>
      </c>
      <c r="C4722" s="7" t="n">
        <v>200728</v>
      </c>
      <c r="D4722" s="7" t="n">
        <v>13320</v>
      </c>
      <c r="E4722" s="8" t="n">
        <v>38479</v>
      </c>
      <c r="F4722" s="7" t="n">
        <v>5</v>
      </c>
      <c r="G4722" s="7" t="inlineStr">
        <is>
          <t xml:space="preserve">Thanks for the recipe.  I've been wanting to make pot stickers just like these!  I added more garlic, ginger and onions as i prefer stronger taste.  </t>
        </is>
      </c>
    </row>
    <row r="4723">
      <c r="A4723" s="7" t="n">
        <v>100904</v>
      </c>
      <c r="B4723" s="7" t="n">
        <v>255498</v>
      </c>
      <c r="C4723" s="7" t="n">
        <v>706608</v>
      </c>
      <c r="D4723" s="7" t="n">
        <v>333110</v>
      </c>
      <c r="E4723" s="8" t="n">
        <v>40377</v>
      </c>
      <c r="F4723" s="7" t="n">
        <v>4</v>
      </c>
      <c r="G4723" s="7" t="inlineStr">
        <is>
          <t>Got this from the same book! Turned out VERY well. I really enjoyed having something slightly different and "southwestern" for breakfast without any spiciness or tomatoes. BF went back for seconds and claimed the leftovers for tomorrow.  I accidentally grabbed creamed corn at the store but went ahead with it (I just added another 1/2 cup crumbs to compensate for the extra moisture. But I would have liked the whole corn better for sure!) There's just one thing that I didn't like. The stuffing mix crumbs I used were SUPER salty, and I love salt, I salt the heck out of everything but this was borderline to much for me. I would suggest trying to find a low sodium mix or one that you know really well (instead of grabbing store brand like me).</t>
        </is>
      </c>
    </row>
    <row r="4724" ht="409.5" customHeight="1">
      <c r="A4724" s="7" t="n">
        <v>105503</v>
      </c>
      <c r="B4724" s="7" t="n">
        <v>803004</v>
      </c>
      <c r="C4724" s="7" t="n">
        <v>209983</v>
      </c>
      <c r="D4724" s="7" t="n">
        <v>146547</v>
      </c>
      <c r="E4724" s="8" t="n">
        <v>38731</v>
      </c>
      <c r="F4724" s="7" t="n">
        <v>5</v>
      </c>
      <c r="G4724" s="9" t="inlineStr">
        <is>
          <t>I Tagged this recipe for Zaar tag.  This was very good, I really love the dough.  Im not a big fan of pnut butter and jelly but this was great.  The chocolate chips were really good with them too.  Thanks for posting. I will try your dough recipe with some other combinations of filling as well.  My kids and neigbor adored these!!_x000D_
Karen</t>
        </is>
      </c>
    </row>
    <row r="4725">
      <c r="A4725" t="n">
        <v>106123</v>
      </c>
      <c r="B4725" t="n">
        <v>282941</v>
      </c>
      <c r="C4725" t="n">
        <v>2671870</v>
      </c>
      <c r="D4725" t="n">
        <v>494529</v>
      </c>
      <c r="E4725" s="1" t="n">
        <v>41307</v>
      </c>
      <c r="F4725" t="n">
        <v>5</v>
      </c>
      <c r="G4725" t="inlineStr">
        <is>
          <t>Fantastic recipe! Black bean chimichangas are the best. Can't wait to whip up your version of this masterfeast!&lt;br/&gt;&lt;br/&gt;Thanks for sharing. &lt;br/&gt;&lt;br/&gt;-Matt</t>
        </is>
      </c>
    </row>
    <row r="4726">
      <c r="A4726" s="7" t="n">
        <v>45838</v>
      </c>
      <c r="B4726" s="7" t="n">
        <v>211454</v>
      </c>
      <c r="C4726" s="7" t="n">
        <v>1803773698</v>
      </c>
      <c r="D4726" s="7" t="n">
        <v>448861</v>
      </c>
      <c r="E4726" s="8" t="n">
        <v>42046</v>
      </c>
      <c r="F4726" s="7" t="n">
        <v>3</v>
      </c>
      <c r="G4726" s="7" t="inlineStr">
        <is>
          <t>Rated as a good; seasonings were good.  However, the cooking time was way off as are many slow cooker recipes. Cooked time was listed as 8 hours on low. Removed chicken from crock ot after 6 1/2 hours and it was so overdone.  Meat was falling off the bone and breast was dry.  If you make this reduce the cooking time and check temperature with a thermometer.</t>
        </is>
      </c>
    </row>
    <row r="4727">
      <c r="A4727" s="7" t="n">
        <v>56907</v>
      </c>
      <c r="B4727" s="7" t="n">
        <v>997048</v>
      </c>
      <c r="C4727" s="7" t="n">
        <v>56463</v>
      </c>
      <c r="D4727" s="7" t="n">
        <v>143795</v>
      </c>
      <c r="E4727" s="8" t="n">
        <v>39449</v>
      </c>
      <c r="F4727" s="7" t="n">
        <v>4</v>
      </c>
      <c r="G4727" s="7" t="inlineStr">
        <is>
          <t>This is a delicious cake! I made it as directed and the only reason I gave it 4 stars instead of 5 is because it would never fit in a 9-inch square cake pan. It filled my 9x13 pan and it is more like a cake than a bar IMHO. I loved the taste and made a cream cheese frosting with almond extract and sprinkled slivered almonds over the top. I will make this again, but if I want bars I will have to put in in a jellyroll pan or a cookie sheet with sides. Thanks, Carole in Orlando</t>
        </is>
      </c>
    </row>
    <row r="4728">
      <c r="A4728" s="7" t="n">
        <v>91094</v>
      </c>
      <c r="B4728" s="7" t="n">
        <v>264288</v>
      </c>
      <c r="C4728" s="7" t="n">
        <v>198962</v>
      </c>
      <c r="D4728" s="7" t="n">
        <v>95843</v>
      </c>
      <c r="E4728" s="8" t="n">
        <v>38874</v>
      </c>
      <c r="F4728" s="7" t="n">
        <v>4</v>
      </c>
      <c r="G4728" s="7" t="inlineStr">
        <is>
          <t>Yum.  The tomato-basil sauce was great.  I left the sugar out, and it was fine.  I think next time I'll eithr pour the sauce on the mahi while it's still cooking or put a little of the fresh basil on the mahi to give the fish itself a little more flavor.  Thanks for posting!</t>
        </is>
      </c>
    </row>
    <row r="4729">
      <c r="A4729" s="7" t="n">
        <v>64858</v>
      </c>
      <c r="B4729" s="7" t="n">
        <v>284220</v>
      </c>
      <c r="C4729" s="7" t="n">
        <v>37449</v>
      </c>
      <c r="D4729" s="7" t="n">
        <v>169506</v>
      </c>
      <c r="E4729" s="8" t="n">
        <v>39784</v>
      </c>
      <c r="F4729" s="7" t="n">
        <v>5</v>
      </c>
      <c r="G4729" s="7" t="inlineStr">
        <is>
          <t>I enjoyed this for lunch today! I have some leftover so will eat for a great snack! I halved the recpe. Thanks Nimz!</t>
        </is>
      </c>
    </row>
    <row r="4730">
      <c r="A4730" s="7" t="n">
        <v>104030</v>
      </c>
      <c r="B4730" s="7" t="n">
        <v>195059</v>
      </c>
      <c r="C4730" s="7" t="n">
        <v>401688</v>
      </c>
      <c r="D4730" s="7" t="n">
        <v>8432</v>
      </c>
      <c r="E4730" s="8" t="n">
        <v>39908</v>
      </c>
      <c r="F4730" s="7" t="n">
        <v>3</v>
      </c>
      <c r="G4730" s="7" t="inlineStr">
        <is>
          <t>I'm sorry but it was just okay for me.  We both found it a little bland in flavor.  I like the concept and will try again with some garlic and maybe a touch of oregano or thyme to kick it up a knotch.  The onion gravy it produced would have been great on mashed potatoes or rice.</t>
        </is>
      </c>
    </row>
    <row r="4731">
      <c r="A4731" t="n">
        <v>13540</v>
      </c>
      <c r="B4731" t="n">
        <v>937901</v>
      </c>
      <c r="C4731" t="n">
        <v>57042</v>
      </c>
      <c r="D4731" t="n">
        <v>82102</v>
      </c>
      <c r="E4731" s="1" t="n">
        <v>39068</v>
      </c>
      <c r="F4731" t="n">
        <v>4</v>
      </c>
      <c r="G4731" t="inlineStr">
        <is>
          <t>I gave this 4 stars. This wasn't as garlicly as I thought it would be but still very good though. The chicken remained moist inside after cooking for 45 minutes total. I even removed my foil for the last 10 minutes. My crust was a bit wet after baking. I made minor changes I pounded my chicken breast flat, I tripled the garlic, butter &amp; seasoned salt mix which I simmered on the stove, I grated in my blender shredded double cheddar, I had plenty of the bread crumb mix left over so I sprinkled some on top of my chicken then drizzled the remaining butter garlic mix over my chicken. I will have this again. Next time I think I'll marinade it over night and inject it with italian dressing or the garlic butter mix and try chicken stuffing or seasoned croutons as my coating. Overall this was a very good recipe thanks for posting! Christine(internetnut)</t>
        </is>
      </c>
    </row>
    <row r="4732">
      <c r="A4732" s="7" t="n">
        <v>124152</v>
      </c>
      <c r="B4732" s="7" t="n">
        <v>35202</v>
      </c>
      <c r="C4732" s="7" t="n">
        <v>577298</v>
      </c>
      <c r="D4732" s="7" t="n">
        <v>37929</v>
      </c>
      <c r="E4732" s="8" t="n">
        <v>39825</v>
      </c>
      <c r="F4732" s="7" t="n">
        <v>4</v>
      </c>
      <c r="G4732" s="7" t="inlineStr">
        <is>
          <t>This is awesome, but try addidng one box of jiffy cornbread mix leave out the sugar and the cornstarch and the salt and try it again....</t>
        </is>
      </c>
    </row>
    <row r="4733">
      <c r="A4733" s="7" t="n">
        <v>61448</v>
      </c>
      <c r="B4733" s="7" t="n">
        <v>53507</v>
      </c>
      <c r="C4733" s="7" t="n">
        <v>489929</v>
      </c>
      <c r="D4733" s="7" t="n">
        <v>11162</v>
      </c>
      <c r="E4733" s="8" t="n">
        <v>41011</v>
      </c>
      <c r="F4733" s="7" t="n">
        <v>5</v>
      </c>
      <c r="G4733" s="7" t="inlineStr">
        <is>
          <t>I came to find out how much time to do the boil.   My aunt in Idaho is the person that showed my mom how good a boiled ham is!   Thanks for the recipe next time I will soak, and add seasonings.    I  am using a very large pot to do this.  My braising cast Iron was not tall enough.  I have issues with my stove so it was a rolling boil eventually and then I couldn't get it to slow down.  So I took it out after 2 hours.   Letting it sit now.</t>
        </is>
      </c>
    </row>
    <row r="4734">
      <c r="A4734" s="7" t="n">
        <v>81400</v>
      </c>
      <c r="B4734" s="7" t="n">
        <v>330057</v>
      </c>
      <c r="C4734" s="7" t="n">
        <v>383346</v>
      </c>
      <c r="D4734" s="7" t="n">
        <v>486171</v>
      </c>
      <c r="E4734" s="8" t="n">
        <v>41373</v>
      </c>
      <c r="F4734" s="7" t="n">
        <v>5</v>
      </c>
      <c r="G4734" s="7" t="inlineStr">
        <is>
          <t>We have to drink more water and this recipe is a good way to drink more.  The lemon and lime gives a fresh taste to the water.  And I heard that when adding lemon slices to water, it helps to boost our metabolism.  So we burn more calories.  We enjoyed it so much that we will do it again often in the summer.  Thanks Roberts :)  Made for PAC Spring 2013</t>
        </is>
      </c>
    </row>
    <row r="4735">
      <c r="A4735" s="7" t="n">
        <v>39083</v>
      </c>
      <c r="B4735" s="7" t="n">
        <v>573831</v>
      </c>
      <c r="C4735" s="7" t="n">
        <v>121234</v>
      </c>
      <c r="D4735" s="7" t="n">
        <v>75091</v>
      </c>
      <c r="E4735" s="8" t="n">
        <v>38046</v>
      </c>
      <c r="F4735" s="7" t="n">
        <v>5</v>
      </c>
      <c r="G4735" s="7" t="inlineStr">
        <is>
          <t>this recipe was easy to follow and tasted great.  i added a little mustard and tripled up on the worshestershire sauce because i didn't have any red wine vinegar.  2 thumbs up!!</t>
        </is>
      </c>
    </row>
    <row r="4736">
      <c r="A4736" s="7" t="n">
        <v>56799</v>
      </c>
      <c r="B4736" s="7" t="n">
        <v>159434</v>
      </c>
      <c r="C4736" s="7" t="n">
        <v>742029</v>
      </c>
      <c r="D4736" s="7" t="n">
        <v>330787</v>
      </c>
      <c r="E4736" s="8" t="n">
        <v>40434</v>
      </c>
      <c r="F4736" s="7" t="n">
        <v>5</v>
      </c>
      <c r="G4736" s="7" t="inlineStr">
        <is>
          <t>We had this with dinner tonight, and it was delicious! I followed the instructions exactly, except I cut the basalmic in half to keep the flavors more diverse. If you have extra of the vegetables on hand, there is room to add 1/2 more of each without overpowering the pasta, but it's perfectly fine the way it is! I'm looking forward to trying the leftovers cold tomorrow!</t>
        </is>
      </c>
    </row>
    <row r="4737">
      <c r="A4737" t="n">
        <v>105628</v>
      </c>
      <c r="B4737" t="n">
        <v>144251</v>
      </c>
      <c r="C4737" t="n">
        <v>430507</v>
      </c>
      <c r="D4737" t="n">
        <v>50951</v>
      </c>
      <c r="E4737" s="1" t="n">
        <v>39676</v>
      </c>
      <c r="F4737" t="n">
        <v>5</v>
      </c>
      <c r="G4737" t="inlineStr">
        <is>
          <t>Yum! I added onion and celery and used boneless chicken thighs. This was easy and delicious. I will be making it again.</t>
        </is>
      </c>
    </row>
    <row r="4738">
      <c r="A4738" s="7" t="n">
        <v>10662</v>
      </c>
      <c r="B4738" s="7" t="n">
        <v>554907</v>
      </c>
      <c r="C4738" s="7" t="n">
        <v>1959875</v>
      </c>
      <c r="D4738" s="7" t="n">
        <v>344877</v>
      </c>
      <c r="E4738" s="8" t="n">
        <v>42543</v>
      </c>
      <c r="F4738" s="7" t="n">
        <v>4</v>
      </c>
      <c r="G4738" s="7" t="inlineStr">
        <is>
          <t>Made these this morning... I think next time I am going to put a bit more onion in and would be perfect!!!!</t>
        </is>
      </c>
    </row>
    <row r="4739">
      <c r="A4739" s="7" t="n">
        <v>24249</v>
      </c>
      <c r="B4739" s="7" t="n">
        <v>645381</v>
      </c>
      <c r="C4739" s="7" t="n">
        <v>305531</v>
      </c>
      <c r="D4739" s="7" t="n">
        <v>149323</v>
      </c>
      <c r="E4739" s="8" t="n">
        <v>38993</v>
      </c>
      <c r="F4739" s="7" t="n">
        <v>5</v>
      </c>
      <c r="G4739" s="7" t="inlineStr">
        <is>
          <t>Very good. I cut this down and used one large potato. These taste just like the ones you can get in a restaurant. I will be making these again for a crowd. Thanks.</t>
        </is>
      </c>
    </row>
    <row r="4740" ht="409.5" customHeight="1">
      <c r="A4740" s="7" t="n">
        <v>23991</v>
      </c>
      <c r="B4740" s="7" t="n">
        <v>178265</v>
      </c>
      <c r="C4740" s="7" t="n">
        <v>415934</v>
      </c>
      <c r="D4740" s="7" t="n">
        <v>50281</v>
      </c>
      <c r="E4740" s="8" t="n">
        <v>39749</v>
      </c>
      <c r="F4740" s="7" t="n">
        <v>4</v>
      </c>
      <c r="G4740" s="9" t="inlineStr">
        <is>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again._x000D_
UPDATE 10/28/08 -- I made this again already (told you I would!) and I added 1 tsp of dill and that knocked this OUT OF THE PARK!</t>
        </is>
      </c>
    </row>
    <row r="4741">
      <c r="A4741" t="n">
        <v>107753</v>
      </c>
      <c r="B4741" t="n">
        <v>937968</v>
      </c>
      <c r="C4741" t="n">
        <v>493276</v>
      </c>
      <c r="D4741" t="n">
        <v>82102</v>
      </c>
      <c r="E4741" s="1" t="n">
        <v>39318</v>
      </c>
      <c r="F4741" t="n">
        <v>5</v>
      </c>
      <c r="G4741" t="inlineStr">
        <is>
          <t>Amazing!! The chicken turned out So juicy and we loved the garlic kick with the cheese. Mmm. I would give this 10 stars if I could</t>
        </is>
      </c>
    </row>
    <row r="4742">
      <c r="A4742" s="7" t="n">
        <v>106809</v>
      </c>
      <c r="B4742" s="7" t="n">
        <v>451064</v>
      </c>
      <c r="C4742" s="7" t="n">
        <v>171084</v>
      </c>
      <c r="D4742" s="7" t="n">
        <v>407694</v>
      </c>
      <c r="E4742" s="8" t="n">
        <v>42920</v>
      </c>
      <c r="F4742" s="7" t="n">
        <v>5</v>
      </c>
      <c r="G4742" s="7" t="inlineStr">
        <is>
          <t>Super quick and easy and oh so good!! I mixed a heart squirt of Sriracha into my ranch dressing for a little extra kick. I see this getting repeated several times a year. Thanks!</t>
        </is>
      </c>
    </row>
    <row r="4743">
      <c r="A4743" s="7" t="n">
        <v>53807</v>
      </c>
      <c r="B4743" s="7" t="n">
        <v>25987</v>
      </c>
      <c r="C4743" s="7" t="n">
        <v>2001356926</v>
      </c>
      <c r="D4743" s="7" t="n">
        <v>55512</v>
      </c>
      <c r="E4743" s="8" t="n">
        <v>42822</v>
      </c>
      <c r="F4743" s="7" t="n">
        <v>5</v>
      </c>
      <c r="G4743" s="7" t="inlineStr">
        <is>
          <t>Absolutely wonderful! DH loved it too. My picky daughter didn't care for it, but DH and I devoured it! The vinegar gave it such a lovely tanginess, and the potato chips made for a great texture. I'll definitely be making this again and again and again! Thanks for such a terrific recipe!</t>
        </is>
      </c>
    </row>
    <row r="4744">
      <c r="A4744" s="7" t="n">
        <v>37663</v>
      </c>
      <c r="B4744" s="7" t="n">
        <v>951625</v>
      </c>
      <c r="C4744" s="7" t="n">
        <v>143318</v>
      </c>
      <c r="D4744" s="7" t="n">
        <v>49950</v>
      </c>
      <c r="E4744" s="8" t="n">
        <v>39676</v>
      </c>
      <c r="F4744" s="7" t="n">
        <v>4</v>
      </c>
      <c r="G4744" s="7" t="inlineStr">
        <is>
          <t>Definitely different! I've never had peanut butter-flavored yogurt before. There is a lot of sauce, enough for double the amount of fruit. It's pretty sweet so the maple syrup may not be necessary.</t>
        </is>
      </c>
    </row>
    <row r="4745">
      <c r="A4745" s="7" t="n">
        <v>19429</v>
      </c>
      <c r="B4745" s="7" t="n">
        <v>529707</v>
      </c>
      <c r="C4745" s="7" t="n">
        <v>2001854002</v>
      </c>
      <c r="D4745" s="7" t="n">
        <v>443124</v>
      </c>
      <c r="E4745" s="8" t="n">
        <v>43081</v>
      </c>
      <c r="F4745" s="7" t="n">
        <v>0</v>
      </c>
      <c r="G4745" s="7" t="inlineStr">
        <is>
          <t>Recipe looks good! Do you think I could try storing fresh cranberries in the jar???</t>
        </is>
      </c>
    </row>
    <row r="4746">
      <c r="A4746" s="7" t="n">
        <v>50576</v>
      </c>
      <c r="B4746" s="7" t="n">
        <v>689461</v>
      </c>
      <c r="C4746" s="7" t="n">
        <v>653438</v>
      </c>
      <c r="D4746" s="7" t="n">
        <v>260254</v>
      </c>
      <c r="E4746" s="8" t="n">
        <v>41363</v>
      </c>
      <c r="F4746" s="7" t="n">
        <v>5</v>
      </c>
      <c r="G4746" s="7" t="inlineStr">
        <is>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is>
      </c>
    </row>
    <row r="4747">
      <c r="A4747" s="7" t="n">
        <v>83291</v>
      </c>
      <c r="B4747" s="7" t="n">
        <v>674253</v>
      </c>
      <c r="C4747" s="7" t="n">
        <v>107135</v>
      </c>
      <c r="D4747" s="7" t="n">
        <v>85970</v>
      </c>
      <c r="E4747" s="8" t="n">
        <v>38846</v>
      </c>
      <c r="F4747" s="7" t="n">
        <v>5</v>
      </c>
      <c r="G4747" s="7" t="inlineStr">
        <is>
          <t>really good bread thank you for posting dee</t>
        </is>
      </c>
    </row>
    <row r="4748">
      <c r="A4748" s="7" t="n">
        <v>123126</v>
      </c>
      <c r="B4748" s="7" t="n">
        <v>696157</v>
      </c>
      <c r="C4748" s="7" t="n">
        <v>201581</v>
      </c>
      <c r="D4748" s="7" t="n">
        <v>179191</v>
      </c>
      <c r="E4748" s="8" t="n">
        <v>40296</v>
      </c>
      <c r="F4748" s="7" t="n">
        <v>5</v>
      </c>
      <c r="G4748" s="7" t="inlineStr">
        <is>
          <t>Made for a delicious and easy dinner with Recipe #145791. I wouldn't change a thing!  Thanks for posting Kim.</t>
        </is>
      </c>
    </row>
    <row r="4749">
      <c r="A4749" s="7" t="n">
        <v>3216</v>
      </c>
      <c r="B4749" s="7" t="n">
        <v>265949</v>
      </c>
      <c r="C4749" s="7" t="n">
        <v>2068307</v>
      </c>
      <c r="D4749" s="7" t="n">
        <v>107786</v>
      </c>
      <c r="E4749" s="8" t="n">
        <v>40863</v>
      </c>
      <c r="F4749" s="7" t="n">
        <v>0</v>
      </c>
      <c r="G4749" s="7" t="inlineStr">
        <is>
          <t>I've never made ribs before and this was the perfect recipe for it.</t>
        </is>
      </c>
    </row>
    <row r="4750">
      <c r="A4750" s="7" t="n">
        <v>108731</v>
      </c>
      <c r="B4750" s="7" t="n">
        <v>882040</v>
      </c>
      <c r="C4750" s="7" t="n">
        <v>255139</v>
      </c>
      <c r="D4750" s="7" t="n">
        <v>121019</v>
      </c>
      <c r="E4750" s="8" t="n">
        <v>38650</v>
      </c>
      <c r="F4750" s="7" t="n">
        <v>5</v>
      </c>
      <c r="G4750" s="7" t="inlineStr">
        <is>
          <t>Wow!  This is really good.  Will make with a graham cracker crust next time.</t>
        </is>
      </c>
    </row>
    <row r="4751">
      <c r="A4751" s="7" t="n">
        <v>52693</v>
      </c>
      <c r="B4751" s="7" t="n">
        <v>479685</v>
      </c>
      <c r="C4751" s="7" t="n">
        <v>282366</v>
      </c>
      <c r="D4751" s="7" t="n">
        <v>91274</v>
      </c>
      <c r="E4751" s="8" t="n">
        <v>40269</v>
      </c>
      <c r="F4751" s="7" t="n">
        <v>5</v>
      </c>
      <c r="G4751" s="7" t="inlineStr">
        <is>
          <t>My kids and I enjoyed making this recipe. It was very good, but I made my pretzels too big and fat, so they were more like bread.  My kids made pretzel people which were perfect. Experiment with the size of the rope so you can find out how you like them best. I also followed CabinKat's advice an greased the cookie sheet with Crisco oil instead of a light coating of spray. Some stuck, but it was no problem. Enjoy!</t>
        </is>
      </c>
    </row>
    <row r="4752">
      <c r="A4752" s="7" t="n">
        <v>102198</v>
      </c>
      <c r="B4752" s="7" t="n">
        <v>839957</v>
      </c>
      <c r="C4752" s="7" t="n">
        <v>239758</v>
      </c>
      <c r="D4752" s="7" t="n">
        <v>288686</v>
      </c>
      <c r="E4752" s="8" t="n">
        <v>39792</v>
      </c>
      <c r="F4752" s="7" t="n">
        <v>5</v>
      </c>
      <c r="G4752" s="7" t="inlineStr">
        <is>
          <t>A wonderful and easy-to-make pasta dish. I was just a tad short of tomatoes and pine nuts, but that didn't seem to matter. Also used kalamata olives in place of nicoise. Didn't need to add any pasta water. I'll be making this often in future. It's great for a divine, on-the-table-in-a-hurry dinner. Served with a salad and Recipe #164304. Yummo!</t>
        </is>
      </c>
    </row>
    <row r="4753" ht="409.5" customHeight="1">
      <c r="A4753" s="7" t="n">
        <v>18601</v>
      </c>
      <c r="B4753" s="7" t="n">
        <v>541479</v>
      </c>
      <c r="C4753" s="7" t="n">
        <v>88717</v>
      </c>
      <c r="D4753" s="7" t="n">
        <v>16575</v>
      </c>
      <c r="E4753" s="8" t="n">
        <v>38453</v>
      </c>
      <c r="F4753" s="7" t="n">
        <v>5</v>
      </c>
      <c r="G4753" s="9" t="inlineStr">
        <is>
          <t>Wow, what great bbq sauce! We've used two nights in a row! LOL~_x000D_
The only change I made was omit the salt and used low-sodium soy sauce. Next time I'm adding dried minced onion, fresh roasted garlic and melted butter for a change. Again, a wonderful sauce with simple ingredients!</t>
        </is>
      </c>
    </row>
    <row r="4754">
      <c r="A4754" s="7" t="n">
        <v>38581</v>
      </c>
      <c r="B4754" s="7" t="n">
        <v>699473</v>
      </c>
      <c r="C4754" s="7" t="n">
        <v>125636</v>
      </c>
      <c r="D4754" s="7" t="n">
        <v>46041</v>
      </c>
      <c r="E4754" s="8" t="n">
        <v>38679</v>
      </c>
      <c r="F4754" s="7" t="n">
        <v>5</v>
      </c>
      <c r="G4754" s="7" t="inlineStr">
        <is>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is>
      </c>
    </row>
    <row r="4755">
      <c r="A4755" s="7" t="n">
        <v>87079</v>
      </c>
      <c r="B4755" s="7" t="n">
        <v>497777</v>
      </c>
      <c r="C4755" s="7" t="n">
        <v>1444346</v>
      </c>
      <c r="D4755" s="7" t="n">
        <v>133718</v>
      </c>
      <c r="E4755" s="8" t="n">
        <v>40128</v>
      </c>
      <c r="F4755" s="7" t="n">
        <v>2</v>
      </c>
      <c r="G4755" s="7" t="inlineStr">
        <is>
          <t>I just made this for dinner tonight. I was so disappointed.  It didn't have any flavor.  It needed something, maybe more salt.  Won't be making this again.</t>
        </is>
      </c>
    </row>
    <row r="4756">
      <c r="A4756" s="7" t="n">
        <v>14744</v>
      </c>
      <c r="B4756" s="7" t="n">
        <v>477094</v>
      </c>
      <c r="C4756" s="7" t="n">
        <v>58619</v>
      </c>
      <c r="D4756" s="7" t="n">
        <v>25793</v>
      </c>
      <c r="E4756" s="8" t="n">
        <v>37648</v>
      </c>
      <c r="F4756" s="7" t="n">
        <v>5</v>
      </c>
      <c r="G4756" s="7" t="inlineStr">
        <is>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is>
      </c>
    </row>
    <row r="4757">
      <c r="A4757" s="7" t="n">
        <v>96629</v>
      </c>
      <c r="B4757" s="7" t="n">
        <v>340647</v>
      </c>
      <c r="C4757" s="7" t="n">
        <v>594577</v>
      </c>
      <c r="D4757" s="7" t="n">
        <v>136589</v>
      </c>
      <c r="E4757" s="8" t="n">
        <v>39690</v>
      </c>
      <c r="F4757" s="7" t="n">
        <v>5</v>
      </c>
      <c r="G4757" s="7" t="inlineStr">
        <is>
          <t>Excellent apple cake!  I made it in a bundt pan and it turned out fine.  I'll definitely use this recipe again.</t>
        </is>
      </c>
    </row>
    <row r="4758">
      <c r="A4758" s="7" t="n">
        <v>59355</v>
      </c>
      <c r="B4758" s="7" t="n">
        <v>885327</v>
      </c>
      <c r="C4758" s="7" t="n">
        <v>27783</v>
      </c>
      <c r="D4758" s="7" t="n">
        <v>30748</v>
      </c>
      <c r="E4758" s="8" t="n">
        <v>37483</v>
      </c>
      <c r="F4758" s="7" t="n">
        <v>5</v>
      </c>
      <c r="G4758" s="7" t="inlineStr">
        <is>
          <t>What a delicious and unique tasting challah!  I really enjoyed the sweet taste of this version of challah.  I mixed up the dough entirely by hand and I sure did get a workout!  Everything worked out very nicely and I found the directions very easy to follow.  Thanks for a very tasty recipe!</t>
        </is>
      </c>
    </row>
    <row r="4759">
      <c r="A4759" s="7" t="n">
        <v>62297</v>
      </c>
      <c r="B4759" s="7" t="n">
        <v>462552</v>
      </c>
      <c r="C4759" s="7" t="n">
        <v>209747</v>
      </c>
      <c r="D4759" s="7" t="n">
        <v>142524</v>
      </c>
      <c r="E4759" s="8" t="n">
        <v>38998</v>
      </c>
      <c r="F4759" s="7" t="n">
        <v>5</v>
      </c>
      <c r="G4759" s="7" t="inlineStr">
        <is>
          <t xml:space="preserve">Wonderful! Thank you for sharing your recipe for this Southern treat with us! I will be making this again and again!  </t>
        </is>
      </c>
    </row>
    <row r="4760">
      <c r="A4760" s="7" t="n">
        <v>54912</v>
      </c>
      <c r="B4760" s="7" t="n">
        <v>416921</v>
      </c>
      <c r="C4760" s="7" t="n">
        <v>1544633</v>
      </c>
      <c r="D4760" s="7" t="n">
        <v>42076</v>
      </c>
      <c r="E4760" s="8" t="n">
        <v>42476</v>
      </c>
      <c r="F4760" s="7" t="n">
        <v>5</v>
      </c>
      <c r="G4760" s="7" t="inlineStr">
        <is>
          <t>I was looking for inspiration for dinner and found this recipe. I didn&amp;#039;t have spinach or pine nuts on hand, so I substituted those with fresh asparagus and sliced almonds. I pre-cooked the asparagus a little longer to soften it and then cut up the chicken into good size chunks to layer over the asparagus.  I used more sliced almonds than the nut amount you called for.  Delicious; I will definitely make it again. it&amp;#039;s a recipe that can be easily adjusted with what you have on hand.</t>
        </is>
      </c>
    </row>
    <row r="4761">
      <c r="A4761" s="7" t="n">
        <v>73729</v>
      </c>
      <c r="B4761" s="7" t="n">
        <v>899091</v>
      </c>
      <c r="C4761" s="7" t="n">
        <v>335614</v>
      </c>
      <c r="D4761" s="7" t="n">
        <v>233507</v>
      </c>
      <c r="E4761" s="8" t="n">
        <v>39962</v>
      </c>
      <c r="F4761" s="7" t="n">
        <v>5</v>
      </c>
      <c r="G4761" s="7" t="inlineStr">
        <is>
          <t>Oh, FT, you've done it again. I don't think there's been a recipe of yours I haven't given 5 stars. I really must peruse your cookbooks more. I love this punch. Sweet, but not overpoweringly so, plenty of fruit flavor, and the ginger ale gives such a nice little kick of spice to the mix. I made the juice mixture, and put it in a pitcher, to allow for us all to adjust the amount of rum and ginger ale to personal preference, and so it wouldn't go flat if we didn't drink it all. But, next time I have a party, I think I'll make the full punchbowl, because I don't think there's much danger of leftovers.</t>
        </is>
      </c>
    </row>
    <row r="4762">
      <c r="A4762" s="7" t="n">
        <v>94305</v>
      </c>
      <c r="B4762" s="7" t="n">
        <v>324010</v>
      </c>
      <c r="C4762" s="7" t="n">
        <v>178365</v>
      </c>
      <c r="D4762" s="7" t="n">
        <v>80118</v>
      </c>
      <c r="E4762" s="8" t="n">
        <v>39272</v>
      </c>
      <c r="F4762" s="7" t="n">
        <v>5</v>
      </c>
      <c r="G4762" s="7" t="inlineStr">
        <is>
          <t>This is an amazing frosting recipe.  I've probably made it six times now, I've followed the recipe exactly, and I always use different food colorings.  I use it on regular box cake mix to make cupcakes that taste like the entire thing is made from scratch!  I've gotten nothing but compliments on the frosting.  Thank you, kittencal!</t>
        </is>
      </c>
    </row>
    <row r="4763">
      <c r="A4763" s="7" t="n">
        <v>109182</v>
      </c>
      <c r="B4763" s="7" t="n">
        <v>626674</v>
      </c>
      <c r="C4763" s="7" t="n">
        <v>517478</v>
      </c>
      <c r="D4763" s="7" t="n">
        <v>38617</v>
      </c>
      <c r="E4763" s="8" t="n">
        <v>40654</v>
      </c>
      <c r="F4763" s="7" t="n">
        <v>5</v>
      </c>
      <c r="G4763" s="7" t="inlineStr">
        <is>
          <t>This is one of the best and easiest, no-fuss chicken recipes EVER! I made this 2 nights ago because I had leftover legs and thighs in the freezer and searched for a recipe to use them up.  Even though the recipe calls for leg quarters, it worked fine with separated legs and thighs.  I cooked the potatoes in a separate dish, minus the onions- also, I didn't have caraway seeds so used fennel seeds, they were most pleasant. My husband loved this, and my little dog wouldn't eat her food until I put some of this chicken on her food, she absolutely pestered me for it.  I thought the one hour cooking time might be too long and was afraid it would be dry, but it wasn't! The chicken was so moist and flavorful, I can't say enough good things about this!  I love that it calls for an inexpensive cut of meat, really makes this an affordable dish for a large group.  Pretty enough for company too!</t>
        </is>
      </c>
    </row>
    <row r="4764">
      <c r="A4764" s="7" t="n">
        <v>18459</v>
      </c>
      <c r="B4764" s="7" t="n">
        <v>378066</v>
      </c>
      <c r="C4764" s="7" t="n">
        <v>1269015</v>
      </c>
      <c r="D4764" s="7" t="n">
        <v>179846</v>
      </c>
      <c r="E4764" s="8" t="n">
        <v>40559</v>
      </c>
      <c r="F4764" s="7" t="n">
        <v>4</v>
      </c>
      <c r="G4764" s="7" t="inlineStr">
        <is>
          <t>I subbed the cardamom for 1/2 teaspoon each of nutmeg and cloves. The dough was a bit thick, so I was worried they'd come out dry and heavy, but they were perfect! Thanks so much for sharing.</t>
        </is>
      </c>
    </row>
    <row r="4765">
      <c r="A4765" s="7" t="n">
        <v>74919</v>
      </c>
      <c r="B4765" s="7" t="n">
        <v>1108706</v>
      </c>
      <c r="C4765" s="7" t="n">
        <v>87236</v>
      </c>
      <c r="D4765" s="7" t="n">
        <v>30358</v>
      </c>
      <c r="E4765" s="8" t="n">
        <v>38324</v>
      </c>
      <c r="F4765" s="7" t="n">
        <v>5</v>
      </c>
      <c r="G4765" s="7" t="inlineStr">
        <is>
          <t xml:space="preserve">I tried this last night using low carb (Dreamfield's) pasta elbows, and it worked great!  I let the water boil, added the pasta, and removed from the heat.  I stirred briskly, then let it sit for 15 minutes.  Perfect pasta! This will come in handy when I'm cooking many things at once; once the water is boiled and the pot is removed from the burner, it frees up space to cook other items.  Thanks, Margaret3! </t>
        </is>
      </c>
    </row>
    <row r="4766">
      <c r="A4766" s="7" t="n">
        <v>123377</v>
      </c>
      <c r="B4766" s="7" t="n">
        <v>247946</v>
      </c>
      <c r="C4766" s="7" t="n">
        <v>452921</v>
      </c>
      <c r="D4766" s="7" t="n">
        <v>215414</v>
      </c>
      <c r="E4766" s="8" t="n">
        <v>39857</v>
      </c>
      <c r="F4766" s="7" t="n">
        <v>5</v>
      </c>
      <c r="G4766" s="7" t="inlineStr">
        <is>
          <t>Crazy good! Whole family gobbled it down.</t>
        </is>
      </c>
    </row>
    <row r="4767">
      <c r="A4767" s="7" t="n">
        <v>35815</v>
      </c>
      <c r="B4767" s="7" t="n">
        <v>655244</v>
      </c>
      <c r="C4767" s="7" t="n">
        <v>422893</v>
      </c>
      <c r="D4767" s="7" t="n">
        <v>156558</v>
      </c>
      <c r="E4767" s="8" t="n">
        <v>39323</v>
      </c>
      <c r="F4767" s="7" t="n">
        <v>5</v>
      </c>
      <c r="G4767" s="7" t="inlineStr">
        <is>
          <t>Yum Bev, this was great, so smooth, a great way to start the day. I love your coffees!</t>
        </is>
      </c>
    </row>
    <row r="4768">
      <c r="A4768" s="7" t="n">
        <v>59916</v>
      </c>
      <c r="B4768" s="7" t="n">
        <v>1001904</v>
      </c>
      <c r="C4768" s="7" t="n">
        <v>368078</v>
      </c>
      <c r="D4768" s="7" t="n">
        <v>503781</v>
      </c>
      <c r="E4768" s="8" t="n">
        <v>42223</v>
      </c>
      <c r="F4768" s="7" t="n">
        <v>5</v>
      </c>
      <c r="G4768" s="7" t="inlineStr">
        <is>
          <t>I agree with the other reviewer...10 stars and definitely the best snickerdoodle muffin recipe I&amp;#039;ve tried!  I halved the recipe to make 6 muffins, but otherwise didn&amp;#039;t change a thing.  Rolling the dough in the cinnamon/sugar helps it not stick to the muffin paper, which is helpful as well.  Thanks for sharing this great recipe!</t>
        </is>
      </c>
    </row>
    <row r="4769">
      <c r="A4769" t="n">
        <v>81298</v>
      </c>
      <c r="B4769" t="n">
        <v>869848</v>
      </c>
      <c r="C4769" t="n">
        <v>56251</v>
      </c>
      <c r="D4769" t="n">
        <v>216164</v>
      </c>
      <c r="E4769" s="1" t="n">
        <v>39238</v>
      </c>
      <c r="F4769" t="n">
        <v>5</v>
      </c>
      <c r="G4769" t="inlineStr">
        <is>
          <t>I found this recipe in an old TOH magazine, and I see Amy had posted it, so glad, because this is a delicious dip.  I made mine with key lime yogurt, but I bet strawberry, or lemon, would be just as good. You got to try it!</t>
        </is>
      </c>
    </row>
    <row r="4770">
      <c r="A4770" s="7" t="n">
        <v>108000</v>
      </c>
      <c r="B4770" s="7" t="n">
        <v>148880</v>
      </c>
      <c r="C4770" s="7" t="n">
        <v>62043</v>
      </c>
      <c r="D4770" s="7" t="n">
        <v>69205</v>
      </c>
      <c r="E4770" s="8" t="n">
        <v>37923</v>
      </c>
      <c r="F4770" s="7" t="n">
        <v>5</v>
      </c>
      <c r="G4770" s="7" t="inlineStr">
        <is>
          <t>This us really delicious. I had to stop myself from just eating it straight out of the bowl with a spoon! Had this as an accompaniament to some cajun spiced fish the other night. Thanks Chia</t>
        </is>
      </c>
    </row>
    <row r="4771" ht="409.5" customHeight="1">
      <c r="A4771" s="7" t="n">
        <v>74965</v>
      </c>
      <c r="B4771" s="7" t="n">
        <v>247880</v>
      </c>
      <c r="C4771" s="7" t="n">
        <v>1340861</v>
      </c>
      <c r="D4771" s="7" t="n">
        <v>18822</v>
      </c>
      <c r="E4771" s="8" t="n">
        <v>40028</v>
      </c>
      <c r="F4771" s="7" t="n">
        <v>3</v>
      </c>
      <c r="G4771" s="9" t="inlineStr">
        <is>
          <t>The recipe didn't come out as neat as it sounds for me-- the yogurt/jello mix was very thin (not spoonable) and when poured into the pan, the cake on the bottom floated to the top.  Also, cutting the cake as directed didn't leave enough to cover the bottom of the pan.  It came out looking very strange.  That said, it tastes great, even without making the sauce.
This is the same exact version on the Blueberry Council website.</t>
        </is>
      </c>
    </row>
    <row r="4772">
      <c r="A4772" s="7" t="n">
        <v>90507</v>
      </c>
      <c r="B4772" s="7" t="n">
        <v>1120283</v>
      </c>
      <c r="C4772" s="7" t="n">
        <v>2125681</v>
      </c>
      <c r="D4772" s="7" t="n">
        <v>266405</v>
      </c>
      <c r="E4772" s="8" t="n">
        <v>40905</v>
      </c>
      <c r="F4772" s="7" t="n">
        <v>5</v>
      </c>
      <c r="G4772" s="7" t="inlineStr">
        <is>
          <t>Best noodles ever. Used marjoram, oregano, thyme and a bay leaf. Added a little bit more broth and 1/2 cup of water with the noodles.. Perfect! My family loved it.</t>
        </is>
      </c>
    </row>
    <row r="4773">
      <c r="A4773" s="7" t="n">
        <v>91546</v>
      </c>
      <c r="B4773" s="7" t="n">
        <v>759829</v>
      </c>
      <c r="C4773" s="7" t="n">
        <v>345852</v>
      </c>
      <c r="D4773" s="7" t="n">
        <v>187127</v>
      </c>
      <c r="E4773" s="8" t="n">
        <v>39005</v>
      </c>
      <c r="F4773" s="7" t="n">
        <v>5</v>
      </c>
      <c r="G4773" s="7" t="inlineStr">
        <is>
          <t>this is SO easy + great flavours too. just made it ahead for tomorrows dinner &amp; will be making it several times over. thanks for the great recipe! i'm not a premium member so haven't been able to email you - but thanks for the photos and great reviews :)</t>
        </is>
      </c>
    </row>
    <row r="4774" ht="135" customHeight="1">
      <c r="A4774" s="7" t="n">
        <v>100955</v>
      </c>
      <c r="B4774" s="7" t="n">
        <v>548269</v>
      </c>
      <c r="C4774" s="7" t="n">
        <v>901630</v>
      </c>
      <c r="D4774" s="7" t="n">
        <v>68587</v>
      </c>
      <c r="E4774" s="8" t="n">
        <v>39656</v>
      </c>
      <c r="F4774" s="7" t="n">
        <v>5</v>
      </c>
      <c r="G4774" s="9" t="inlineStr">
        <is>
          <t>These looked a bit dodgy but definately a keeper
thnxs :)</t>
        </is>
      </c>
    </row>
    <row r="4775">
      <c r="A4775" s="7" t="n">
        <v>29489</v>
      </c>
      <c r="B4775" s="7" t="n">
        <v>132533</v>
      </c>
      <c r="C4775" s="7" t="n">
        <v>2001737113</v>
      </c>
      <c r="D4775" s="7" t="n">
        <v>58952</v>
      </c>
      <c r="E4775" s="8" t="n">
        <v>43009</v>
      </c>
      <c r="F4775" s="7" t="n">
        <v>5</v>
      </c>
      <c r="G4775" s="7" t="inlineStr">
        <is>
          <t>The best</t>
        </is>
      </c>
    </row>
    <row r="4776">
      <c r="A4776" s="7" t="n">
        <v>70940</v>
      </c>
      <c r="B4776" s="7" t="n">
        <v>1106976</v>
      </c>
      <c r="C4776" s="7" t="n">
        <v>128473</v>
      </c>
      <c r="D4776" s="7" t="n">
        <v>272293</v>
      </c>
      <c r="E4776" s="8" t="n">
        <v>40128</v>
      </c>
      <c r="F4776" s="7" t="n">
        <v>5</v>
      </c>
      <c r="G4776" s="7" t="inlineStr">
        <is>
          <t>What a great recipe Mimi.  I enjoyed this hot tasty treat very much.  It was quick and easy to make, with everday ingredients that are always on hand.  It was just perfect, the butter and spices are right on.  I will be enjoying this lovely drink often during the cold fall and winter to come.   Made for An Apple A Day Event /09.</t>
        </is>
      </c>
    </row>
    <row r="4777">
      <c r="A4777" t="n">
        <v>27488</v>
      </c>
      <c r="B4777" t="n">
        <v>282780</v>
      </c>
      <c r="C4777" t="n">
        <v>2001910433</v>
      </c>
      <c r="D4777" t="n">
        <v>26773</v>
      </c>
      <c r="E4777" s="1" t="n">
        <v>43103</v>
      </c>
      <c r="F4777" t="n">
        <v>0</v>
      </c>
      <c r="G4777" t="inlineStr">
        <is>
          <t>I used lactose free vanilla ice cream instead of sugar and 1/2 milk</t>
        </is>
      </c>
    </row>
    <row r="4778">
      <c r="A4778" s="7" t="n">
        <v>104998</v>
      </c>
      <c r="B4778" s="7" t="n">
        <v>13585</v>
      </c>
      <c r="C4778" s="7" t="n">
        <v>498271</v>
      </c>
      <c r="D4778" s="7" t="n">
        <v>279997</v>
      </c>
      <c r="E4778" s="8" t="n">
        <v>39654</v>
      </c>
      <c r="F4778" s="7" t="n">
        <v>5</v>
      </c>
      <c r="G4778" s="7" t="inlineStr">
        <is>
          <t>Oh wow this is just fabulous!  I doubled the ingredients and boy what a wonderful after-dinner cocktail.  The creamy mint with the vanilla vodka is just fantastic.  Loved this - thanks for sharing!</t>
        </is>
      </c>
    </row>
    <row r="4779">
      <c r="A4779" s="7" t="n">
        <v>62225</v>
      </c>
      <c r="B4779" s="7" t="n">
        <v>933062</v>
      </c>
      <c r="C4779" s="7" t="n">
        <v>131126</v>
      </c>
      <c r="D4779" s="7" t="n">
        <v>87072</v>
      </c>
      <c r="E4779" s="8" t="n">
        <v>38619</v>
      </c>
      <c r="F4779" s="7" t="n">
        <v>5</v>
      </c>
      <c r="G4779" s="7" t="inlineStr">
        <is>
          <t>A terrific spin on coleslaw!  I really liked the dressing &amp; the sunflower seeds in this salad.  I chopped the cabbage by hand and grated 1 carrot. I liked that the dressing didn't get "runny" during the chill time.  A recipe I will use again.  Thanks kdp!!!</t>
        </is>
      </c>
    </row>
    <row r="4780">
      <c r="A4780" s="7" t="n">
        <v>118288</v>
      </c>
      <c r="B4780" s="7" t="n">
        <v>228161</v>
      </c>
      <c r="C4780" s="7" t="n">
        <v>32772</v>
      </c>
      <c r="D4780" s="7" t="n">
        <v>173837</v>
      </c>
      <c r="E4780" s="8" t="n">
        <v>38890</v>
      </c>
      <c r="F4780" s="7" t="n">
        <v>5</v>
      </c>
      <c r="G4780" s="7" t="inlineStr">
        <is>
          <t>I won't make hard boiled eggs any other way.  They come out perfect every time.  You don't have to stand by the stove an watch so the eggs don;t boil over.  Fantastic!  I keep mine in the water for only 10 minutes.</t>
        </is>
      </c>
    </row>
    <row r="4781">
      <c r="A4781" s="7" t="n">
        <v>63963</v>
      </c>
      <c r="B4781" s="7" t="n">
        <v>1086083</v>
      </c>
      <c r="C4781" s="7" t="n">
        <v>1072669</v>
      </c>
      <c r="D4781" s="7" t="n">
        <v>95569</v>
      </c>
      <c r="E4781" s="8" t="n">
        <v>39813</v>
      </c>
      <c r="F4781" s="7" t="n">
        <v>2</v>
      </c>
      <c r="G4781" s="7" t="inlineStr">
        <is>
          <t>I did not like this at all. Considering I am from the BBQ capital of the world, it just didn't have that BBQ flavor in the meat. I was disappointed in the taste of the meat. I guess I was hoping that some of the BBQ sauce flavor would infuse the meat and it didn't. Maybe a dash of liquid smoke would help the give it that smokey flavor.</t>
        </is>
      </c>
    </row>
    <row r="4782">
      <c r="A4782" s="7" t="n">
        <v>36614</v>
      </c>
      <c r="B4782" s="7" t="n">
        <v>1065012</v>
      </c>
      <c r="C4782" s="7" t="n">
        <v>465659</v>
      </c>
      <c r="D4782" s="7" t="n">
        <v>55600</v>
      </c>
      <c r="E4782" s="8" t="n">
        <v>39417</v>
      </c>
      <c r="F4782" s="7" t="n">
        <v>5</v>
      </c>
      <c r="G4782" s="7" t="inlineStr">
        <is>
          <t>What a great way to make lamb!  My DH didn't know it was not a roast till I told him.  I threw some potatoes and carrots on the bottom to finish the meal.  Thank you for something different to do in the crock pot.</t>
        </is>
      </c>
    </row>
    <row r="4783">
      <c r="A4783" s="7" t="n">
        <v>119260</v>
      </c>
      <c r="B4783" s="7" t="n">
        <v>346798</v>
      </c>
      <c r="C4783" s="7" t="n">
        <v>582561</v>
      </c>
      <c r="D4783" s="7" t="n">
        <v>375749</v>
      </c>
      <c r="E4783" s="8" t="n">
        <v>41468</v>
      </c>
      <c r="F4783" s="7" t="n">
        <v>5</v>
      </c>
      <c r="G4783" s="7" t="inlineStr">
        <is>
          <t>I am so pleased I picked this recipe to make for the Aussie / Kiwi Swap Sept 2012.  Really, really tasty!!  The jalapeno pepper adds just a lttle zing to which works superbly.  I could only find small tomatoes so they were a bit fiddly to scoop out the insides.  I halved the stuffing ingredients as well.  A recipe that I can certainly recommend.&amp;lt;br/&amp;gt;Lol.  Picked this recipe again for July 2013 and hadn&amp;#039;t realised that I&amp;#039;d already made it.  Served this time to station hands and construction workers on a station in the Pillbara.  They were most impressed and there were none left, so that speaks volumes.  This time I didn&amp;#039;t have Jalapeno peppers on hand so simply added a few shakes of chilli flakes to give them a bit of a kick.</t>
        </is>
      </c>
    </row>
    <row r="4784">
      <c r="A4784" s="7" t="n">
        <v>85639</v>
      </c>
      <c r="B4784" s="7" t="n">
        <v>497116</v>
      </c>
      <c r="C4784" s="7" t="n">
        <v>324281</v>
      </c>
      <c r="D4784" s="7" t="n">
        <v>52558</v>
      </c>
      <c r="E4784" s="8" t="n">
        <v>39834</v>
      </c>
      <c r="F4784" s="7" t="n">
        <v>5</v>
      </c>
      <c r="G4784" s="7" t="inlineStr">
        <is>
          <t>Mirg...  This is the food of royalty!  This cake came out exactly like Entenmann's pound cake.  My husband, a real pound cake connoisseur, absolutely loved this, which really says a lot for this cake if you ask me.  Even my picky one year old ate it up!  I just moved and didn't have a loaf pan, so I made it like a really dense sheet cake, but I'd definitely buy a new loaf pan just for this next time.  Great recipe, Mirj.  Thanks!</t>
        </is>
      </c>
    </row>
    <row r="4785">
      <c r="A4785" s="7" t="n">
        <v>79392</v>
      </c>
      <c r="B4785" s="7" t="n">
        <v>1050000</v>
      </c>
      <c r="C4785" s="7" t="n">
        <v>135566</v>
      </c>
      <c r="D4785" s="7" t="n">
        <v>105296</v>
      </c>
      <c r="E4785" s="8" t="n">
        <v>39644</v>
      </c>
      <c r="F4785" s="7" t="n">
        <v>5</v>
      </c>
      <c r="G4785" s="7" t="inlineStr">
        <is>
          <t>Delicious breakfast!  I did use Special K Cinnamon Pecan cereal instead of granola.  YUM!</t>
        </is>
      </c>
    </row>
    <row r="4786">
      <c r="A4786" s="7" t="n">
        <v>45449</v>
      </c>
      <c r="B4786" s="7" t="n">
        <v>956983</v>
      </c>
      <c r="C4786" s="7" t="n">
        <v>4470</v>
      </c>
      <c r="D4786" s="7" t="n">
        <v>176875</v>
      </c>
      <c r="E4786" s="8" t="n">
        <v>39496</v>
      </c>
      <c r="F4786" s="7" t="n">
        <v>5</v>
      </c>
      <c r="G4786" s="7" t="inlineStr">
        <is>
          <t>This is such an easy way to give broccoli yet another flavor boost.  We enjoyed it very much.  I apologize for using regujlar almonds but it was all that I had on hand -  They tasted great.  Thanks for posting a brocolli Keeper Tisme</t>
        </is>
      </c>
    </row>
    <row r="4787">
      <c r="A4787" s="7" t="n">
        <v>117328</v>
      </c>
      <c r="B4787" s="7" t="n">
        <v>80390</v>
      </c>
      <c r="C4787" s="7" t="n">
        <v>328909</v>
      </c>
      <c r="D4787" s="7" t="n">
        <v>132675</v>
      </c>
      <c r="E4787" s="8" t="n">
        <v>39509</v>
      </c>
      <c r="F4787" s="7" t="n">
        <v>3</v>
      </c>
      <c r="G4787" s="7" t="inlineStr">
        <is>
          <t>This savory popcorn id nt have the taste I was looking for.  I made four popcorns for an Academy Awards party and this one was only half eaten.  It did have tough competition from 2 sweet papcorns.  I do not think I will make this one again though.</t>
        </is>
      </c>
    </row>
    <row r="4788">
      <c r="A4788" s="7" t="n">
        <v>81287</v>
      </c>
      <c r="B4788" s="7" t="n">
        <v>510274</v>
      </c>
      <c r="C4788" s="7" t="n">
        <v>1253164</v>
      </c>
      <c r="D4788" s="7" t="n">
        <v>89207</v>
      </c>
      <c r="E4788" s="8" t="n">
        <v>40192</v>
      </c>
      <c r="F4788" s="7" t="n">
        <v>4</v>
      </c>
      <c r="G4788" s="7" t="inlineStr">
        <is>
          <t>I've made this twice now with skim milk and margarine, and at first it comes out thin, but after letting it sit overnight, the frosting firmed up relatively well, its also quite good with the cool whip. Frosted one round layer cake.</t>
        </is>
      </c>
    </row>
    <row r="4789">
      <c r="A4789" s="7" t="n">
        <v>113455</v>
      </c>
      <c r="B4789" s="7" t="n">
        <v>588311</v>
      </c>
      <c r="C4789" s="7" t="n">
        <v>361681</v>
      </c>
      <c r="D4789" s="7" t="n">
        <v>175454</v>
      </c>
      <c r="E4789" s="8" t="n">
        <v>39045</v>
      </c>
      <c r="F4789" s="7" t="n">
        <v>5</v>
      </c>
      <c r="G4789" s="7" t="inlineStr">
        <is>
          <t>These cookies are FABULOUS! My mom made these for Christmas-and we all loved them! Better than any I have found in a box.</t>
        </is>
      </c>
    </row>
    <row r="4790">
      <c r="A4790" s="7" t="n">
        <v>17323</v>
      </c>
      <c r="B4790" s="7" t="n">
        <v>239638</v>
      </c>
      <c r="C4790" s="7" t="n">
        <v>101732</v>
      </c>
      <c r="D4790" s="7" t="n">
        <v>194297</v>
      </c>
      <c r="E4790" s="8" t="n">
        <v>40240</v>
      </c>
      <c r="F4790" s="7" t="n">
        <v>5</v>
      </c>
      <c r="G4790" s="7" t="inlineStr">
        <is>
          <t>Wonderful chops that were full of flavor! They were very easy to make which is always nice on a weeknight. I served them with mashed potatoes, corn and Recipe #377583 . Yum! Thanks for another winner Kitten!</t>
        </is>
      </c>
    </row>
    <row r="4791">
      <c r="A4791" s="7" t="n">
        <v>1717</v>
      </c>
      <c r="B4791" s="7" t="n">
        <v>289709</v>
      </c>
      <c r="C4791" s="7" t="n">
        <v>2412523</v>
      </c>
      <c r="D4791" s="7" t="n">
        <v>83890</v>
      </c>
      <c r="E4791" s="8" t="n">
        <v>42682</v>
      </c>
      <c r="F4791" s="7" t="n">
        <v>5</v>
      </c>
      <c r="G4791" s="7" t="inlineStr">
        <is>
          <t>Such a great recipe. My mom made this for us all the time as a child. I'm not sure if it's a Mexican regional thing but she always added hard boiled eggs to the inside of the albondigas. All you need is a small piece of egg inside and the egg white or yoke (depending on what part you stick inside) takes on the flavor of the broth- soo good.</t>
        </is>
      </c>
    </row>
    <row r="4792" ht="409.5" customHeight="1">
      <c r="A4792" s="7" t="n">
        <v>18726</v>
      </c>
      <c r="B4792" s="7" t="n">
        <v>331085</v>
      </c>
      <c r="C4792" s="7" t="n">
        <v>253974</v>
      </c>
      <c r="D4792" s="7" t="n">
        <v>411512</v>
      </c>
      <c r="E4792" s="8" t="n">
        <v>40214</v>
      </c>
      <c r="F4792" s="7" t="n">
        <v>5</v>
      </c>
      <c r="G4792" s="9" t="inlineStr">
        <is>
          <t>This is very good, there just isn't much of it. There was no need, really for it to go into a loaf pan. I added about a Tbsp. of finely chopped red bell pepper. Otherwise I made it as is. Flavor was very nice. I will definat It wouikldely make it again, only I will X's it a lot! Thanks for sharing!_x000D_
2/10 After carefull consideration, I am going to give this 5 stars. It was very flavorful, the texture was great, it was just baked in the wrong kind of pan. It should've been baked in a "Grab-it" bowl or perhaps a small oven-proof baking dish. Don't let it go over the time limit, or it will be dry. Great recipe!</t>
        </is>
      </c>
    </row>
    <row r="4793">
      <c r="A4793" s="7" t="n">
        <v>35720</v>
      </c>
      <c r="B4793" s="7" t="n">
        <v>1055894</v>
      </c>
      <c r="C4793" s="7" t="n">
        <v>970071</v>
      </c>
      <c r="D4793" s="7" t="n">
        <v>329542</v>
      </c>
      <c r="E4793" s="8" t="n">
        <v>39824</v>
      </c>
      <c r="F4793" s="7" t="n">
        <v>5</v>
      </c>
      <c r="G4793" s="7" t="inlineStr">
        <is>
          <t>Very good for weeknight meal, simple enough for busy times and much better than something "out of a box".  I did make it with extra rice and increased the chicken broth to accommodate our big eaters.  It's on our list of family favorites.  I served it with simple spinach &amp; tomato salad.  Thank you!</t>
        </is>
      </c>
    </row>
    <row r="4794">
      <c r="A4794" s="7" t="n">
        <v>49040</v>
      </c>
      <c r="B4794" s="7" t="n">
        <v>1034229</v>
      </c>
      <c r="C4794" s="7" t="n">
        <v>489530</v>
      </c>
      <c r="D4794" s="7" t="n">
        <v>23312</v>
      </c>
      <c r="E4794" s="8" t="n">
        <v>39486</v>
      </c>
      <c r="F4794" s="7" t="n">
        <v>4</v>
      </c>
      <c r="G4794" s="7" t="inlineStr">
        <is>
          <t>Ive been making this one for a while now and I love the taste. I've always hated those too sweet frostings with all that powdered suga! I will say however that I always down the liquid to 1/2 cup and I usually triple the cocoa powder and leave out the semi sweet squares. It does still need to be refrigerated (simply cooling just doesn't cut in the Arkansas heat)  but its delicious if ya don't mind it cold!</t>
        </is>
      </c>
    </row>
    <row r="4795">
      <c r="A4795" s="7" t="n">
        <v>64040</v>
      </c>
      <c r="B4795" s="7" t="n">
        <v>928200</v>
      </c>
      <c r="C4795" s="7" t="n">
        <v>402559</v>
      </c>
      <c r="D4795" s="7" t="n">
        <v>128588</v>
      </c>
      <c r="E4795" s="8" t="n">
        <v>39769</v>
      </c>
      <c r="F4795" s="7" t="n">
        <v>5</v>
      </c>
      <c r="G4795" s="7" t="inlineStr">
        <is>
          <t>I used equal parts of white flour and wheat flour and it had a great flavor. Thanks, will make again.</t>
        </is>
      </c>
    </row>
    <row r="4796">
      <c r="A4796" s="7" t="n">
        <v>108860</v>
      </c>
      <c r="B4796" s="7" t="n">
        <v>1111166</v>
      </c>
      <c r="C4796" s="7" t="n">
        <v>327863</v>
      </c>
      <c r="D4796" s="7" t="n">
        <v>186256</v>
      </c>
      <c r="E4796" s="8" t="n">
        <v>40170</v>
      </c>
      <c r="F4796" s="7" t="n">
        <v>5</v>
      </c>
      <c r="G4796" s="7" t="inlineStr">
        <is>
          <t>Wonderful! Everyone loved it :) Thanks!</t>
        </is>
      </c>
    </row>
    <row r="4797">
      <c r="A4797" s="7" t="n">
        <v>10347</v>
      </c>
      <c r="B4797" s="7" t="n">
        <v>1125188</v>
      </c>
      <c r="C4797" s="7" t="n">
        <v>369001</v>
      </c>
      <c r="D4797" s="7" t="n">
        <v>49896</v>
      </c>
      <c r="E4797" s="8" t="n">
        <v>40164</v>
      </c>
      <c r="F4797" s="7" t="n">
        <v>5</v>
      </c>
      <c r="G4797" s="7" t="inlineStr">
        <is>
          <t>This has become a family favorite.  I make it with sugar free/fat free pudding and jello and cool whip lite or free.  I like to add a can of crushed pineapple as suggested by another reviewer.</t>
        </is>
      </c>
    </row>
    <row r="4798" ht="409.5" customHeight="1">
      <c r="A4798" s="7" t="n">
        <v>124346</v>
      </c>
      <c r="B4798" s="7" t="n">
        <v>236833</v>
      </c>
      <c r="C4798" s="7" t="n">
        <v>41578</v>
      </c>
      <c r="D4798" s="7" t="n">
        <v>95209</v>
      </c>
      <c r="E4798" s="8" t="n">
        <v>38260</v>
      </c>
      <c r="F4798" s="7" t="n">
        <v>5</v>
      </c>
      <c r="G4798" s="9" t="inlineStr">
        <is>
          <t xml:space="preserve">We haven't served Fondue in a long time and this was a pleasant surprise for my guests.  The crab/cheese combination was wonderful.  I followed your instruction exactly and wouldn't change a thing. Thank you, AnnetteMarie._x000D_
</t>
        </is>
      </c>
    </row>
    <row r="4799">
      <c r="A4799" s="7" t="n">
        <v>81091</v>
      </c>
      <c r="B4799" s="7" t="n">
        <v>836172</v>
      </c>
      <c r="C4799" s="7" t="n">
        <v>8629</v>
      </c>
      <c r="D4799" s="7" t="n">
        <v>162473</v>
      </c>
      <c r="E4799" s="8" t="n">
        <v>38823</v>
      </c>
      <c r="F4799" s="7" t="n">
        <v>5</v>
      </c>
      <c r="G4799" s="7" t="inlineStr">
        <is>
          <t>These were our Easter brunch sweet rolls.  The written instructions are excellent.  I followed them exactly. The dough was a dream to work with. I appreciated being given the dimensions of the rectangle  for rolling out the dough. Bake times were right on target.  Everyone loved these rolls.</t>
        </is>
      </c>
    </row>
    <row r="4800">
      <c r="A4800" s="7" t="n">
        <v>30126</v>
      </c>
      <c r="B4800" s="7" t="n">
        <v>823967</v>
      </c>
      <c r="C4800" s="7" t="n">
        <v>400029</v>
      </c>
      <c r="D4800" s="7" t="n">
        <v>78814</v>
      </c>
      <c r="E4800" s="8" t="n">
        <v>39066</v>
      </c>
      <c r="F4800" s="7" t="n">
        <v>4</v>
      </c>
      <c r="G4800" s="7" t="inlineStr">
        <is>
          <t>Great Recipe! My picky husband loved it.  I made it without the sauce and made a white sauce with tarragon to serve on the side.  I used gouda cheese and added mushrooms to the chicken! Thanks!</t>
        </is>
      </c>
    </row>
    <row r="4801">
      <c r="A4801" s="7" t="n">
        <v>39527</v>
      </c>
      <c r="B4801" s="7" t="n">
        <v>487741</v>
      </c>
      <c r="C4801" s="7" t="n">
        <v>1802877675</v>
      </c>
      <c r="D4801" s="7" t="n">
        <v>89909</v>
      </c>
      <c r="E4801" s="8" t="n">
        <v>41822</v>
      </c>
      <c r="F4801" s="7" t="n">
        <v>1</v>
      </c>
      <c r="G4801" s="7" t="inlineStr">
        <is>
          <t>Followed the recipe to the letter only to get grilled chicken with no flavor and a taste like it was just boiled in butter. It was moist but that is about all. What happened?</t>
        </is>
      </c>
    </row>
    <row r="4802">
      <c r="A4802" s="7" t="n">
        <v>109459</v>
      </c>
      <c r="B4802" s="7" t="n">
        <v>327516</v>
      </c>
      <c r="C4802" s="7" t="n">
        <v>2466370</v>
      </c>
      <c r="D4802" s="7" t="n">
        <v>408345</v>
      </c>
      <c r="E4802" s="8" t="n">
        <v>41206</v>
      </c>
      <c r="F4802" s="7" t="n">
        <v>5</v>
      </c>
      <c r="G4802" s="7" t="inlineStr">
        <is>
          <t>This is wonderful, we did resist putting Italian seasoning in and were very happy with the result.  It had a  very refreshing taste, and the pork was super tender and very flavorful.  Definetly a keeper recipe. Thanks for sharing.</t>
        </is>
      </c>
    </row>
    <row r="4803">
      <c r="A4803" t="n">
        <v>103554</v>
      </c>
      <c r="B4803" t="n">
        <v>87428</v>
      </c>
      <c r="C4803" t="n">
        <v>461428</v>
      </c>
      <c r="D4803" t="n">
        <v>19859</v>
      </c>
      <c r="E4803" s="1" t="n">
        <v>39256</v>
      </c>
      <c r="F4803" t="n">
        <v>5</v>
      </c>
      <c r="G4803" t="inlineStr">
        <is>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is>
      </c>
    </row>
    <row r="4804">
      <c r="A4804" s="7" t="n">
        <v>72279</v>
      </c>
      <c r="B4804" s="7" t="n">
        <v>282154</v>
      </c>
      <c r="C4804" s="7" t="n">
        <v>89831</v>
      </c>
      <c r="D4804" s="7" t="n">
        <v>162803</v>
      </c>
      <c r="E4804" s="8" t="n">
        <v>39085</v>
      </c>
      <c r="F4804" s="7" t="n">
        <v>5</v>
      </c>
      <c r="G4804" s="7" t="inlineStr">
        <is>
          <t>Great recipe! I used only apples for this and white bread with no raisins, this is different but so very good! I will make this again soon, thanks for sharing hon!...Kitten</t>
        </is>
      </c>
    </row>
    <row r="4805">
      <c r="A4805" s="7" t="n">
        <v>49651</v>
      </c>
      <c r="B4805" s="7" t="n">
        <v>54199</v>
      </c>
      <c r="C4805" s="7" t="n">
        <v>470894</v>
      </c>
      <c r="D4805" s="7" t="n">
        <v>51058</v>
      </c>
      <c r="E4805" s="8" t="n">
        <v>39676</v>
      </c>
      <c r="F4805" s="7" t="n">
        <v>5</v>
      </c>
      <c r="G4805" s="7" t="inlineStr">
        <is>
          <t>very tasty and simple.  I might cut the salt just a little as I found mine a bit on the salty side but otherwise this was a great recipe</t>
        </is>
      </c>
    </row>
    <row r="4806">
      <c r="A4806" s="7" t="n">
        <v>94706</v>
      </c>
      <c r="B4806" s="7" t="n">
        <v>237717</v>
      </c>
      <c r="C4806" s="7" t="n">
        <v>157248</v>
      </c>
      <c r="D4806" s="7" t="n">
        <v>84833</v>
      </c>
      <c r="E4806" s="8" t="n">
        <v>38356</v>
      </c>
      <c r="F4806" s="7" t="n">
        <v>5</v>
      </c>
      <c r="G4806" s="7" t="inlineStr">
        <is>
          <t xml:space="preserve">Love these sprouts! It's nice to be able to prepare them ahead of time,they are very tasty, and easy to prepare, Thanks for another keeper CL! </t>
        </is>
      </c>
    </row>
    <row r="4807">
      <c r="A4807" s="7" t="n">
        <v>18142</v>
      </c>
      <c r="B4807" s="7" t="n">
        <v>560270</v>
      </c>
      <c r="C4807" s="7" t="n">
        <v>296546</v>
      </c>
      <c r="D4807" s="7" t="n">
        <v>12396</v>
      </c>
      <c r="E4807" s="8" t="n">
        <v>39929</v>
      </c>
      <c r="F4807" s="7" t="n">
        <v>5</v>
      </c>
      <c r="G4807" s="7" t="inlineStr">
        <is>
          <t>My family loved this!  I served it with egg noodles as I did not have any rice on hand.  I used boneless pork loin chops and they came out perfect. Thanks so much!</t>
        </is>
      </c>
    </row>
    <row r="4808">
      <c r="A4808" s="7" t="n">
        <v>81501</v>
      </c>
      <c r="B4808" s="7" t="n">
        <v>192643</v>
      </c>
      <c r="C4808" s="7" t="n">
        <v>646377</v>
      </c>
      <c r="D4808" s="7" t="n">
        <v>140255</v>
      </c>
      <c r="E4808" s="8" t="n">
        <v>39777</v>
      </c>
      <c r="F4808" s="7" t="n">
        <v>5</v>
      </c>
      <c r="G4808" s="7" t="inlineStr">
        <is>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is>
      </c>
    </row>
    <row r="4809">
      <c r="A4809" s="7" t="n">
        <v>44299</v>
      </c>
      <c r="B4809" s="7" t="n">
        <v>210622</v>
      </c>
      <c r="C4809" s="7" t="n">
        <v>2103646</v>
      </c>
      <c r="D4809" s="7" t="n">
        <v>88753</v>
      </c>
      <c r="E4809" s="8" t="n">
        <v>41408</v>
      </c>
      <c r="F4809" s="7" t="n">
        <v>5</v>
      </c>
      <c r="G4809" s="7" t="inlineStr">
        <is>
          <t>I&amp;#039;ve made this several times now since it is so good. To keep it from being too salty, I just use half a package of seasoning (onion soup, taco seasoning or meatloaf mix.) I then boost up the flavor with extra fresh onions or dehydrated vegetables. I&amp;#039;ve also made this with all Italian seasonings, including fennel seeds. Delicious.</t>
        </is>
      </c>
    </row>
    <row r="4810">
      <c r="A4810" s="7" t="n">
        <v>66003</v>
      </c>
      <c r="B4810" s="7" t="n">
        <v>217762</v>
      </c>
      <c r="C4810" s="7" t="n">
        <v>2001731158</v>
      </c>
      <c r="D4810" s="7" t="n">
        <v>21688</v>
      </c>
      <c r="E4810" s="8" t="n">
        <v>43167</v>
      </c>
      <c r="F4810" s="7" t="n">
        <v>0</v>
      </c>
      <c r="G4810" s="7" t="inlineStr">
        <is>
          <t>This is named Corned Beef and Cabbage Casserole, yet there's no corned beef in it!</t>
        </is>
      </c>
    </row>
    <row r="4811">
      <c r="A4811" s="7" t="n">
        <v>26102</v>
      </c>
      <c r="B4811" s="7" t="n">
        <v>781856</v>
      </c>
      <c r="C4811" s="7" t="n">
        <v>170628</v>
      </c>
      <c r="D4811" s="7" t="n">
        <v>107029</v>
      </c>
      <c r="E4811" s="8" t="n">
        <v>38384</v>
      </c>
      <c r="F4811" s="7" t="n">
        <v>2</v>
      </c>
      <c r="G4811" s="7" t="inlineStr">
        <is>
          <t>We all found this to be very, very bland.  Looking at the recipe, we were all excited.  It seemed like a great blend of ingredients. We all took a bit and looked at each other wondering where the taste was.  Even adding salt and pepper did not help that much.  Just really bland.</t>
        </is>
      </c>
    </row>
    <row r="4812">
      <c r="A4812" s="7" t="n">
        <v>8565</v>
      </c>
      <c r="B4812" s="7" t="n">
        <v>974631</v>
      </c>
      <c r="C4812" s="7" t="n">
        <v>760290</v>
      </c>
      <c r="D4812" s="7" t="n">
        <v>219871</v>
      </c>
      <c r="E4812" s="8" t="n">
        <v>40336</v>
      </c>
      <c r="F4812" s="7" t="n">
        <v>5</v>
      </c>
      <c r="G4812" s="7" t="inlineStr">
        <is>
          <t>This is so yummy!!  I threw it all in the Crockpot before leaving for work on a Friday morning; the pork was amazingly tender and moist.  Leftovers even better!  I added a palm full of crushed red pepper, just because we like things a little kicky.  Great recipe; the family voted it into the regular rotation ï�Š</t>
        </is>
      </c>
    </row>
    <row r="4813">
      <c r="A4813" s="7" t="n">
        <v>4282</v>
      </c>
      <c r="B4813" s="7" t="n">
        <v>148688</v>
      </c>
      <c r="C4813" s="7" t="n">
        <v>264017</v>
      </c>
      <c r="D4813" s="7" t="n">
        <v>69195</v>
      </c>
      <c r="E4813" s="8" t="n">
        <v>39763</v>
      </c>
      <c r="F4813" s="7" t="n">
        <v>4</v>
      </c>
      <c r="G4813" s="7" t="inlineStr">
        <is>
          <t>Quick, easy and filling weeknight meal. I had the chicken already baked, so added it to the cooked onion and garlic mixture. With fire-roasted tomatoes, 1/2 can black beans and fat free cheddar served over brown rice, we had a very nice WW Core meal. Thanks MEP! Made for Chef Zaar Alphabet Soup tag game.</t>
        </is>
      </c>
    </row>
    <row r="4814">
      <c r="A4814" s="7" t="n">
        <v>123926</v>
      </c>
      <c r="B4814" s="7" t="n">
        <v>850805</v>
      </c>
      <c r="C4814" s="7" t="n">
        <v>1803520170</v>
      </c>
      <c r="D4814" s="7" t="n">
        <v>117849</v>
      </c>
      <c r="E4814" s="8" t="n">
        <v>41991</v>
      </c>
      <c r="F4814" s="7" t="n">
        <v>1</v>
      </c>
      <c r="G4814" s="7" t="inlineStr">
        <is>
          <t>I am so disappointed....  I think there is a typo in the recipe....  1 Tablespoon of salt is WAY too much....  especially with all that cheese.  I made it exactly as written despite my better judgement (Maybe that much salt will mellow the bitterness in the turnips as it slow cooks?) but NOOOOO don&amp;#039;t do it.  I think it must be 1 tsp.  I will try it again because besides that I think it would have been good and my house smelled great with the allspice in there but alas...  I had to throw away the season&amp;#039;s last fresh turnips.  maybe next year....</t>
        </is>
      </c>
    </row>
    <row r="4815">
      <c r="A4815" s="7" t="n">
        <v>89861</v>
      </c>
      <c r="B4815" s="7" t="n">
        <v>560041</v>
      </c>
      <c r="C4815" s="7" t="n">
        <v>783233</v>
      </c>
      <c r="D4815" s="7" t="n">
        <v>40729</v>
      </c>
      <c r="E4815" s="8" t="n">
        <v>39728</v>
      </c>
      <c r="F4815" s="7" t="n">
        <v>5</v>
      </c>
      <c r="G4815" s="7" t="inlineStr">
        <is>
          <t>This is delicious - cold and warm. I used the same amount of carrots as was written for the pumpkin (where is the recipe for Lennie's Carrot Mold?) and it was all done in the food processor. Even so, the taste was not overwhelmingly "carrot." The family thought it was pumpkin! It was also so easy!! Used eggbeaters instead of whole eggs, and cinnamon and ginger - two favorite spices. Thanks, Mirj.</t>
        </is>
      </c>
    </row>
    <row r="4816">
      <c r="A4816" s="7" t="n">
        <v>65903</v>
      </c>
      <c r="B4816" s="7" t="n">
        <v>1132079</v>
      </c>
      <c r="C4816" s="7" t="n">
        <v>526666</v>
      </c>
      <c r="D4816" s="7" t="n">
        <v>481913</v>
      </c>
      <c r="E4816" s="8" t="n">
        <v>41137</v>
      </c>
      <c r="F4816" s="7" t="n">
        <v>5</v>
      </c>
      <c r="G4816" s="7" t="inlineStr">
        <is>
          <t>Wonderful, tasty and left me wanting more! I only found plain derby at a little shop that has British imports, so I hoped that would suffice. It was wonderful, but I think a lovely cheddar or perhaps dubliner could be substituted with great success, for those wanting to try this. My breasts were huge, even after pounding, so it took closer to an hour to cook them. I liked how you explain to use the little 'pocket'; I assumed that was the tenderloin that was used to cover the cheese and close the pocket, so that is what I did. Cutting the bacon the way I did, even after reducing to 4 slices (for 2 people) made for 4 longer pieces and 8 shorter pieces. I think I could've done a cute basket weave, but I stopped myself short. Peppered and sizzled (the bacon grease helps with the cooking and the flavoring) this was such a delicious dinner, that I'm looking forward to the next time it is on the menu. Great payoff in flavor, for not too much work! Thanks so much for sharing this great recipe, threeovens!</t>
        </is>
      </c>
    </row>
    <row r="4817">
      <c r="A4817" s="7" t="n">
        <v>76076</v>
      </c>
      <c r="B4817" s="7" t="n">
        <v>777804</v>
      </c>
      <c r="C4817" s="7" t="n">
        <v>99325</v>
      </c>
      <c r="D4817" s="7" t="n">
        <v>13315</v>
      </c>
      <c r="E4817" s="8" t="n">
        <v>38452</v>
      </c>
      <c r="F4817" s="7" t="n">
        <v>5</v>
      </c>
      <c r="G4817" s="7" t="inlineStr">
        <is>
          <t xml:space="preserve">This is fantastic! Thank you. We will be making this every year from now on. </t>
        </is>
      </c>
    </row>
    <row r="4818">
      <c r="A4818" s="7" t="n">
        <v>58709</v>
      </c>
      <c r="B4818" s="7" t="n">
        <v>664496</v>
      </c>
      <c r="C4818" s="7" t="n">
        <v>30854</v>
      </c>
      <c r="D4818" s="7" t="n">
        <v>12632</v>
      </c>
      <c r="E4818" s="8" t="n">
        <v>37355</v>
      </c>
      <c r="F4818" s="7" t="n">
        <v>5</v>
      </c>
      <c r="G4818" s="7" t="inlineStr">
        <is>
          <t>This is a "scrumptious" meatloaf! My husbands words not mine :o) though I totally agree.I wasn't sure about the Italian sausage so I used finely chopped salami and I used a sundried tomato pasta sauce. Thanks stephanie!</t>
        </is>
      </c>
    </row>
    <row r="4819">
      <c r="A4819" s="7" t="n">
        <v>65519</v>
      </c>
      <c r="B4819" s="7" t="n">
        <v>305679</v>
      </c>
      <c r="C4819" s="7" t="n">
        <v>169969</v>
      </c>
      <c r="D4819" s="7" t="n">
        <v>213529</v>
      </c>
      <c r="E4819" s="8" t="n">
        <v>39311</v>
      </c>
      <c r="F4819" s="7" t="n">
        <v>5</v>
      </c>
      <c r="G4819" s="7" t="inlineStr">
        <is>
          <t>*Awesome* pick-me-up!!! This is a great little recipe. I just love Frangelico and it was perfect in this recipe. I added a whole ounce of Creme de Cacao by accident in the first one I made - don't do it... ruins the whole shabang! The nutmeg is a great touch! I will make these again! Thanks cookiedog!</t>
        </is>
      </c>
    </row>
    <row r="4820">
      <c r="A4820" s="7" t="n">
        <v>68139</v>
      </c>
      <c r="B4820" s="7" t="n">
        <v>1076844</v>
      </c>
      <c r="C4820" s="7" t="n">
        <v>880528</v>
      </c>
      <c r="D4820" s="7" t="n">
        <v>198881</v>
      </c>
      <c r="E4820" s="8" t="n">
        <v>39632</v>
      </c>
      <c r="F4820" s="7" t="n">
        <v>5</v>
      </c>
      <c r="G4820" s="7" t="inlineStr">
        <is>
          <t>Excellent! Some of my family members are allergic to chiles, so we make some without the chipotle chiles and adobo sauce. The marinade is still KILLER!</t>
        </is>
      </c>
    </row>
    <row r="4821">
      <c r="A4821" s="7" t="n">
        <v>49063</v>
      </c>
      <c r="B4821" s="7" t="n">
        <v>865543</v>
      </c>
      <c r="C4821" s="7" t="n">
        <v>346583</v>
      </c>
      <c r="D4821" s="7" t="n">
        <v>195881</v>
      </c>
      <c r="E4821" s="8" t="n">
        <v>39248</v>
      </c>
      <c r="F4821" s="7" t="n">
        <v>4</v>
      </c>
      <c r="G4821" s="7" t="inlineStr">
        <is>
          <t>Yeah,this is great!My Egyptian Mother-in-law used to cook it and she would always serve it with white rice.Best thing is,now I finally got the recipe and I can cook this by myself! Thanks for posting!</t>
        </is>
      </c>
    </row>
    <row r="4822">
      <c r="A4822" s="7" t="n">
        <v>28602</v>
      </c>
      <c r="B4822" s="7" t="n">
        <v>981224</v>
      </c>
      <c r="C4822" s="7" t="n">
        <v>1314949</v>
      </c>
      <c r="D4822" s="7" t="n">
        <v>364357</v>
      </c>
      <c r="E4822" s="8" t="n">
        <v>39998</v>
      </c>
      <c r="F4822" s="7" t="n">
        <v>5</v>
      </c>
      <c r="G4822" s="7" t="inlineStr">
        <is>
          <t>I love cheese.  This is so close to a guilt inducing cheesy meal I would have never known had I not made it myself.  A good meal to make for meat and dairy eaters as well.</t>
        </is>
      </c>
    </row>
    <row r="4823">
      <c r="A4823" s="7" t="n">
        <v>36647</v>
      </c>
      <c r="B4823" s="7" t="n">
        <v>35164</v>
      </c>
      <c r="C4823" s="7" t="n">
        <v>330505</v>
      </c>
      <c r="D4823" s="7" t="n">
        <v>354661</v>
      </c>
      <c r="E4823" s="8" t="n">
        <v>40280</v>
      </c>
      <c r="F4823" s="7" t="n">
        <v>5</v>
      </c>
      <c r="G4823" s="7" t="inlineStr">
        <is>
          <t>Yummy.  This is a wonderful fruit dip!  I made this with light cream cheese, low fat yogurt, Splenda, and fat free milk, as well as the vanilla.  It was super yummy and I didn't have to worry about all the fat and calories.  Thanks so much for posting!  Made for the Sweet Traditions Tag Game.</t>
        </is>
      </c>
    </row>
    <row r="4824">
      <c r="A4824" s="7" t="n">
        <v>19345</v>
      </c>
      <c r="B4824" s="7" t="n">
        <v>339013</v>
      </c>
      <c r="C4824" s="7" t="n">
        <v>47892</v>
      </c>
      <c r="D4824" s="7" t="n">
        <v>418913</v>
      </c>
      <c r="E4824" s="8" t="n">
        <v>40431</v>
      </c>
      <c r="F4824" s="7" t="n">
        <v>0</v>
      </c>
      <c r="G4824" s="7" t="inlineStr">
        <is>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is>
      </c>
    </row>
    <row r="4825">
      <c r="A4825" s="7" t="n">
        <v>51936</v>
      </c>
      <c r="B4825" s="7" t="n">
        <v>443067</v>
      </c>
      <c r="C4825" s="7" t="n">
        <v>4470</v>
      </c>
      <c r="D4825" s="7" t="n">
        <v>296480</v>
      </c>
      <c r="E4825" s="8" t="n">
        <v>39681</v>
      </c>
      <c r="F4825" s="7" t="n">
        <v>5</v>
      </c>
      <c r="G4825" s="7" t="inlineStr">
        <is>
          <t>Lovely easy appetizer Used whole wheat bread - tasty but next time I will use white as the recipe suggests.. I like that you can get all the ingredients prepared and then  just put them together before toasting &amp; serving.   Made for a fun dinner party with friends.  Great "bring along" recipe.  Everthing prepared at home and put together at friends house</t>
        </is>
      </c>
    </row>
    <row r="4826">
      <c r="A4826" s="7" t="n">
        <v>95026</v>
      </c>
      <c r="B4826" s="7" t="n">
        <v>47852</v>
      </c>
      <c r="C4826" s="7" t="n">
        <v>13005000</v>
      </c>
      <c r="D4826" s="7" t="n">
        <v>93946</v>
      </c>
      <c r="E4826" s="8" t="n">
        <v>41786</v>
      </c>
      <c r="F4826" s="7" t="n">
        <v>5</v>
      </c>
      <c r="G4826" s="7" t="inlineStr">
        <is>
          <t>Awesome recipe. Super easy. I doubled it and everyone loved it....no leftovers for this girl! Give this one a try...you will be pleased.</t>
        </is>
      </c>
    </row>
    <row r="4827">
      <c r="A4827" s="7" t="n">
        <v>123322</v>
      </c>
      <c r="B4827" s="7" t="n">
        <v>257335</v>
      </c>
      <c r="C4827" s="7" t="n">
        <v>128473</v>
      </c>
      <c r="D4827" s="7" t="n">
        <v>454498</v>
      </c>
      <c r="E4827" s="8" t="n">
        <v>41767</v>
      </c>
      <c r="F4827" s="7" t="n">
        <v>5</v>
      </c>
      <c r="G4827" s="7" t="inlineStr">
        <is>
          <t>Wow, these cupcakes were outstanding, simply outstanding.  The cupcakes had the perfect crumb, were moist and tender, with a delicious subtle Baileys flavor.  They were quick and very easy to make.  Thank you for sharing a recipe that I will enjoy often.  Made for Spring Pac 2014.</t>
        </is>
      </c>
    </row>
    <row r="4828">
      <c r="A4828" s="7" t="n">
        <v>94254</v>
      </c>
      <c r="B4828" s="7" t="n">
        <v>743402</v>
      </c>
      <c r="C4828" s="7" t="n">
        <v>452355</v>
      </c>
      <c r="D4828" s="7" t="n">
        <v>60415</v>
      </c>
      <c r="E4828" s="8" t="n">
        <v>39382</v>
      </c>
      <c r="F4828" s="7" t="n">
        <v>5</v>
      </c>
      <c r="G4828" s="7" t="inlineStr">
        <is>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is>
      </c>
    </row>
    <row r="4829">
      <c r="A4829" t="n">
        <v>49910</v>
      </c>
      <c r="B4829" t="n">
        <v>938087</v>
      </c>
      <c r="C4829" t="n">
        <v>136369</v>
      </c>
      <c r="D4829" t="n">
        <v>82102</v>
      </c>
      <c r="E4829" s="1" t="n">
        <v>39541</v>
      </c>
      <c r="F4829" t="n">
        <v>5</v>
      </c>
      <c r="G4829" t="inlineStr">
        <is>
          <t>I've made this several times now and it is delicious! Moist and full of flavor! Thanks for sharing!</t>
        </is>
      </c>
    </row>
    <row r="4830">
      <c r="A4830" s="7" t="n">
        <v>92973</v>
      </c>
      <c r="B4830" s="7" t="n">
        <v>938851</v>
      </c>
      <c r="C4830" s="7" t="n">
        <v>121690</v>
      </c>
      <c r="D4830" s="7" t="n">
        <v>93838</v>
      </c>
      <c r="E4830" s="8" t="n">
        <v>38418</v>
      </c>
      <c r="F4830" s="7" t="n">
        <v>5</v>
      </c>
      <c r="G4830" s="7" t="inlineStr">
        <is>
          <t>This is a great 2-serving meal. I did make a few changes: I sauteed the chicken in oil rather than butter. I used chicken bouillon in place of the water, I doubled the garlic, and I served it on a bed cabbage mixed with cooked rice after stir-frying the rice-cabbage mixture. After eating one chicken breast, I mixed a tiny bit of sambal oelek into the sauce before having the second for lunch the next day, I liked it both with and without--actually maybe a bit more without the sambal oelek. Anyway thanks for a great meal for two--will definitely make again.</t>
        </is>
      </c>
    </row>
    <row r="4831">
      <c r="A4831" s="7" t="n">
        <v>58873</v>
      </c>
      <c r="B4831" s="7" t="n">
        <v>1123830</v>
      </c>
      <c r="C4831" s="7" t="n">
        <v>2002297019</v>
      </c>
      <c r="D4831" s="7" t="n">
        <v>57679</v>
      </c>
      <c r="E4831" s="8" t="n">
        <v>43383</v>
      </c>
      <c r="F4831" s="7" t="n">
        <v>5</v>
      </c>
      <c r="G4831" s="7" t="inlineStr">
        <is>
          <t>Perfect. Simple and easy. Used Tahitian Limes as that was all I had. Thank you for sharing</t>
        </is>
      </c>
    </row>
    <row r="4832">
      <c r="A4832" s="7" t="n">
        <v>123005</v>
      </c>
      <c r="B4832" s="7" t="n">
        <v>708414</v>
      </c>
      <c r="C4832" s="7" t="n">
        <v>486725</v>
      </c>
      <c r="D4832" s="7" t="n">
        <v>211504</v>
      </c>
      <c r="E4832" s="8" t="n">
        <v>40321</v>
      </c>
      <c r="F4832" s="7" t="n">
        <v>4</v>
      </c>
      <c r="G4832" s="7" t="inlineStr">
        <is>
          <t>This is a great chili. I used more garlic, half the salt and ground turkey. I really like the use of lentils in it - it's a nice and different change.</t>
        </is>
      </c>
    </row>
    <row r="4833">
      <c r="A4833" s="7" t="n">
        <v>42461</v>
      </c>
      <c r="B4833" s="7" t="n">
        <v>201876</v>
      </c>
      <c r="C4833" s="7" t="n">
        <v>1179225</v>
      </c>
      <c r="D4833" s="7" t="n">
        <v>148242</v>
      </c>
      <c r="E4833" s="8" t="n">
        <v>41912</v>
      </c>
      <c r="F4833" s="7" t="n">
        <v>4</v>
      </c>
      <c r="G4833" s="7" t="inlineStr">
        <is>
          <t>This was a really nice, quick and healthy meal. I was out of cannellini beans so I used kidney beans as a substitute. Not only did they work out as far as taste but they looked beautiful. After eating the first few bites, I felt like the flavors seemed a little flat so I topped my serving with a squeeze of fresh lemon juice and that brightened it up just enough for me. I can see how this recipe could be really flexible as far as add-ins. Thanks for posting.</t>
        </is>
      </c>
    </row>
    <row r="4834">
      <c r="A4834" s="7" t="n">
        <v>83541</v>
      </c>
      <c r="B4834" s="7" t="n">
        <v>773475</v>
      </c>
      <c r="C4834" s="7" t="n">
        <v>89831</v>
      </c>
      <c r="D4834" s="7" t="n">
        <v>83253</v>
      </c>
      <c r="E4834" s="8" t="n">
        <v>38067</v>
      </c>
      <c r="F4834" s="7" t="n">
        <v>5</v>
      </c>
      <c r="G4834" s="7" t="inlineStr">
        <is>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is>
      </c>
    </row>
    <row r="4835">
      <c r="A4835" s="7" t="n">
        <v>53822</v>
      </c>
      <c r="B4835" s="7" t="n">
        <v>300743</v>
      </c>
      <c r="C4835" s="7" t="n">
        <v>724631</v>
      </c>
      <c r="D4835" s="7" t="n">
        <v>481365</v>
      </c>
      <c r="E4835" s="8" t="n">
        <v>41105</v>
      </c>
      <c r="F4835" s="7" t="n">
        <v>4</v>
      </c>
      <c r="G4835" s="7" t="inlineStr">
        <is>
          <t>Very enjoyable healthy luncheon entree.   We loved the lack of mayonnaise!  Vegetable flakes proved a test of will: I was unwilling to drive 15-35 minutes to buy them, and made my own equivalent based on personal preference for some spice and what I had on hand: 4 tsp grated fresh carrot, 1 tsp dried parsley, 1/2 tsp dried cilantro (my idea), 1 tsp dried celery, 1/2 tsp dried red pepper flakes, 1 tsp potato flakes.  All in all, the texture needs more contrast, so I would omit the celery flakes and use diced fresh celery, or use 1/4 cup cooked rice, and add 1-2 minced water chestnut slices.  A rule of thumb: each dried ingredient translates to 2x in fresh ingreients.  As made, DH declared there was too much sauce, so that's a green light to add rice.   So decide if you want diced fresh celery and/or 1/4 cup cooked rice.  Our local market had only large bell peppers, whereas medium bell peppers are much better suited to this recipe.  Made for Please Review My Recipe tag game.</t>
        </is>
      </c>
    </row>
    <row r="4836">
      <c r="A4836" s="7" t="n">
        <v>99889</v>
      </c>
      <c r="B4836" s="7" t="n">
        <v>253403</v>
      </c>
      <c r="C4836" s="7" t="n">
        <v>2000197604</v>
      </c>
      <c r="D4836" s="7" t="n">
        <v>102617</v>
      </c>
      <c r="E4836" s="8" t="n">
        <v>42135</v>
      </c>
      <c r="F4836" s="7" t="n">
        <v>5</v>
      </c>
      <c r="G4836" s="7" t="inlineStr">
        <is>
          <t>Wow, this was great.  I grew up eating a lot of cole slaw that was just cabbage plus mayo and it was all very bland.  As an adult, I&amp;#039;ve enjoyed a large variety of both creamy and vinegar slaws.  However, this was absolutely the best and freshest tasting creamy slaw ever.  Made it exactly like the recipe and everyone loved it!  Come to think of it, it does taste like KFC slaw, just better and fresher.</t>
        </is>
      </c>
    </row>
    <row r="4837">
      <c r="A4837" s="7" t="n">
        <v>6700</v>
      </c>
      <c r="B4837" s="7" t="n">
        <v>472800</v>
      </c>
      <c r="C4837" s="7" t="n">
        <v>2000242066</v>
      </c>
      <c r="D4837" s="7" t="n">
        <v>108364</v>
      </c>
      <c r="E4837" s="8" t="n">
        <v>42385</v>
      </c>
      <c r="F4837" s="7" t="n">
        <v>5</v>
      </c>
      <c r="G4837" s="7" t="inlineStr">
        <is>
          <t>This recipe was outstanding!!  I am from New York and my Bf kept saying, &amp;quot;My yankee gf can&amp;#039;t make fried chicken&amp;quot;..lol  We made this one and it was delicious!  We added some extra garlic powder, and he added some jalapeno juice for extra spicy, but otherwise perfect just the way it is!  Put it in the deep fryer at 350 degrees for boneless, very juicy!  Thank you!!  Boyfriend finally has fried chicken.. :)</t>
        </is>
      </c>
    </row>
    <row r="4838">
      <c r="A4838" s="7" t="n">
        <v>60990</v>
      </c>
      <c r="B4838" s="7" t="n">
        <v>1050210</v>
      </c>
      <c r="C4838" s="7" t="n">
        <v>973648</v>
      </c>
      <c r="D4838" s="7" t="n">
        <v>53878</v>
      </c>
      <c r="E4838" s="8" t="n">
        <v>39909</v>
      </c>
      <c r="F4838" s="7" t="n">
        <v>4</v>
      </c>
      <c r="G4838" s="7" t="inlineStr">
        <is>
          <t>The perfect simple and easy appetizer. Everyone was very impressed and they were all gone by the end of the event. I think one of the most important things is to make sure you cover as much of the filling as you can with the dough, otherwise the ones with more filling exposed didn't cook as well. Great recipe!</t>
        </is>
      </c>
    </row>
    <row r="4839">
      <c r="A4839" s="7" t="n">
        <v>19938</v>
      </c>
      <c r="B4839" s="7" t="n">
        <v>481707</v>
      </c>
      <c r="C4839" s="7" t="n">
        <v>2310709</v>
      </c>
      <c r="D4839" s="7" t="n">
        <v>350642</v>
      </c>
      <c r="E4839" s="8" t="n">
        <v>41090</v>
      </c>
      <c r="F4839" s="7" t="n">
        <v>5</v>
      </c>
      <c r="G4839" s="7" t="inlineStr">
        <is>
          <t>I followed this recipe exactly. It was the most sophisticated and delicious chilli I have ever had! This one is a keeper!</t>
        </is>
      </c>
    </row>
    <row r="4840" ht="409.5" customHeight="1">
      <c r="A4840" t="n">
        <v>55473</v>
      </c>
      <c r="B4840" t="n">
        <v>1104097</v>
      </c>
      <c r="C4840" t="n">
        <v>342580</v>
      </c>
      <c r="D4840" t="n">
        <v>64446</v>
      </c>
      <c r="E4840" s="1" t="n">
        <v>40184</v>
      </c>
      <c r="F4840" t="n">
        <v>5</v>
      </c>
      <c r="G4840" s="2" t="inlineStr">
        <is>
          <t>I cant' say "yum" enough for this recipe. Even good the next day.... but best fresh out of the oven. 
I used some dried rosemary since I had none fresh, and it was still superb. 
Can't wait to try this again using the dough hook on the kitchenaid stand mixer my hubby got me for x-mas!</t>
        </is>
      </c>
    </row>
    <row r="4841">
      <c r="A4841" s="7" t="n">
        <v>67221</v>
      </c>
      <c r="B4841" s="7" t="n">
        <v>163616</v>
      </c>
      <c r="C4841" s="7" t="n">
        <v>1535</v>
      </c>
      <c r="D4841" s="7" t="n">
        <v>182629</v>
      </c>
      <c r="E4841" s="8" t="n">
        <v>39160</v>
      </c>
      <c r="F4841" s="7" t="n">
        <v>4</v>
      </c>
      <c r="G4841" s="7" t="inlineStr">
        <is>
          <t>I am very impressed with how easy this is AND how tender the resulting meat is! I love this cooking method also. I need to try it with some other pieces of meat. I've never bought a rotisserie chicken at the grocery store so I'm not sure how it compares in flavor. I have a feeling though it isn't quite as intense. I also assume that the skin not being crisp is different but I didn't really expect it to crisp up in a crockpot. I know I'll use this recipe again. Next time I'm going to try it with just a breast. Thanks!</t>
        </is>
      </c>
    </row>
    <row r="4842">
      <c r="A4842" s="7" t="n">
        <v>54347</v>
      </c>
      <c r="B4842" s="7" t="n">
        <v>956326</v>
      </c>
      <c r="C4842" s="7" t="n">
        <v>131674</v>
      </c>
      <c r="D4842" s="7" t="n">
        <v>92298</v>
      </c>
      <c r="E4842" s="8" t="n">
        <v>38140</v>
      </c>
      <c r="F4842" s="7" t="n">
        <v>5</v>
      </c>
      <c r="G4842" s="7" t="inlineStr">
        <is>
          <t>I made this with Bailey's and chocolate chips for my mother's birhday.  She hasn't been eating well and she ate 2 brownies!  My kids complained that we didn't have enough.  Thanks for a great recipe.</t>
        </is>
      </c>
    </row>
    <row r="4843" ht="270" customHeight="1">
      <c r="A4843" s="7" t="n">
        <v>102395</v>
      </c>
      <c r="B4843" s="7" t="n">
        <v>460989</v>
      </c>
      <c r="C4843" s="7" t="n">
        <v>20480</v>
      </c>
      <c r="D4843" s="7" t="n">
        <v>215699</v>
      </c>
      <c r="E4843" s="8" t="n">
        <v>39229</v>
      </c>
      <c r="F4843" s="7" t="n">
        <v>5</v>
      </c>
      <c r="G4843" s="9" t="inlineStr">
        <is>
          <t>This was really good.Those coffee ice cubes are a tasty surprise; we loved it .I made this for WT3._x000D_
Thanks for posting this one.</t>
        </is>
      </c>
    </row>
    <row r="4844">
      <c r="A4844" s="7" t="n">
        <v>85293</v>
      </c>
      <c r="B4844" s="7" t="n">
        <v>774457</v>
      </c>
      <c r="C4844" s="7" t="n">
        <v>19129</v>
      </c>
      <c r="D4844" s="7" t="n">
        <v>227775</v>
      </c>
      <c r="E4844" s="8" t="n">
        <v>39461</v>
      </c>
      <c r="F4844" s="7" t="n">
        <v>5</v>
      </c>
      <c r="G4844" s="7" t="inlineStr">
        <is>
          <t>This is delicious. I followed the recipe exactly, also using double the amount of chard. I served it over rice. I'll definitely make this again. Thanks, Marissa.</t>
        </is>
      </c>
    </row>
    <row r="4845">
      <c r="A4845" t="n">
        <v>87431</v>
      </c>
      <c r="B4845" t="n">
        <v>705755</v>
      </c>
      <c r="C4845" t="n">
        <v>1193707</v>
      </c>
      <c r="D4845" t="n">
        <v>226947</v>
      </c>
      <c r="E4845" s="1" t="n">
        <v>40201</v>
      </c>
      <c r="F4845" t="n">
        <v>4</v>
      </c>
      <c r="G4845" t="inlineStr">
        <is>
          <t>OK, had to change review to 4 stars: the day after, I added some hot sauce--not much, for I don't like spicy food--and it tasted quite good!</t>
        </is>
      </c>
    </row>
    <row r="4846">
      <c r="A4846" t="n">
        <v>118536</v>
      </c>
      <c r="B4846" t="n">
        <v>838224</v>
      </c>
      <c r="C4846" t="n">
        <v>253884</v>
      </c>
      <c r="D4846" t="n">
        <v>292770</v>
      </c>
      <c r="E4846" s="1" t="n">
        <v>39938</v>
      </c>
      <c r="F4846" t="n">
        <v>5</v>
      </c>
      <c r="G4846" t="inlineStr">
        <is>
          <t>Tasty and something different. It look pretty colorful. I served this with tiny's authentic carnitas. Thank you Tiny_toodles.</t>
        </is>
      </c>
    </row>
    <row r="4847">
      <c r="A4847" s="7" t="n">
        <v>80549</v>
      </c>
      <c r="B4847" s="7" t="n">
        <v>510157</v>
      </c>
      <c r="C4847" s="7" t="n">
        <v>501778</v>
      </c>
      <c r="D4847" s="7" t="n">
        <v>89207</v>
      </c>
      <c r="E4847" s="8" t="n">
        <v>39817</v>
      </c>
      <c r="F4847" s="7" t="n">
        <v>5</v>
      </c>
      <c r="G4847" s="7" t="inlineStr">
        <is>
          <t>This frosting was GREAT, I topped a yellow cake with it and I ended up going back for seconds of frosting! THANKS</t>
        </is>
      </c>
    </row>
    <row r="4848" ht="330" customHeight="1">
      <c r="A4848" s="7" t="n">
        <v>118640</v>
      </c>
      <c r="B4848" s="7" t="n">
        <v>45212</v>
      </c>
      <c r="C4848" s="7" t="n">
        <v>534549</v>
      </c>
      <c r="D4848" s="7" t="n">
        <v>70811</v>
      </c>
      <c r="E4848" s="8" t="n">
        <v>39273</v>
      </c>
      <c r="F4848" s="7" t="n">
        <v>5</v>
      </c>
      <c r="G4848" s="9" t="inlineStr">
        <is>
          <t>I love these!
The recipe made 12 huge, tasty muffins!
I used half dark chocolate because I didn't have enough white but they we're still delicious.</t>
        </is>
      </c>
    </row>
    <row r="4849">
      <c r="A4849" s="7" t="n">
        <v>48650</v>
      </c>
      <c r="B4849" s="7" t="n">
        <v>344420</v>
      </c>
      <c r="C4849" s="7" t="n">
        <v>226066</v>
      </c>
      <c r="D4849" s="7" t="n">
        <v>222188</v>
      </c>
      <c r="E4849" s="8" t="n">
        <v>40237</v>
      </c>
      <c r="F4849" s="7" t="n">
        <v>5</v>
      </c>
      <c r="G4849" s="7" t="inlineStr">
        <is>
          <t>What's not to love!! Perfect frosting!! Made as is! Thanks!</t>
        </is>
      </c>
    </row>
    <row r="4850">
      <c r="A4850" s="7" t="n">
        <v>37330</v>
      </c>
      <c r="B4850" s="7" t="n">
        <v>384907</v>
      </c>
      <c r="C4850" s="7" t="n">
        <v>585176</v>
      </c>
      <c r="D4850" s="7" t="n">
        <v>8969</v>
      </c>
      <c r="E4850" s="8" t="n">
        <v>39363</v>
      </c>
      <c r="F4850" s="7" t="n">
        <v>5</v>
      </c>
      <c r="G4850" s="7" t="inlineStr">
        <is>
          <t>This recipe tastes just as great as the restaurant's closeby.. very easy to make. Great as leftovers!</t>
        </is>
      </c>
    </row>
    <row r="4851">
      <c r="A4851" s="7" t="n">
        <v>84344</v>
      </c>
      <c r="B4851" s="7" t="n">
        <v>402948</v>
      </c>
      <c r="C4851" s="7" t="n">
        <v>1293797</v>
      </c>
      <c r="D4851" s="7" t="n">
        <v>38607</v>
      </c>
      <c r="E4851" s="8" t="n">
        <v>40350</v>
      </c>
      <c r="F4851" s="7" t="n">
        <v>4</v>
      </c>
      <c r="G4851" s="7" t="inlineStr">
        <is>
          <t>This was pretty good. I thought it was a bit too rich for my tastes with the white sauce that I opted to use. After making this dish I determined that the original recipe also calls for about 1/2 the amount of cheese sauce so that probably contributed to the richness. I would also opt to make my own Alfredo sauce as the jarred just wasn't quite right for this recipe.</t>
        </is>
      </c>
    </row>
    <row r="4852">
      <c r="A4852" s="7" t="n">
        <v>88642</v>
      </c>
      <c r="B4852" s="7" t="n">
        <v>960293</v>
      </c>
      <c r="C4852" s="7" t="n">
        <v>153188</v>
      </c>
      <c r="D4852" s="7" t="n">
        <v>171809</v>
      </c>
      <c r="E4852" s="8" t="n">
        <v>39456</v>
      </c>
      <c r="F4852" s="7" t="n">
        <v>5</v>
      </c>
      <c r="G4852" s="7" t="inlineStr">
        <is>
          <t>Yumm Yumm Yumm!!!  I always loved these as a kid and I couldn't wait for holidays because I always knew they'd be on the table.  Super good.  And goes with anything.</t>
        </is>
      </c>
    </row>
    <row r="4853">
      <c r="A4853" s="7" t="n">
        <v>73386</v>
      </c>
      <c r="B4853" s="7" t="n">
        <v>101242</v>
      </c>
      <c r="C4853" s="7" t="n">
        <v>590105</v>
      </c>
      <c r="D4853" s="7" t="n">
        <v>322220</v>
      </c>
      <c r="E4853" s="8" t="n">
        <v>40205</v>
      </c>
      <c r="F4853" s="7" t="n">
        <v>5</v>
      </c>
      <c r="G4853" s="7" t="inlineStr">
        <is>
          <t>Really good! I followed directions except to just pat the dough out on the greased pan and cut it there. I did have to bake them longer that way. But the results are delicious! Thanks! Reviewed for Comfort Cafe.</t>
        </is>
      </c>
    </row>
    <row r="4854">
      <c r="A4854" s="7" t="n">
        <v>77921</v>
      </c>
      <c r="B4854" s="7" t="n">
        <v>715470</v>
      </c>
      <c r="C4854" s="7" t="n">
        <v>479573</v>
      </c>
      <c r="D4854" s="7" t="n">
        <v>11141</v>
      </c>
      <c r="E4854" s="8" t="n">
        <v>39461</v>
      </c>
      <c r="F4854" s="7" t="n">
        <v>4</v>
      </c>
      <c r="G4854" s="7" t="inlineStr">
        <is>
          <t>This was pretty good. I made it once so far, I forgot to put the bay leaves in and used ground turkey. Next time I may add some extra seasoning.</t>
        </is>
      </c>
    </row>
    <row r="4855">
      <c r="A4855" s="7" t="n">
        <v>100360</v>
      </c>
      <c r="B4855" s="7" t="n">
        <v>305282</v>
      </c>
      <c r="C4855" s="7" t="n">
        <v>447831</v>
      </c>
      <c r="D4855" s="7" t="n">
        <v>148807</v>
      </c>
      <c r="E4855" s="8" t="n">
        <v>40232</v>
      </c>
      <c r="F4855" s="7" t="n">
        <v>4</v>
      </c>
      <c r="G4855" s="7" t="inlineStr">
        <is>
          <t>SOOO close! So good if you follow others suggestions...by itself a little 'creamed soup tasting' but with halving it, only adding in the can of Rotel, and 2c of cheddar at the end it is a wonderful soup!</t>
        </is>
      </c>
    </row>
    <row r="4856">
      <c r="A4856" t="n">
        <v>123131</v>
      </c>
      <c r="B4856" t="n">
        <v>938597</v>
      </c>
      <c r="C4856" t="n">
        <v>319292</v>
      </c>
      <c r="D4856" t="n">
        <v>82102</v>
      </c>
      <c r="E4856" s="1" t="n">
        <v>41447</v>
      </c>
      <c r="F4856" t="n">
        <v>5</v>
      </c>
      <c r="G4856" t="inlineStr">
        <is>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is>
      </c>
    </row>
    <row r="4857">
      <c r="A4857" s="7" t="n">
        <v>39688</v>
      </c>
      <c r="B4857" s="7" t="n">
        <v>20924</v>
      </c>
      <c r="C4857" s="7" t="n">
        <v>52125</v>
      </c>
      <c r="D4857" s="7" t="n">
        <v>51468</v>
      </c>
      <c r="E4857" s="8" t="n">
        <v>37747</v>
      </c>
      <c r="F4857" s="7" t="n">
        <v>5</v>
      </c>
      <c r="G4857" s="7" t="inlineStr">
        <is>
          <t>This was Excellent! I added a half a cup of sour cream along with a little relish and celery, even though my DH is also not very fond of celery. I really enjoyed the green olives in it! Thanks Karen</t>
        </is>
      </c>
    </row>
    <row r="4858">
      <c r="A4858" s="7" t="n">
        <v>48490</v>
      </c>
      <c r="B4858" s="7" t="n">
        <v>848146</v>
      </c>
      <c r="C4858" s="7" t="n">
        <v>69838</v>
      </c>
      <c r="D4858" s="7" t="n">
        <v>53507</v>
      </c>
      <c r="E4858" s="8" t="n">
        <v>38079</v>
      </c>
      <c r="F4858" s="7" t="n">
        <v>5</v>
      </c>
      <c r="G4858" s="7" t="inlineStr">
        <is>
          <t>Wow. These are just fabulous.  The instructions are very well written and easy to follow.  The cakes..... my goodness, they are DELICIOUS! Very rich!  I served them with your chocolate sauce, and a few glazed strawberries on the side :) Thanks for this recipe.  Its in the perm. file for sure!!!</t>
        </is>
      </c>
    </row>
    <row r="4859">
      <c r="A4859" s="7" t="n">
        <v>99146</v>
      </c>
      <c r="B4859" s="7" t="n">
        <v>355183</v>
      </c>
      <c r="C4859" s="7" t="n">
        <v>116009</v>
      </c>
      <c r="D4859" s="7" t="n">
        <v>92096</v>
      </c>
      <c r="E4859" s="8" t="n">
        <v>38159</v>
      </c>
      <c r="F4859" s="7" t="n">
        <v>2</v>
      </c>
      <c r="G4859" s="7" t="inlineStr">
        <is>
          <t xml:space="preserve">I had high hopes for this sauce, but unfortunately I was disappointed. I didn't make any changes to the recipe. It's definitely lacking something. </t>
        </is>
      </c>
    </row>
    <row r="4860" ht="90" customHeight="1">
      <c r="A4860" s="7" t="n">
        <v>78865</v>
      </c>
      <c r="B4860" s="7" t="n">
        <v>582284</v>
      </c>
      <c r="C4860" s="7" t="n">
        <v>32058</v>
      </c>
      <c r="D4860" s="7" t="n">
        <v>443579</v>
      </c>
      <c r="E4860" s="8" t="n">
        <v>42108</v>
      </c>
      <c r="F4860" s="7" t="n">
        <v>5</v>
      </c>
      <c r="G4860" s="9" t="inlineStr">
        <is>
          <t>Another winner at our house.
Marinated 18 hrs.</t>
        </is>
      </c>
    </row>
    <row r="4861">
      <c r="A4861" s="7" t="n">
        <v>31680</v>
      </c>
      <c r="B4861" s="7" t="n">
        <v>354337</v>
      </c>
      <c r="C4861" s="7" t="n">
        <v>443633</v>
      </c>
      <c r="D4861" s="7" t="n">
        <v>125127</v>
      </c>
      <c r="E4861" s="8" t="n">
        <v>39969</v>
      </c>
      <c r="F4861" s="7" t="n">
        <v>5</v>
      </c>
      <c r="G4861" s="7" t="inlineStr">
        <is>
          <t>This is an excellent recipe. I will definitely be making it again.</t>
        </is>
      </c>
    </row>
    <row r="4862" ht="409.5" customHeight="1">
      <c r="A4862" s="7" t="n">
        <v>62881</v>
      </c>
      <c r="B4862" s="7" t="n">
        <v>641115</v>
      </c>
      <c r="C4862" s="7" t="n">
        <v>407088</v>
      </c>
      <c r="D4862" s="7" t="n">
        <v>172801</v>
      </c>
      <c r="E4862" s="8" t="n">
        <v>40117</v>
      </c>
      <c r="F4862" s="7" t="n">
        <v>5</v>
      </c>
      <c r="G4862" s="9" t="inlineStr">
        <is>
          <t>This was really easy and I'm very new to making icings/frostings/pastries.  I'm so you posted it!  I made the whole batch and used 1/2 of it on a very small birthday cake for my son.  The other 1/2 is in the refrigerator so that I can put some on some of his cupcakes for his party tomorrow.  He LOVES the taste and my folks did too._x000D_
_x000D_
Thanks so much!</t>
        </is>
      </c>
    </row>
    <row r="4863">
      <c r="A4863" s="7" t="n">
        <v>97195</v>
      </c>
      <c r="B4863" s="7" t="n">
        <v>863146</v>
      </c>
      <c r="C4863" s="7" t="n">
        <v>109466</v>
      </c>
      <c r="D4863" s="7" t="n">
        <v>63790</v>
      </c>
      <c r="E4863" s="8" t="n">
        <v>37927</v>
      </c>
      <c r="F4863" s="7" t="n">
        <v>5</v>
      </c>
      <c r="G4863" s="7" t="inlineStr">
        <is>
          <t>My family loved this and it makes excellent leftovers as well.  A real hit.</t>
        </is>
      </c>
    </row>
    <row r="4864">
      <c r="A4864" s="7" t="n">
        <v>36897</v>
      </c>
      <c r="B4864" s="7" t="n">
        <v>325407</v>
      </c>
      <c r="C4864" s="7" t="n">
        <v>179133</v>
      </c>
      <c r="D4864" s="7" t="n">
        <v>456722</v>
      </c>
      <c r="E4864" s="8" t="n">
        <v>41748</v>
      </c>
      <c r="F4864" s="7" t="n">
        <v>5</v>
      </c>
      <c r="G4864" s="7" t="inlineStr">
        <is>
          <t>Really nice lemonade. I enjoyed the hint of something different from the raisins. I used the full cup of sugar. I also took the easy way out and used bottled lemon juice but it was organic and NOT from concentrate so tasted just like fresh squeezed. Thanks for sharing!</t>
        </is>
      </c>
    </row>
    <row r="4865">
      <c r="A4865" s="7" t="n">
        <v>119470</v>
      </c>
      <c r="B4865" s="7" t="n">
        <v>2858</v>
      </c>
      <c r="C4865" s="7" t="n">
        <v>226863</v>
      </c>
      <c r="D4865" s="7" t="n">
        <v>218898</v>
      </c>
      <c r="E4865" s="8" t="n">
        <v>41161</v>
      </c>
      <c r="F4865" s="7" t="n">
        <v>5</v>
      </c>
      <c r="G4865" s="7" t="inlineStr">
        <is>
          <t>Go ahead and get a washcloth....your gonna need it!  These are sticky and yummy. Very different from the regular wings I make for ball games.  I made half the recipe, and cut the cooking time a bit to try and keep these from burning.  These are delicious as posted, but I do recommend you line your cooking pan with foil (at least for the 2nd half of the cooking) for easier cleanup.  I'm sure we'll enjoy these again....I'd like to try this with drumsticks or thighs.</t>
        </is>
      </c>
    </row>
    <row r="4866">
      <c r="A4866" s="7" t="n">
        <v>50634</v>
      </c>
      <c r="B4866" s="7" t="n">
        <v>104117</v>
      </c>
      <c r="C4866" s="7" t="n">
        <v>58104</v>
      </c>
      <c r="D4866" s="7" t="n">
        <v>282957</v>
      </c>
      <c r="E4866" s="8" t="n">
        <v>40322</v>
      </c>
      <c r="F4866" s="7" t="n">
        <v>4</v>
      </c>
      <c r="G4866" s="7" t="inlineStr">
        <is>
          <t>This is very sweet and intensely fruity. I made it with frozen strawberries and blackberries. I served it in a dessert glass topped with prosecco. I think this would be good as a topping for ice cream. This recipe can easily serve 10. Thanks. Made for ZWT 6</t>
        </is>
      </c>
    </row>
    <row r="4867">
      <c r="A4867" s="7" t="n">
        <v>117509</v>
      </c>
      <c r="B4867" s="7" t="n">
        <v>50812</v>
      </c>
      <c r="C4867" s="7" t="n">
        <v>165623</v>
      </c>
      <c r="D4867" s="7" t="n">
        <v>151959</v>
      </c>
      <c r="E4867" s="8" t="n">
        <v>39450</v>
      </c>
      <c r="F4867" s="7" t="n">
        <v>4</v>
      </c>
      <c r="G4867" s="7" t="inlineStr">
        <is>
          <t>I made the recipe just as stated except I added some parsley for color. I thought they tasted pretty good but I will spice them up a bit next time.</t>
        </is>
      </c>
    </row>
    <row r="4868">
      <c r="A4868" s="7" t="n">
        <v>105220</v>
      </c>
      <c r="B4868" s="7" t="n">
        <v>730159</v>
      </c>
      <c r="C4868" s="7" t="n">
        <v>461834</v>
      </c>
      <c r="D4868" s="7" t="n">
        <v>392342</v>
      </c>
      <c r="E4868" s="8" t="n">
        <v>40133</v>
      </c>
      <c r="F4868" s="7" t="n">
        <v>5</v>
      </c>
      <c r="G4868" s="7" t="inlineStr">
        <is>
          <t>Wonderful recipe for two!!!  I made this for 1 serving today and served it with a tossed salad.  I chose to use the bacon fat and bacon for the meat and it was so flavorful!!  If I hadn't had salad, I probably would have add some carrots and corn to the mix, but great without it!!  Thanks for sharing the recipe.  Made for Stars Tag.</t>
        </is>
      </c>
    </row>
    <row r="4869">
      <c r="A4869" s="7" t="n">
        <v>100790</v>
      </c>
      <c r="B4869" s="7" t="n">
        <v>451017</v>
      </c>
      <c r="C4869" s="7" t="n">
        <v>152995</v>
      </c>
      <c r="D4869" s="7" t="n">
        <v>23264</v>
      </c>
      <c r="E4869" s="8" t="n">
        <v>38987</v>
      </c>
      <c r="F4869" s="7" t="n">
        <v>4</v>
      </c>
      <c r="G4869" s="7" t="inlineStr">
        <is>
          <t>This is really good! I cut the recipe in half and baked it in a 9 x 9 inch square pan. Definitely easy and very yummy! I could have eaten the whole thing myself :). I'll make this again! Thanx, Manda!</t>
        </is>
      </c>
    </row>
    <row r="4870">
      <c r="A4870" s="7" t="n">
        <v>54049</v>
      </c>
      <c r="B4870" s="7" t="n">
        <v>809252</v>
      </c>
      <c r="C4870" s="7" t="n">
        <v>422893</v>
      </c>
      <c r="D4870" s="7" t="n">
        <v>196586</v>
      </c>
      <c r="E4870" s="8" t="n">
        <v>40725</v>
      </c>
      <c r="F4870" s="7" t="n">
        <v>5</v>
      </c>
      <c r="G4870" s="7" t="inlineStr">
        <is>
          <t>These were awesome and a hit with the whole family...only downside..not enough sauce so when I make these again I will be doubling the sauce portion. Thanks for posting!</t>
        </is>
      </c>
    </row>
    <row r="4871">
      <c r="A4871" s="7" t="n">
        <v>30028</v>
      </c>
      <c r="B4871" s="7" t="n">
        <v>756883</v>
      </c>
      <c r="C4871" s="7" t="n">
        <v>2301084</v>
      </c>
      <c r="D4871" s="7" t="n">
        <v>75168</v>
      </c>
      <c r="E4871" s="8" t="n">
        <v>41085</v>
      </c>
      <c r="F4871" s="7" t="n">
        <v>5</v>
      </c>
      <c r="G4871" s="7" t="inlineStr">
        <is>
          <t>I am just making these cookies now.  I made some changes however:  I did not add the chocolate chips, instead I added 1 cup of dried coconut, 1 tablespoon of cinnamon, 1/2 a tablespoon of nutmeg, sugar vanilla (2 packets), I also melted the butter rather than making it soft, used 1/2 a cup of milk, and added about a tablespoon of coffee to the mix.  It all tasted so fantastic.  Good recipe</t>
        </is>
      </c>
    </row>
    <row r="4872">
      <c r="A4872" s="7" t="n">
        <v>70409</v>
      </c>
      <c r="B4872" s="7" t="n">
        <v>917953</v>
      </c>
      <c r="C4872" s="7" t="n">
        <v>2107094</v>
      </c>
      <c r="D4872" s="7" t="n">
        <v>157942</v>
      </c>
      <c r="E4872" s="8" t="n">
        <v>40894</v>
      </c>
      <c r="F4872" s="7" t="n">
        <v>5</v>
      </c>
      <c r="G4872" s="7" t="inlineStr">
        <is>
          <t>This is the best banana bread I've made so far! Moist and fluffy at the same time! My husband and I ate half of it within five minutes, once it came of the oven! I didn't have any baking soda at hand, so I substituted with triple the amount of baking powder and it turned out fine. I also used light brown sugar instead of white. Next time I'm adding walnuts and probably some cinnamon:-)Thanks so much for sharing this recipe!</t>
        </is>
      </c>
    </row>
    <row r="4873">
      <c r="A4873" s="7" t="n">
        <v>28097</v>
      </c>
      <c r="B4873" s="7" t="n">
        <v>970876</v>
      </c>
      <c r="C4873" s="7" t="n">
        <v>411647</v>
      </c>
      <c r="D4873" s="7" t="n">
        <v>53879</v>
      </c>
      <c r="E4873" s="8" t="n">
        <v>39298</v>
      </c>
      <c r="F4873" s="7" t="n">
        <v>5</v>
      </c>
      <c r="G4873" s="7" t="inlineStr">
        <is>
          <t>This was easy and extremely tasty. I made it as is except ommitted the bamboo shoots and I added carrots. Just a good and different flavor for a weekday meal.</t>
        </is>
      </c>
    </row>
    <row r="4874">
      <c r="A4874" s="7" t="n">
        <v>35763</v>
      </c>
      <c r="B4874" s="7" t="n">
        <v>726650</v>
      </c>
      <c r="C4874" s="7" t="n">
        <v>668402</v>
      </c>
      <c r="D4874" s="7" t="n">
        <v>257072</v>
      </c>
      <c r="E4874" s="8" t="n">
        <v>39925</v>
      </c>
      <c r="F4874" s="7" t="n">
        <v>5</v>
      </c>
      <c r="G4874" s="7" t="inlineStr">
        <is>
          <t>I made this for my family in only 1/2 hour, and by the end of the night IT WAS GONE.</t>
        </is>
      </c>
    </row>
    <row r="4875">
      <c r="A4875" s="7" t="n">
        <v>71772</v>
      </c>
      <c r="B4875" s="7" t="n">
        <v>669127</v>
      </c>
      <c r="C4875" s="7" t="n">
        <v>53389</v>
      </c>
      <c r="D4875" s="7" t="n">
        <v>16135</v>
      </c>
      <c r="E4875" s="8" t="n">
        <v>37675</v>
      </c>
      <c r="F4875" s="7" t="n">
        <v>5</v>
      </c>
      <c r="G4875" s="7" t="inlineStr">
        <is>
          <t xml:space="preserve">Easy and delicious recipe.  Perfect for company, as it can be put together ahead of time and baked when they walk in the door.  I did not have fresh basil and substituted dried with no problem.  I used a pizza cutter to cut up tomatoes, and fresh parsey. A real winner!                                                                        </t>
        </is>
      </c>
    </row>
    <row r="4876">
      <c r="A4876" s="7" t="n">
        <v>58487</v>
      </c>
      <c r="B4876" s="7" t="n">
        <v>308623</v>
      </c>
      <c r="C4876" s="7" t="n">
        <v>539543</v>
      </c>
      <c r="D4876" s="7" t="n">
        <v>240550</v>
      </c>
      <c r="E4876" s="8" t="n">
        <v>39280</v>
      </c>
      <c r="F4876" s="7" t="n">
        <v>5</v>
      </c>
      <c r="G4876" s="7" t="inlineStr">
        <is>
          <t>This is also a favorite way for making potatoes.  I like browning the potatoes as much as possible - gives a great flavor.  Love this with Steak from the grill. Awesome!</t>
        </is>
      </c>
    </row>
    <row r="4877">
      <c r="A4877" s="7" t="n">
        <v>49968</v>
      </c>
      <c r="B4877" s="7" t="n">
        <v>176656</v>
      </c>
      <c r="C4877" s="7" t="n">
        <v>2419627</v>
      </c>
      <c r="D4877" s="7" t="n">
        <v>487387</v>
      </c>
      <c r="E4877" s="8" t="n">
        <v>41177</v>
      </c>
      <c r="F4877" s="7" t="n">
        <v>5</v>
      </c>
      <c r="G4877" s="7" t="inlineStr">
        <is>
          <t>Simply Beautiful!  I need to try this before all this wonderful fruit goes out of season.</t>
        </is>
      </c>
    </row>
    <row r="4878">
      <c r="A4878" t="n">
        <v>70180</v>
      </c>
      <c r="B4878" t="n">
        <v>562940</v>
      </c>
      <c r="C4878" t="n">
        <v>304222</v>
      </c>
      <c r="D4878" t="n">
        <v>58242</v>
      </c>
      <c r="E4878" s="1" t="n">
        <v>39200</v>
      </c>
      <c r="F4878" t="n">
        <v>4</v>
      </c>
      <c r="G4878" t="inlineStr">
        <is>
          <t>Yum! I love the flavor in this! Unfortunately, while I was making this I realized we didn't have any brown rice so I had to sub white instead. The sesame seeds in this are outstanding! I used my vitamix dry blade and everything was gound to flour. I added the specified amount of water and microwaved for about 2 minutes--a lot easier but turned out a bit too lumpy. Thanks for this yummy treat!</t>
        </is>
      </c>
    </row>
    <row r="4879">
      <c r="A4879" s="7" t="n">
        <v>117315</v>
      </c>
      <c r="B4879" s="7" t="n">
        <v>385237</v>
      </c>
      <c r="C4879" s="7" t="n">
        <v>1904557</v>
      </c>
      <c r="D4879" s="7" t="n">
        <v>306376</v>
      </c>
      <c r="E4879" s="8" t="n">
        <v>40671</v>
      </c>
      <c r="F4879" s="7" t="n">
        <v>5</v>
      </c>
      <c r="G4879" s="7" t="inlineStr">
        <is>
          <t>Tried this for the first time last night. Came out AWESOME. The only thing different that I did was used a bit of garlic salt and added a bit of cayenne pepper. The pepper made it taste exactly like Chipotle's. I will make this again. I even served it with a Thai-Mexican dip.</t>
        </is>
      </c>
    </row>
    <row r="4880" ht="409.5" customHeight="1">
      <c r="A4880" s="7" t="n">
        <v>43143</v>
      </c>
      <c r="B4880" s="7" t="n">
        <v>950074</v>
      </c>
      <c r="C4880" s="7" t="n">
        <v>153204</v>
      </c>
      <c r="D4880" s="7" t="n">
        <v>210744</v>
      </c>
      <c r="E4880" s="8" t="n">
        <v>40155</v>
      </c>
      <c r="F4880" s="7" t="n">
        <v>5</v>
      </c>
      <c r="G4880" s="9" t="inlineStr">
        <is>
          <t>Made this mix up today and I am very happy with the results. Once again Kittencal, another keeper! Thanks for sharing. (Also added the Cocoa and Paprika as suggested by another member. Perfect touch!)
Yummy chili!</t>
        </is>
      </c>
    </row>
    <row r="4881">
      <c r="A4881" s="7" t="n">
        <v>62222</v>
      </c>
      <c r="B4881" s="7" t="n">
        <v>440826</v>
      </c>
      <c r="C4881" s="7" t="n">
        <v>51011</v>
      </c>
      <c r="D4881" s="7" t="n">
        <v>167585</v>
      </c>
      <c r="E4881" s="8" t="n">
        <v>38929</v>
      </c>
      <c r="F4881" s="7" t="n">
        <v>5</v>
      </c>
      <c r="G4881" s="7" t="inlineStr">
        <is>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is>
      </c>
    </row>
    <row r="4882">
      <c r="A4882" s="7" t="n">
        <v>24162</v>
      </c>
      <c r="B4882" s="7" t="n">
        <v>268576</v>
      </c>
      <c r="C4882" s="7" t="n">
        <v>232669</v>
      </c>
      <c r="D4882" s="7" t="n">
        <v>48462</v>
      </c>
      <c r="E4882" s="8" t="n">
        <v>39160</v>
      </c>
      <c r="F4882" s="7" t="n">
        <v>5</v>
      </c>
      <c r="G4882" s="7" t="inlineStr">
        <is>
          <t>I love this salad and of course it takes me back to way back when . . .</t>
        </is>
      </c>
    </row>
    <row r="4883">
      <c r="A4883" s="7" t="n">
        <v>39934</v>
      </c>
      <c r="B4883" s="7" t="n">
        <v>29435</v>
      </c>
      <c r="C4883" s="7" t="n">
        <v>199198</v>
      </c>
      <c r="D4883" s="7" t="n">
        <v>366632</v>
      </c>
      <c r="E4883" s="8" t="n">
        <v>40223</v>
      </c>
      <c r="F4883" s="7" t="n">
        <v>5</v>
      </c>
      <c r="G4883" s="7" t="inlineStr">
        <is>
          <t>My family and I just loved this cheesecake! I didn't have the packaged graham cracker crust, so I made my own. I melted the chocolate and added it to the cheesecake mixture. Very nice texture...I'll be making this again soon!</t>
        </is>
      </c>
    </row>
    <row r="4884">
      <c r="A4884" s="7" t="n">
        <v>45829</v>
      </c>
      <c r="B4884" s="7" t="n">
        <v>273440</v>
      </c>
      <c r="C4884" s="7" t="n">
        <v>1190532</v>
      </c>
      <c r="D4884" s="7" t="n">
        <v>167202</v>
      </c>
      <c r="E4884" s="8" t="n">
        <v>40093</v>
      </c>
      <c r="F4884" s="7" t="n">
        <v>5</v>
      </c>
      <c r="G4884" s="7" t="inlineStr">
        <is>
          <t>I have just started weight watchers last week.  I was so glad to found this recipe.  This was wonderful cooking a classic in the WW format.  My boyfriend didn't even know it was a WW recipe</t>
        </is>
      </c>
    </row>
    <row r="4885">
      <c r="A4885" s="7" t="n">
        <v>124251</v>
      </c>
      <c r="B4885" s="7" t="n">
        <v>363602</v>
      </c>
      <c r="C4885" s="7" t="n">
        <v>1235459</v>
      </c>
      <c r="D4885" s="7" t="n">
        <v>338146</v>
      </c>
      <c r="E4885" s="8" t="n">
        <v>41188</v>
      </c>
      <c r="F4885" s="7" t="n">
        <v>5</v>
      </c>
      <c r="G4885" s="7" t="inlineStr">
        <is>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is>
      </c>
    </row>
    <row r="4886">
      <c r="A4886" s="7" t="n">
        <v>48320</v>
      </c>
      <c r="B4886" s="7" t="n">
        <v>611981</v>
      </c>
      <c r="C4886" s="7" t="n">
        <v>1172894</v>
      </c>
      <c r="D4886" s="7" t="n">
        <v>238994</v>
      </c>
      <c r="E4886" s="8" t="n">
        <v>40307</v>
      </c>
      <c r="F4886" s="7" t="n">
        <v>5</v>
      </c>
      <c r="G4886" s="7" t="inlineStr">
        <is>
          <t>Great recipe!! First time to ever make crab legs and these could not have been easier and more delicious.  The hubby and I enjoyed them for a wonderful Mothers Day meal.</t>
        </is>
      </c>
    </row>
    <row r="4887">
      <c r="A4887" s="7" t="n">
        <v>1841</v>
      </c>
      <c r="B4887" s="7" t="n">
        <v>219888</v>
      </c>
      <c r="C4887" s="7" t="n">
        <v>738401</v>
      </c>
      <c r="D4887" s="7" t="n">
        <v>182996</v>
      </c>
      <c r="E4887" s="8" t="n">
        <v>40847</v>
      </c>
      <c r="F4887" s="7" t="n">
        <v>5</v>
      </c>
      <c r="G4887" s="7" t="inlineStr">
        <is>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is>
      </c>
    </row>
    <row r="4888">
      <c r="A4888" s="7" t="n">
        <v>55850</v>
      </c>
      <c r="B4888" s="7" t="n">
        <v>539801</v>
      </c>
      <c r="C4888" s="7" t="n">
        <v>330937</v>
      </c>
      <c r="D4888" s="7" t="n">
        <v>215919</v>
      </c>
      <c r="E4888" s="8" t="n">
        <v>39506</v>
      </c>
      <c r="F4888" s="7" t="n">
        <v>3</v>
      </c>
      <c r="G4888" s="7" t="inlineStr">
        <is>
          <t>These were OK, but the onion taste stood out too much for me.  Also, they didn't get crispy in the oven at all.  I even tried cooking them longer and turning up the heat.  I ended up putting a little oil in a frying pan and getting them crispy that way.</t>
        </is>
      </c>
    </row>
    <row r="4889">
      <c r="A4889" s="7" t="n">
        <v>92701</v>
      </c>
      <c r="B4889" s="7" t="n">
        <v>135039</v>
      </c>
      <c r="C4889" s="7" t="n">
        <v>486725</v>
      </c>
      <c r="D4889" s="7" t="n">
        <v>219337</v>
      </c>
      <c r="E4889" s="8" t="n">
        <v>40629</v>
      </c>
      <c r="F4889" s="7" t="n">
        <v>5</v>
      </c>
      <c r="G4889" s="7" t="inlineStr">
        <is>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is>
      </c>
    </row>
    <row r="4890">
      <c r="A4890" s="7" t="n">
        <v>12101</v>
      </c>
      <c r="B4890" s="7" t="n">
        <v>509920</v>
      </c>
      <c r="C4890" s="7" t="n">
        <v>356062</v>
      </c>
      <c r="D4890" s="7" t="n">
        <v>89207</v>
      </c>
      <c r="E4890" s="8" t="n">
        <v>39187</v>
      </c>
      <c r="F4890" s="7" t="n">
        <v>5</v>
      </c>
      <c r="G4890" s="7" t="inlineStr">
        <is>
          <t>Very good recipe, I made this twice so far with great results!</t>
        </is>
      </c>
    </row>
    <row r="4891">
      <c r="A4891" t="n">
        <v>102183</v>
      </c>
      <c r="B4891" t="n">
        <v>745659</v>
      </c>
      <c r="C4891" t="n">
        <v>563782</v>
      </c>
      <c r="D4891" t="n">
        <v>114583</v>
      </c>
      <c r="E4891" s="1" t="n">
        <v>39358</v>
      </c>
      <c r="F4891" t="n">
        <v>5</v>
      </c>
      <c r="G4891" t="inlineStr">
        <is>
          <t>How appropriate that Vincent Price had a recipe for ham--elegant yes-- but still ham. I have been a Vincent Price fan all my life and the recipes are just one more dimension to this man. The recipe is fabulous.At first a little daunting, but worth the effort. I got so many compliments on this recipe.</t>
        </is>
      </c>
    </row>
    <row r="4892">
      <c r="A4892" s="7" t="n">
        <v>109960</v>
      </c>
      <c r="B4892" s="7" t="n">
        <v>574493</v>
      </c>
      <c r="C4892" s="7" t="n">
        <v>77458</v>
      </c>
      <c r="D4892" s="7" t="n">
        <v>140883</v>
      </c>
      <c r="E4892" s="8" t="n">
        <v>40208</v>
      </c>
      <c r="F4892" s="7" t="n">
        <v>5</v>
      </c>
      <c r="G4892" s="7" t="inlineStr">
        <is>
          <t>Really good and refreshing!</t>
        </is>
      </c>
    </row>
    <row r="4893">
      <c r="A4893" s="7" t="n">
        <v>115402</v>
      </c>
      <c r="B4893" s="7" t="n">
        <v>552465</v>
      </c>
      <c r="C4893" s="7" t="n">
        <v>85713</v>
      </c>
      <c r="D4893" s="7" t="n">
        <v>213865</v>
      </c>
      <c r="E4893" s="8" t="n">
        <v>39679</v>
      </c>
      <c r="F4893" s="7" t="n">
        <v>5</v>
      </c>
      <c r="G4893" s="7" t="inlineStr">
        <is>
          <t>I made this today, but made a few adjustments to add a bit more flavor.  I made an herb butter the day before with fresh rosemary, parsley, garlic, and lemon zest, then made small slits in the skin before roasting and incerted the butter between the skin and the meat and all over the outside as well.    Otherwise, I followed everything else to the letter.  The chicken came out with a potato chip crisp skin that was a beautiful golden brown and the flavor and aroma was truly outstanding!  Each bite of the breast meat was a juicy, flavorful marvel, and the dark meat was perfect.  It wasn't hard to find out that this recipe was lifted from Cook's Illustrated Magazine, but regardless of the source, this one is tuly a keeper and I'll most definitely be making this again.</t>
        </is>
      </c>
    </row>
    <row r="4894">
      <c r="A4894" s="7" t="n">
        <v>41427</v>
      </c>
      <c r="B4894" s="7" t="n">
        <v>97611</v>
      </c>
      <c r="C4894" s="7" t="n">
        <v>32323</v>
      </c>
      <c r="D4894" s="7" t="n">
        <v>10975</v>
      </c>
      <c r="E4894" s="8" t="n">
        <v>37466</v>
      </c>
      <c r="F4894" s="7" t="n">
        <v>1</v>
      </c>
      <c r="G4894" s="7" t="inlineStr">
        <is>
          <t>Doubled the lemon juice, doubled the oyster sauce and cut the seasoned salt to 2 TBS. and my kids complained about it being to salty.</t>
        </is>
      </c>
    </row>
    <row r="4895" ht="409.5" customHeight="1">
      <c r="A4895" s="7" t="n">
        <v>29733</v>
      </c>
      <c r="B4895" s="7" t="n">
        <v>148769</v>
      </c>
      <c r="C4895" s="7" t="n">
        <v>29782</v>
      </c>
      <c r="D4895" s="7" t="n">
        <v>69202</v>
      </c>
      <c r="E4895" s="8" t="n">
        <v>38594</v>
      </c>
      <c r="F4895" s="7" t="n">
        <v>5</v>
      </c>
      <c r="G4895" s="9" t="inlineStr">
        <is>
          <t>Wonderful recipe! Its a high 5 in my book!_x000D_
DH and I really loved the flavor of the chicken and I was surpised cause it came very close to tasteing like the dish at Ruby Tuesday's. Thats my favorite when I go there for supper.Now I have the recipe :) _x000D_
I used our favorite BBQ sauce that I get at H&amp;L produce stand from here in town,its a sweet but hot tasteing sauce. It gave this dish the right amount of smokey tasteing flavor along with the bacon. I am so  excited cause this will be maded many of times. I am even thinking on grilling next time. Thanks for sharing this wonderful recipe  Dib's!</t>
        </is>
      </c>
    </row>
    <row r="4896">
      <c r="A4896" t="n">
        <v>70813</v>
      </c>
      <c r="B4896" t="n">
        <v>214430</v>
      </c>
      <c r="C4896" t="n">
        <v>173579</v>
      </c>
      <c r="D4896" t="n">
        <v>145067</v>
      </c>
      <c r="E4896" s="1" t="n">
        <v>40194</v>
      </c>
      <c r="F4896" t="n">
        <v>5</v>
      </c>
      <c r="G4896" t="inlineStr">
        <is>
          <t>This is a very nice honey mustard dressing.  Will use this a lot I'm sure.  Thanks for posting this lovely recipe.</t>
        </is>
      </c>
    </row>
    <row r="4897">
      <c r="A4897" s="7" t="n">
        <v>60240</v>
      </c>
      <c r="B4897" s="7" t="n">
        <v>699848</v>
      </c>
      <c r="C4897" s="7" t="n">
        <v>1109280</v>
      </c>
      <c r="D4897" s="7" t="n">
        <v>207877</v>
      </c>
      <c r="E4897" s="8" t="n">
        <v>39834</v>
      </c>
      <c r="F4897" s="7" t="n">
        <v>2</v>
      </c>
      <c r="G4897" s="7" t="inlineStr">
        <is>
          <t>My DH liked it but that was all.  My picky eaters didn't and it wasn't one I would make again.  I cut the baking time (of each section) in half and the chicken was not over cooked.  One hour would way over cook chicken strips in my oven at 400 (cut the recipe to feed 4 could be why).</t>
        </is>
      </c>
    </row>
    <row r="4898">
      <c r="A4898" s="7" t="n">
        <v>33448</v>
      </c>
      <c r="B4898" s="7" t="n">
        <v>715469</v>
      </c>
      <c r="C4898" s="7" t="n">
        <v>421511</v>
      </c>
      <c r="D4898" s="7" t="n">
        <v>11141</v>
      </c>
      <c r="E4898" s="8" t="n">
        <v>39216</v>
      </c>
      <c r="F4898" s="7" t="n">
        <v>4</v>
      </c>
      <c r="G4898" s="7" t="inlineStr">
        <is>
          <t>Excellent base for a basic spaghetti sauce.  I did make a few changes, I only used half the amount of tomato paste(all i had on hand) and added celery salt instead of regular salt, a pinch of fresh ground nutmeg and allspice.  I also used ground turkey instead of beef.  Delicious.</t>
        </is>
      </c>
    </row>
    <row r="4899">
      <c r="A4899" s="7" t="n">
        <v>125594</v>
      </c>
      <c r="B4899" s="7" t="n">
        <v>168661</v>
      </c>
      <c r="C4899" s="7" t="n">
        <v>663997</v>
      </c>
      <c r="D4899" s="7" t="n">
        <v>353522</v>
      </c>
      <c r="E4899" s="8" t="n">
        <v>40273</v>
      </c>
      <c r="F4899" s="7" t="n">
        <v>5</v>
      </c>
      <c r="G4899" s="7" t="inlineStr">
        <is>
          <t>Wonderful recipe.  I made a cornstarch pudding.  I used a white cake.  My guests loved it.  Thanks, ;)</t>
        </is>
      </c>
    </row>
    <row r="4900">
      <c r="A4900" s="7" t="n">
        <v>24570</v>
      </c>
      <c r="B4900" s="7" t="n">
        <v>222746</v>
      </c>
      <c r="C4900" s="7" t="n">
        <v>6357</v>
      </c>
      <c r="D4900" s="7" t="n">
        <v>49197</v>
      </c>
      <c r="E4900" s="8" t="n">
        <v>37610</v>
      </c>
      <c r="F4900" s="7" t="n">
        <v>3</v>
      </c>
      <c r="G4900" s="7" t="inlineStr">
        <is>
          <t>I had this as an after-dinner drink tonight. It was ok; I didn't really enjoy it all that much and I had to be honest with you. Sorry...</t>
        </is>
      </c>
    </row>
    <row r="4901">
      <c r="A4901" s="7" t="n">
        <v>91191</v>
      </c>
      <c r="B4901" s="7" t="n">
        <v>701688</v>
      </c>
      <c r="C4901" s="7" t="n">
        <v>222970</v>
      </c>
      <c r="D4901" s="7" t="n">
        <v>218735</v>
      </c>
      <c r="E4901" s="8" t="n">
        <v>39830</v>
      </c>
      <c r="F4901" s="7" t="n">
        <v>5</v>
      </c>
      <c r="G4901" s="7" t="inlineStr">
        <is>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is>
      </c>
    </row>
    <row r="4902">
      <c r="A4902" s="7" t="n">
        <v>112815</v>
      </c>
      <c r="B4902" s="7" t="n">
        <v>887406</v>
      </c>
      <c r="C4902" s="7" t="n">
        <v>178017</v>
      </c>
      <c r="D4902" s="7" t="n">
        <v>186563</v>
      </c>
      <c r="E4902" s="8" t="n">
        <v>39680</v>
      </c>
      <c r="F4902" s="7" t="n">
        <v>5</v>
      </c>
      <c r="G4902" s="7" t="inlineStr">
        <is>
          <t>I bought some portabella mushroom and came to find a recipe to use them.  I made a few tweaks.  I used chicken reduced-sodium loose bouillon to make the broth, and again instead of the veg seasoning. I used a butter-flavored cooking spray to lighten it up.  I added more garlic (can't help it, garlic is a favorite here), and fat free sour cream.    I had to add a half cup of water with the flour because it had cooked dry, but it worked just fine.    The BEST part of this whole thing is that only 2 Points if you are on Weight Watchers!  I served it over whole-grain rotini and it was delicious.  Thanks for a great recipe!</t>
        </is>
      </c>
    </row>
    <row r="4903">
      <c r="A4903" s="7" t="n">
        <v>110924</v>
      </c>
      <c r="B4903" s="7" t="n">
        <v>536571</v>
      </c>
      <c r="C4903" s="7" t="n">
        <v>321999</v>
      </c>
      <c r="D4903" s="7" t="n">
        <v>216575</v>
      </c>
      <c r="E4903" s="8" t="n">
        <v>39757</v>
      </c>
      <c r="F4903" s="7" t="n">
        <v>5</v>
      </c>
      <c r="G4903" s="7" t="inlineStr">
        <is>
          <t>I really liked this dish.  It has a mild flavor that goes well with dishes you just want a little more than white rice with.</t>
        </is>
      </c>
    </row>
    <row r="4904">
      <c r="A4904" s="7" t="n">
        <v>63251</v>
      </c>
      <c r="B4904" s="7" t="n">
        <v>307495</v>
      </c>
      <c r="C4904" s="7" t="n">
        <v>55729</v>
      </c>
      <c r="D4904" s="7" t="n">
        <v>93439</v>
      </c>
      <c r="E4904" s="8" t="n">
        <v>40286</v>
      </c>
      <c r="F4904" s="7" t="n">
        <v>4</v>
      </c>
      <c r="G4904" s="7" t="inlineStr">
        <is>
          <t>I do, indeed, usually have all of these ingredients in the house. I threw it together at the last minute for some steaks that my husband was grilling. There is a little bit of a "kick" to this seasoning, but not overwhelming.</t>
        </is>
      </c>
    </row>
    <row r="4905">
      <c r="A4905" s="7" t="n">
        <v>25252</v>
      </c>
      <c r="B4905" s="7" t="n">
        <v>605381</v>
      </c>
      <c r="C4905" s="7" t="n">
        <v>186487</v>
      </c>
      <c r="D4905" s="7" t="n">
        <v>41503</v>
      </c>
      <c r="E4905" s="8" t="n">
        <v>38764</v>
      </c>
      <c r="F4905" s="7" t="n">
        <v>4</v>
      </c>
      <c r="G4905" s="7" t="inlineStr">
        <is>
          <t>Like other reviewers, I didn't find this as tender as the restaurant stuff, but it puffed up nicely (could have stuffed it like pita bread!) and it tasted great too.  Next time I will add some of the flavorings folks have recommended in their reviews, and maybe I'll brush it with butter afterwards. Thanks for posting!</t>
        </is>
      </c>
    </row>
    <row r="4906">
      <c r="A4906" s="7" t="n">
        <v>60388</v>
      </c>
      <c r="B4906" s="7" t="n">
        <v>510476</v>
      </c>
      <c r="C4906" s="7" t="n">
        <v>2002195040</v>
      </c>
      <c r="D4906" s="7" t="n">
        <v>89207</v>
      </c>
      <c r="E4906" s="8" t="n">
        <v>43274</v>
      </c>
      <c r="F4906" s="7" t="n">
        <v>5</v>
      </c>
      <c r="G4906" s="7" t="inlineStr">
        <is>
          <t>Excellent icing I used a whisk instead of sifting and I used 2 % milk At the end just to the consistency you want!! I made it a lot easier and didn’t screw it up! THANK YOU! Yummy...</t>
        </is>
      </c>
    </row>
    <row r="4907">
      <c r="A4907" s="7" t="n">
        <v>102120</v>
      </c>
      <c r="B4907" s="7" t="n">
        <v>349097</v>
      </c>
      <c r="C4907" s="7" t="n">
        <v>2001077728</v>
      </c>
      <c r="D4907" s="7" t="n">
        <v>50719</v>
      </c>
      <c r="E4907" s="8" t="n">
        <v>42598</v>
      </c>
      <c r="F4907" s="7" t="n">
        <v>5</v>
      </c>
      <c r="G4907" s="7" t="inlineStr">
        <is>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is>
      </c>
    </row>
    <row r="4908">
      <c r="A4908" s="7" t="n">
        <v>121434</v>
      </c>
      <c r="B4908" s="7" t="n">
        <v>296979</v>
      </c>
      <c r="C4908" s="7" t="n">
        <v>753419</v>
      </c>
      <c r="D4908" s="7" t="n">
        <v>50385</v>
      </c>
      <c r="E4908" s="8" t="n">
        <v>39488</v>
      </c>
      <c r="F4908" s="7" t="n">
        <v>5</v>
      </c>
      <c r="G4908" s="7" t="inlineStr">
        <is>
          <t>Love Love Love it, although i subbed 1/2 and 1/2 for the heavy cream and double the sauce.  I also pounded the chicken thin and coated it with a mixture of garlic powder,black pepper and salt then fried it and sliced it. I stuck the chicken into a warm oven while i prepared the sauce in the same pan, using the pan juices from the seasoned chicken.  it added an extra depth of flavor IMHO! AND I only had to dirty one pan!  I also subbed fettucine for the angel hair pasta its what we had on hand! Its a regular on our rotation! Thank you!</t>
        </is>
      </c>
    </row>
    <row r="4909">
      <c r="A4909" s="7" t="n">
        <v>49039</v>
      </c>
      <c r="B4909" s="7" t="n">
        <v>987949</v>
      </c>
      <c r="C4909" s="7" t="n">
        <v>840768</v>
      </c>
      <c r="D4909" s="7" t="n">
        <v>43397</v>
      </c>
      <c r="E4909" s="8" t="n">
        <v>39799</v>
      </c>
      <c r="F4909" s="7" t="n">
        <v>5</v>
      </c>
      <c r="G4909" s="7" t="inlineStr">
        <is>
          <t>Nice variation to pasta salad.  I agree on cutting the mayo mixture.  Way to goopy for us so I added more pasta and doubled the tomato/onion/pepper portions. Once we did that we really enjoyed the salad.</t>
        </is>
      </c>
    </row>
    <row r="4910">
      <c r="A4910" s="7" t="n">
        <v>15907</v>
      </c>
      <c r="B4910" s="7" t="n">
        <v>19127</v>
      </c>
      <c r="C4910" s="7" t="n">
        <v>175559</v>
      </c>
      <c r="D4910" s="7" t="n">
        <v>12515</v>
      </c>
      <c r="E4910" s="8" t="n">
        <v>38326</v>
      </c>
      <c r="F4910" s="7" t="n">
        <v>4</v>
      </c>
      <c r="G4910" s="7" t="inlineStr">
        <is>
          <t>this soup was good, followed advise of adding evaporated milk and creamed corn. i did however stir 1/2 cup of cheddar cheese into finished soup it was very good I am going to make this for a up coming party as a first course thank you</t>
        </is>
      </c>
    </row>
    <row r="4911">
      <c r="A4911" s="7" t="n">
        <v>76078</v>
      </c>
      <c r="B4911" s="7" t="n">
        <v>985000</v>
      </c>
      <c r="C4911" s="7" t="n">
        <v>285039</v>
      </c>
      <c r="D4911" s="7" t="n">
        <v>314487</v>
      </c>
      <c r="E4911" s="8" t="n">
        <v>39873</v>
      </c>
      <c r="F4911" s="7" t="n">
        <v>5</v>
      </c>
      <c r="G4911" s="7" t="inlineStr">
        <is>
          <t>This was a nice variation on pork.  My DH who normally does not care for "orange" sauces tells me he really enjoyed it.  I did deviate from the recipe in 2 ways.  I used pork chops seasoned with the spices listed, and then grilled them until done.  I prepared the sauce on the stove-top and then served all the components disassembled at the table (to make it kid friendly).  DH and I layered white rice, grilled chop and topped with sauce...yummo!</t>
        </is>
      </c>
    </row>
    <row r="4912">
      <c r="A4912" s="7" t="n">
        <v>75623</v>
      </c>
      <c r="B4912" s="7" t="n">
        <v>54702</v>
      </c>
      <c r="C4912" s="7" t="n">
        <v>160832</v>
      </c>
      <c r="D4912" s="7" t="n">
        <v>52035</v>
      </c>
      <c r="E4912" s="8" t="n">
        <v>39434</v>
      </c>
      <c r="F4912" s="7" t="n">
        <v>5</v>
      </c>
      <c r="G4912" s="7" t="inlineStr">
        <is>
          <t>DELICIOUSS. Everyone always asks me for the recipe (;</t>
        </is>
      </c>
    </row>
    <row r="4913">
      <c r="A4913" s="7" t="n">
        <v>18154</v>
      </c>
      <c r="B4913" s="7" t="n">
        <v>616127</v>
      </c>
      <c r="C4913" s="7" t="n">
        <v>350921</v>
      </c>
      <c r="D4913" s="7" t="n">
        <v>496088</v>
      </c>
      <c r="E4913" s="8" t="n">
        <v>41480</v>
      </c>
      <c r="F4913" s="7" t="n">
        <v>5</v>
      </c>
      <c r="G4913" s="7" t="inlineStr">
        <is>
          <t>Very good even without the olives.  Will definitely make again.</t>
        </is>
      </c>
    </row>
    <row r="4914">
      <c r="A4914" s="7" t="n">
        <v>86418</v>
      </c>
      <c r="B4914" s="7" t="n">
        <v>1008308</v>
      </c>
      <c r="C4914" s="7" t="n">
        <v>504131</v>
      </c>
      <c r="D4914" s="7" t="n">
        <v>56366</v>
      </c>
      <c r="E4914" s="8" t="n">
        <v>40147</v>
      </c>
      <c r="F4914" s="7" t="n">
        <v>4</v>
      </c>
      <c r="G4914" s="7" t="inlineStr">
        <is>
          <t>very good recipe for a crowd when doubled.  It fed 4 couples last night.  Made it almost according to directions;  used bell pepper instead of celery because I had it on hand.  Everyone loved it. Cozy comfort food on a cold night.</t>
        </is>
      </c>
    </row>
    <row r="4915" ht="405" customHeight="1">
      <c r="A4915" s="7" t="n">
        <v>16884</v>
      </c>
      <c r="B4915" s="7" t="n">
        <v>732023</v>
      </c>
      <c r="C4915" s="7" t="n">
        <v>64780</v>
      </c>
      <c r="D4915" s="7" t="n">
        <v>51235</v>
      </c>
      <c r="E4915" s="8" t="n">
        <v>40021</v>
      </c>
      <c r="F4915" s="7" t="n">
        <v>5</v>
      </c>
      <c r="G4915" s="9" t="inlineStr">
        <is>
          <t>Fantastico!!!! If at all possible, use freshly ground pepper. I_x000D_
 usually use more basil. This has become my signature salad. I can make a meal out of this for myself!  Thanks for posting!!! Alan</t>
        </is>
      </c>
    </row>
    <row r="4916" ht="75" customHeight="1">
      <c r="A4916" s="7" t="n">
        <v>105059</v>
      </c>
      <c r="B4916" s="7" t="n">
        <v>610628</v>
      </c>
      <c r="C4916" s="7" t="n">
        <v>116915</v>
      </c>
      <c r="D4916" s="7" t="n">
        <v>109058</v>
      </c>
      <c r="E4916" s="8" t="n">
        <v>40179</v>
      </c>
      <c r="F4916" s="7" t="n">
        <v>5</v>
      </c>
      <c r="G4916" s="9" t="inlineStr">
        <is>
          <t>Great Honny-Pinapple Glazed!!!_x000D_
Thanks!</t>
        </is>
      </c>
    </row>
    <row r="4917">
      <c r="A4917" s="7" t="n">
        <v>15434</v>
      </c>
      <c r="B4917" s="7" t="n">
        <v>862303</v>
      </c>
      <c r="C4917" s="7" t="n">
        <v>237951</v>
      </c>
      <c r="D4917" s="7" t="n">
        <v>36806</v>
      </c>
      <c r="E4917" s="8" t="n">
        <v>40026</v>
      </c>
      <c r="F4917" s="7" t="n">
        <v>5</v>
      </c>
      <c r="G4917" s="7" t="inlineStr">
        <is>
          <t>This is the only pound cake I use now; the family loves it!  Thought I had reviewed it already.  This replaced my great-aunt's recipe that was previously our favorite.  Mine never tasted as good as hers anyway, but this is even better.  Thanks for posting.</t>
        </is>
      </c>
    </row>
    <row r="4918" ht="315" customHeight="1">
      <c r="A4918" s="7" t="n">
        <v>56627</v>
      </c>
      <c r="B4918" s="7" t="n">
        <v>256678</v>
      </c>
      <c r="C4918" s="7" t="n">
        <v>42720</v>
      </c>
      <c r="D4918" s="7" t="n">
        <v>26205</v>
      </c>
      <c r="E4918" s="8" t="n">
        <v>37806</v>
      </c>
      <c r="F4918" s="7" t="n">
        <v>5</v>
      </c>
      <c r="G4918" s="9" t="inlineStr">
        <is>
          <t xml:space="preserve">Excellent pie crust!  I had to make it using my hand mixer, but it worked just fine.  I used this crust for apple pie.  It was tender, flakey &amp; delicious._x000D_
</t>
        </is>
      </c>
    </row>
    <row r="4919">
      <c r="A4919" s="7" t="n">
        <v>43027</v>
      </c>
      <c r="B4919" s="7" t="n">
        <v>356042</v>
      </c>
      <c r="C4919" s="7" t="n">
        <v>2456420</v>
      </c>
      <c r="D4919" s="7" t="n">
        <v>26039</v>
      </c>
      <c r="E4919" s="8" t="n">
        <v>41200</v>
      </c>
      <c r="F4919" s="7" t="n">
        <v>0</v>
      </c>
      <c r="G4919" s="7" t="inlineStr">
        <is>
          <t>I have not yet tried to make this recipe, but there's something about the real Papa John's garlic sauce I thought should be addressed.  Before you use the sauce, you have to shake it.  This is because, if you open a cup without mixing it, you'll notice that the sauce actually *separates*.  This is an indication that Papa John's uses, in addition to butter or margarine, some type of liquid oil, such as vegetable or canola oil, although I have no way of discerning exactly what kind.  I just thought this issue should be brought up, as it would *seem* to imply that there is an ingredient missing from this particular recipe.&lt;br/&gt;&lt;br/&gt;On a related but somewhat different topic, a tip that many people may find quite useful: While I enjoy Papa John's garlic sauce for dipping their crust in, I rarely get pizza from there.  I use their garlic sauce for a completely different purpose: hamburger condiment.  Papa John's garlic sauce is absolutely *perfect* for hamburgers, and I use it in my own special homemade sauce, which consists of ketchup, mustard, Papa John's garlic sauce, Taco Bell taco sauce, and cayenne pepper (4 cups ketchup, 1 cup each for other three, 1 tablespoon cayenne pepper).  I highly recommend the garlic sauce for any hamburger gourmets.</t>
        </is>
      </c>
    </row>
    <row r="4920">
      <c r="A4920" s="7" t="n">
        <v>69490</v>
      </c>
      <c r="B4920" s="7" t="n">
        <v>696011</v>
      </c>
      <c r="C4920" s="7" t="n">
        <v>28087</v>
      </c>
      <c r="D4920" s="7" t="n">
        <v>160213</v>
      </c>
      <c r="E4920" s="8" t="n">
        <v>39699</v>
      </c>
      <c r="F4920" s="7" t="n">
        <v>5</v>
      </c>
      <c r="G4920" s="7" t="inlineStr">
        <is>
          <t>Excellent dish!!! Wonderful flavor!!! I used only 2 tbs of sesame oil. This goes in my Asian cookbook as a keeper. Thanks</t>
        </is>
      </c>
    </row>
    <row r="4921">
      <c r="A4921" s="7" t="n">
        <v>50273</v>
      </c>
      <c r="B4921" s="7" t="n">
        <v>254251</v>
      </c>
      <c r="C4921" s="7" t="n">
        <v>135470</v>
      </c>
      <c r="D4921" s="7" t="n">
        <v>223182</v>
      </c>
      <c r="E4921" s="8" t="n">
        <v>39264</v>
      </c>
      <c r="F4921" s="7" t="n">
        <v>4</v>
      </c>
      <c r="G4921" s="7" t="inlineStr">
        <is>
          <t>This is lovely light pasta sauce, with lots of flavor. I used 1 cup each of cream and 1/2 &amp; 1/2, skipped the arugula and used chopped tomatoes. My son and I had portions for lunch with shrimp and broccoli, I'm using the rest for a potluck, with finely chopped red pepper, tomatoes and fresh  grated parmesian added, I'll be serving it cool. The zing of the lemon is really good, I served this with Recipe #159392 and a nice glass of Reisling.</t>
        </is>
      </c>
    </row>
    <row r="4922">
      <c r="A4922" s="7" t="n">
        <v>20437</v>
      </c>
      <c r="B4922" s="7" t="n">
        <v>575765</v>
      </c>
      <c r="C4922" s="7" t="n">
        <v>482549</v>
      </c>
      <c r="D4922" s="7" t="n">
        <v>15242</v>
      </c>
      <c r="E4922" s="8" t="n">
        <v>39184</v>
      </c>
      <c r="F4922" s="7" t="n">
        <v>4</v>
      </c>
      <c r="G4922" s="7" t="inlineStr">
        <is>
          <t>We had this with our Easter ham and the family LOVED it!  I left out the margarine and used half the called for sour cream.  Everyone went back for seconds.  Great recipe!</t>
        </is>
      </c>
    </row>
    <row r="4923">
      <c r="A4923" s="7" t="n">
        <v>23015</v>
      </c>
      <c r="B4923" s="7" t="n">
        <v>764303</v>
      </c>
      <c r="C4923" s="7" t="n">
        <v>163986</v>
      </c>
      <c r="D4923" s="7" t="n">
        <v>188927</v>
      </c>
      <c r="E4923" s="8" t="n">
        <v>39071</v>
      </c>
      <c r="F4923" s="7" t="n">
        <v>5</v>
      </c>
      <c r="G4923" s="7" t="inlineStr">
        <is>
          <t>Thanks Gerry for this great recipe.  It is wonderful.  I added a full one-half cup of candied cherries to this and it was sooooo pretty.  Otherwise, I followed directions.  The only thing is I couldn't wait to taste it, so I did not refrigerate it before slicing, but cut a piece while it was semi-warm and put butter on it.  Oh, wow!  Will make this again.</t>
        </is>
      </c>
    </row>
    <row r="4924">
      <c r="A4924" s="7" t="n">
        <v>60313</v>
      </c>
      <c r="B4924" s="7" t="n">
        <v>873642</v>
      </c>
      <c r="C4924" s="7" t="n">
        <v>668205</v>
      </c>
      <c r="D4924" s="7" t="n">
        <v>77188</v>
      </c>
      <c r="E4924" s="8" t="n">
        <v>39507</v>
      </c>
      <c r="F4924" s="7" t="n">
        <v>5</v>
      </c>
      <c r="G4924" s="7" t="inlineStr">
        <is>
          <t>This was delicious and easy to prepare. I used canned tomatoes, and served it over basmati rice. I plan on making this often in the future!</t>
        </is>
      </c>
    </row>
    <row r="4925">
      <c r="A4925" s="7" t="n">
        <v>116581</v>
      </c>
      <c r="B4925" s="7" t="n">
        <v>898580</v>
      </c>
      <c r="C4925" s="7" t="n">
        <v>383346</v>
      </c>
      <c r="D4925" s="7" t="n">
        <v>424044</v>
      </c>
      <c r="E4925" s="8" t="n">
        <v>41234</v>
      </c>
      <c r="F4925" s="7" t="n">
        <v>5</v>
      </c>
      <c r="G4925" s="7" t="inlineStr">
        <is>
          <t>Me and my son loved this salmon because of the sweetness of the honey.  DH liked it just a bit less than us.  Because of the honey.  But if it can please 2 people, that's winner.  Thanks English Rose :)  Made for Cookbook tag game</t>
        </is>
      </c>
    </row>
    <row r="4926">
      <c r="A4926" s="7" t="n">
        <v>82107</v>
      </c>
      <c r="B4926" s="7" t="n">
        <v>543906</v>
      </c>
      <c r="C4926" s="7" t="n">
        <v>142335</v>
      </c>
      <c r="D4926" s="7" t="n">
        <v>217990</v>
      </c>
      <c r="E4926" s="8" t="n">
        <v>40066</v>
      </c>
      <c r="F4926" s="7" t="n">
        <v>5</v>
      </c>
      <c r="G4926" s="7" t="inlineStr">
        <is>
          <t>Delicious!!! I dusted my chicken with flour, s&amp;p, then pan fried it. The pesto was heavenly. I did have to add a little chicken broth to get my blender going. My sauce was thinner but still a winner. I froze the left over sauce for a later date. Perfect quick and tasty meal for a weekday. It's in my rotation. Funny enough that my picture looks exactly like the one posted. I think we even served the same rice!!! Will post soon.</t>
        </is>
      </c>
    </row>
    <row r="4927">
      <c r="A4927" s="7" t="n">
        <v>116924</v>
      </c>
      <c r="B4927" s="7" t="n">
        <v>656909</v>
      </c>
      <c r="C4927" s="7" t="n">
        <v>591314</v>
      </c>
      <c r="D4927" s="7" t="n">
        <v>27208</v>
      </c>
      <c r="E4927" s="8" t="n">
        <v>39885</v>
      </c>
      <c r="F4927" s="7" t="n">
        <v>2</v>
      </c>
      <c r="G4927" s="7" t="inlineStr">
        <is>
          <t>Way to salty for us, even with reducing the packets.  I guess I will have to make my own mixes and try it that way!</t>
        </is>
      </c>
    </row>
    <row r="4928">
      <c r="A4928" s="7" t="n">
        <v>78955</v>
      </c>
      <c r="B4928" s="7" t="n">
        <v>123422</v>
      </c>
      <c r="C4928" s="7" t="n">
        <v>1169833</v>
      </c>
      <c r="D4928" s="7" t="n">
        <v>418037</v>
      </c>
      <c r="E4928" s="8" t="n">
        <v>40266</v>
      </c>
      <c r="F4928" s="7" t="n">
        <v>5</v>
      </c>
      <c r="G4928" s="7" t="inlineStr">
        <is>
          <t>Excellent recipe. I peeled, cubed and STEAMED the sweet potatoes before mashing them.  I used splenda instead of the white sugar and brown sugar splenda (decreased it to 1/4 cup) for the brown sugar. These were wonderful, everyone of my guests wanted seconds.</t>
        </is>
      </c>
    </row>
    <row r="4929">
      <c r="A4929" s="7" t="n">
        <v>807</v>
      </c>
      <c r="B4929" s="7" t="n">
        <v>93027</v>
      </c>
      <c r="C4929" s="7" t="n">
        <v>74288</v>
      </c>
      <c r="D4929" s="7" t="n">
        <v>43941</v>
      </c>
      <c r="E4929" s="8" t="n">
        <v>37693</v>
      </c>
      <c r="F4929" s="7" t="n">
        <v>3</v>
      </c>
      <c r="G4929" s="7" t="inlineStr">
        <is>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is>
      </c>
    </row>
    <row r="4930">
      <c r="A4930" s="7" t="n">
        <v>83959</v>
      </c>
      <c r="B4930" s="7" t="n">
        <v>253343</v>
      </c>
      <c r="C4930" s="7" t="n">
        <v>1211187</v>
      </c>
      <c r="D4930" s="7" t="n">
        <v>102617</v>
      </c>
      <c r="E4930" s="8" t="n">
        <v>40115</v>
      </c>
      <c r="F4930" s="7" t="n">
        <v>5</v>
      </c>
      <c r="G4930" s="7" t="inlineStr">
        <is>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is>
      </c>
    </row>
    <row r="4931">
      <c r="A4931" s="7" t="n">
        <v>96566</v>
      </c>
      <c r="B4931" s="7" t="n">
        <v>59546</v>
      </c>
      <c r="C4931" s="7" t="n">
        <v>47510</v>
      </c>
      <c r="D4931" s="7" t="n">
        <v>95817</v>
      </c>
      <c r="E4931" s="8" t="n">
        <v>38620</v>
      </c>
      <c r="F4931" s="7" t="n">
        <v>5</v>
      </c>
      <c r="G4931" s="7" t="inlineStr">
        <is>
          <t>Oh my, ellie, this was good!  I love the combination of the blackberries and apples together.  Instead of topping with whipped cream, I served this with vanilla ice cream.  It was a perfect ending to our meal.  Thanks bunches for sharing the recipe!</t>
        </is>
      </c>
    </row>
    <row r="4932">
      <c r="A4932" s="7" t="n">
        <v>11622</v>
      </c>
      <c r="B4932" s="7" t="n">
        <v>145671</v>
      </c>
      <c r="C4932" s="7" t="n">
        <v>2002133261</v>
      </c>
      <c r="D4932" s="7" t="n">
        <v>192220</v>
      </c>
      <c r="E4932" s="8" t="n">
        <v>43218</v>
      </c>
      <c r="F4932" s="7" t="n">
        <v>5</v>
      </c>
      <c r="G4932" s="7" t="inlineStr">
        <is>
          <t>I use duck fat and a ton of pepper - I now make two batches a week, one for my husband and one for my daughter. Fan favorite.</t>
        </is>
      </c>
    </row>
    <row r="4933">
      <c r="A4933" s="7" t="n">
        <v>64391</v>
      </c>
      <c r="B4933" s="7" t="n">
        <v>1102760</v>
      </c>
      <c r="C4933" s="7" t="n">
        <v>2001935230</v>
      </c>
      <c r="D4933" s="7" t="n">
        <v>234344</v>
      </c>
      <c r="E4933" s="8" t="n">
        <v>43116</v>
      </c>
      <c r="F4933" s="7" t="n">
        <v>5</v>
      </c>
      <c r="G4933" s="7" t="inlineStr">
        <is>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is>
      </c>
    </row>
    <row r="4934">
      <c r="A4934" s="7" t="n">
        <v>53460</v>
      </c>
      <c r="B4934" s="7" t="n">
        <v>680165</v>
      </c>
      <c r="C4934" s="7" t="n">
        <v>1802669894</v>
      </c>
      <c r="D4934" s="7" t="n">
        <v>93426</v>
      </c>
      <c r="E4934" s="8" t="n">
        <v>41744</v>
      </c>
      <c r="F4934" s="7" t="n">
        <v>5</v>
      </c>
      <c r="G4934" s="7" t="inlineStr">
        <is>
          <t>This tastes wonderful! I modified it slightly to using 2 bananas (that was all I had at home), replaced the sugar with bakeable Stevia (a zero calorie natural sweetener) and used 1 cup whole wheat flour with 1/2 cup all purpose flour. The bread had a great texture and the blueberries definitely spiced things up!</t>
        </is>
      </c>
    </row>
    <row r="4935">
      <c r="A4935" s="7" t="n">
        <v>76786</v>
      </c>
      <c r="B4935" s="7" t="n">
        <v>417705</v>
      </c>
      <c r="C4935" s="7" t="n">
        <v>921878</v>
      </c>
      <c r="D4935" s="7" t="n">
        <v>442476</v>
      </c>
      <c r="E4935" s="8" t="n">
        <v>41214</v>
      </c>
      <c r="F4935" s="7" t="n">
        <v>5</v>
      </c>
      <c r="G4935" s="7" t="inlineStr">
        <is>
          <t>Absolutely loved this recipe, will continue to make year round!  This goes on my favorite recipe list.  PAC Fall '12</t>
        </is>
      </c>
    </row>
    <row r="4936">
      <c r="A4936" s="7" t="n">
        <v>25312</v>
      </c>
      <c r="B4936" s="7" t="n">
        <v>1001283</v>
      </c>
      <c r="C4936" s="7" t="n">
        <v>166642</v>
      </c>
      <c r="D4936" s="7" t="n">
        <v>320398</v>
      </c>
      <c r="E4936" s="8" t="n">
        <v>39718</v>
      </c>
      <c r="F4936" s="7" t="n">
        <v>5</v>
      </c>
      <c r="G4936" s="7" t="inlineStr">
        <is>
          <t>Excellent chimichangas! I made mine with chicken and they were delicious. My family loved them. I loved that they are baked. Thanks for posting. Made for Pick A Chef Fall 2008.</t>
        </is>
      </c>
    </row>
    <row r="4937">
      <c r="A4937" s="7" t="n">
        <v>63002</v>
      </c>
      <c r="B4937" s="7" t="n">
        <v>877645</v>
      </c>
      <c r="C4937" s="7" t="n">
        <v>461834</v>
      </c>
      <c r="D4937" s="7" t="n">
        <v>257358</v>
      </c>
      <c r="E4937" s="8" t="n">
        <v>39514</v>
      </c>
      <c r="F4937" s="7" t="n">
        <v>4</v>
      </c>
      <c r="G4937" s="7" t="inlineStr">
        <is>
          <t>This is just so yummy!!!!  Great treat for the morning on an occasion!!!!!  I did double the amount of coffee but left the amounts for the chocolate syrup and butterscotch(I used the chips) the same, as it was too sweet for me the other way.   Thanks Mandy for a wonderful morning treat!!!!</t>
        </is>
      </c>
    </row>
    <row r="4938">
      <c r="A4938" s="7" t="n">
        <v>15509</v>
      </c>
      <c r="B4938" s="7" t="n">
        <v>341077</v>
      </c>
      <c r="C4938" s="7" t="n">
        <v>440735</v>
      </c>
      <c r="D4938" s="7" t="n">
        <v>491020</v>
      </c>
      <c r="E4938" s="8" t="n">
        <v>41512</v>
      </c>
      <c r="F4938" s="7" t="n">
        <v>5</v>
      </c>
      <c r="G4938" s="7" t="inlineStr">
        <is>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is>
      </c>
    </row>
    <row r="4939">
      <c r="A4939" s="7" t="n">
        <v>33005</v>
      </c>
      <c r="B4939" s="7" t="n">
        <v>72115</v>
      </c>
      <c r="C4939" s="7" t="n">
        <v>121581</v>
      </c>
      <c r="D4939" s="7" t="n">
        <v>11420</v>
      </c>
      <c r="E4939" s="8" t="n">
        <v>38418</v>
      </c>
      <c r="F4939" s="7" t="n">
        <v>5</v>
      </c>
      <c r="G4939" s="7" t="inlineStr">
        <is>
          <t>Everyone thought this was a wonderful cornbread.  It was easy to make, moist, and flakey.  For the flour, I used 1 cup whole wheat and 1 1/2 cups white flour.  I also cut the salt in half.  When I told the family how I had made it and asked for adjustments for next time, they said, "Don't change it!"</t>
        </is>
      </c>
    </row>
    <row r="4940" ht="409.5" customHeight="1">
      <c r="A4940" s="7" t="n">
        <v>80565</v>
      </c>
      <c r="B4940" s="7" t="n">
        <v>277337</v>
      </c>
      <c r="C4940" s="7" t="n">
        <v>59064</v>
      </c>
      <c r="D4940" s="7" t="n">
        <v>52580</v>
      </c>
      <c r="E4940" s="8" t="n">
        <v>37703</v>
      </c>
      <c r="F4940" s="7" t="n">
        <v>5</v>
      </c>
      <c r="G4940" s="9" t="inlineStr">
        <is>
          <t>This is the kind of recipe I really enjoy. Great food propared in a simple but stunning way._x000D_
Lebanese eggplants [the long skinny ones] work well for this recipe and have the advantage of not needing the salting routine. Fresh basil makes the recipe for me as well.</t>
        </is>
      </c>
    </row>
    <row r="4941">
      <c r="A4941" s="7" t="n">
        <v>82088</v>
      </c>
      <c r="B4941" s="7" t="n">
        <v>1085969</v>
      </c>
      <c r="C4941" s="7" t="n">
        <v>272187</v>
      </c>
      <c r="D4941" s="7" t="n">
        <v>95569</v>
      </c>
      <c r="E4941" s="8" t="n">
        <v>38999</v>
      </c>
      <c r="F4941" s="7" t="n">
        <v>5</v>
      </c>
      <c r="G4941" s="7" t="inlineStr">
        <is>
          <t>One more delightful way to use the poor chicken. I've stopped using beef and pork but have a source for kocher chicken and we use it a lot. Thannks for this yummy one. I make my own BBQ sauce so I know what's in it but thanks for the idea .</t>
        </is>
      </c>
    </row>
    <row r="4942">
      <c r="A4942" s="7" t="n">
        <v>61401</v>
      </c>
      <c r="B4942" s="7" t="n">
        <v>618416</v>
      </c>
      <c r="C4942" s="7" t="n">
        <v>47892</v>
      </c>
      <c r="D4942" s="7" t="n">
        <v>75577</v>
      </c>
      <c r="E4942" s="8" t="n">
        <v>38622</v>
      </c>
      <c r="F4942" s="7" t="n">
        <v>5</v>
      </c>
      <c r="G4942" s="7" t="inlineStr">
        <is>
          <t>hank you!! No shortening in the recipe list of ingredients really caught my eye as did the use of wheat flour, etc. Didn't have oat bran on hand so I whirled a small amount of old fashioned oats in a coffee mill. Very happy with the results from this mix. I, family members and friends greatly appreciate you posting this recipe. cg ;)</t>
        </is>
      </c>
    </row>
    <row r="4943">
      <c r="A4943" s="7" t="n">
        <v>81</v>
      </c>
      <c r="B4943" s="7" t="n">
        <v>158776</v>
      </c>
      <c r="C4943" s="7" t="n">
        <v>68321</v>
      </c>
      <c r="D4943" s="7" t="n">
        <v>8701</v>
      </c>
      <c r="E4943" s="8" t="n">
        <v>42246</v>
      </c>
      <c r="F4943" s="7" t="n">
        <v>5</v>
      </c>
      <c r="G4943" s="7" t="inlineStr">
        <is>
          <t>A family favorite!  I suggest low and slow cooking. Just delicious!</t>
        </is>
      </c>
    </row>
    <row r="4944">
      <c r="A4944" s="7" t="n">
        <v>50428</v>
      </c>
      <c r="B4944" s="7" t="n">
        <v>700262</v>
      </c>
      <c r="C4944" s="7" t="n">
        <v>226863</v>
      </c>
      <c r="D4944" s="7" t="n">
        <v>423165</v>
      </c>
      <c r="E4944" s="8" t="n">
        <v>40586</v>
      </c>
      <c r="F4944" s="7" t="n">
        <v>5</v>
      </c>
      <c r="G4944" s="7" t="inlineStr">
        <is>
          <t>A fizzy cape cod!  I've never heard of cranberry soda, so used cranberry juice and a bit of ginger ale, since I had some on hand.  Probably changed the taste of the drink, but found it delicious this way.  Where do you find cranberry soda???  Made for Football Tag.</t>
        </is>
      </c>
    </row>
    <row r="4945">
      <c r="A4945" s="7" t="n">
        <v>44806</v>
      </c>
      <c r="B4945" s="7" t="n">
        <v>1049214</v>
      </c>
      <c r="C4945" s="7" t="n">
        <v>137743</v>
      </c>
      <c r="D4945" s="7" t="n">
        <v>102274</v>
      </c>
      <c r="E4945" s="8" t="n">
        <v>40315</v>
      </c>
      <c r="F4945" s="7" t="n">
        <v>5</v>
      </c>
      <c r="G4945" s="7" t="inlineStr">
        <is>
          <t>We really liked this!!  It's a great, filling soup.  Thanks.</t>
        </is>
      </c>
    </row>
    <row r="4946">
      <c r="A4946" s="7" t="n">
        <v>80114</v>
      </c>
      <c r="B4946" s="7" t="n">
        <v>623637</v>
      </c>
      <c r="C4946" s="7" t="n">
        <v>173579</v>
      </c>
      <c r="D4946" s="7" t="n">
        <v>17588</v>
      </c>
      <c r="E4946" s="8" t="n">
        <v>38728</v>
      </c>
      <c r="F4946" s="7" t="n">
        <v>5</v>
      </c>
      <c r="G4946" s="7" t="inlineStr">
        <is>
          <t>We like this cake very much. I have made it for several years now.  Very nice chocolate cake to make.  Thanks for posting.</t>
        </is>
      </c>
    </row>
    <row r="4947">
      <c r="A4947" s="7" t="n">
        <v>39316</v>
      </c>
      <c r="B4947" s="7" t="n">
        <v>687509</v>
      </c>
      <c r="C4947" s="7" t="n">
        <v>104295</v>
      </c>
      <c r="D4947" s="7" t="n">
        <v>98761</v>
      </c>
      <c r="E4947" s="8" t="n">
        <v>38299</v>
      </c>
      <c r="F4947" s="7" t="n">
        <v>5</v>
      </c>
      <c r="G4947" s="7" t="inlineStr">
        <is>
          <t>These were excellent. I made the batter and let it sit over an hour while I worked on other parts of the dinner. Then I added the corn and onions and cooked them on a griddle. Very nice accompaniment and we agreed that these would be great with chili.</t>
        </is>
      </c>
    </row>
    <row r="4948">
      <c r="A4948" s="7" t="n">
        <v>49239</v>
      </c>
      <c r="B4948" s="7" t="n">
        <v>277566</v>
      </c>
      <c r="C4948" s="7" t="n">
        <v>1681312</v>
      </c>
      <c r="D4948" s="7" t="n">
        <v>140038</v>
      </c>
      <c r="E4948" s="8" t="n">
        <v>41355</v>
      </c>
      <c r="F4948" s="7" t="n">
        <v>5</v>
      </c>
      <c r="G4948" s="7" t="inlineStr">
        <is>
          <t>These were tender, moist and bursting with flavor.  It really elevated the ground turkey to a whole new level.  My whole family enjoyed these, including my 2 and 3 year old sons.  I baked them at 350 for 25 minutes like another reviewer did and they turned out perfectly as well.  I then added them to my marinara sauce and cooked for a couple more minutes.  DELICIOUS!</t>
        </is>
      </c>
    </row>
    <row r="4949">
      <c r="A4949" s="7" t="n">
        <v>89718</v>
      </c>
      <c r="B4949" s="7" t="n">
        <v>260061</v>
      </c>
      <c r="C4949" s="7" t="n">
        <v>1776027</v>
      </c>
      <c r="D4949" s="7" t="n">
        <v>24871</v>
      </c>
      <c r="E4949" s="8" t="n">
        <v>40538</v>
      </c>
      <c r="F4949" s="7" t="n">
        <v>0</v>
      </c>
      <c r="G4949" s="7" t="inlineStr">
        <is>
          <t>Simple and delicious. I've had great success time and again. I did however preheat the oven before I popped them in there.</t>
        </is>
      </c>
    </row>
    <row r="4950">
      <c r="A4950" s="7" t="n">
        <v>13695</v>
      </c>
      <c r="B4950" s="7" t="n">
        <v>977169</v>
      </c>
      <c r="C4950" s="7" t="n">
        <v>28201</v>
      </c>
      <c r="D4950" s="7" t="n">
        <v>46796</v>
      </c>
      <c r="E4950" s="8" t="n">
        <v>37586</v>
      </c>
      <c r="F4950" s="7" t="n">
        <v>5</v>
      </c>
      <c r="G4950" s="7" t="inlineStr">
        <is>
          <t>The end result looks very elaborate and you would think it's labor intensive, when in fact, it's very easy!  I had to stop and think what the heck a "croquette" looked like!  Mine looked more like crab cakes, but the taste was fantastic!  The sauce was so creamy and complimented the chicken nicely!  Thanks Sharon, I'll make this one again!</t>
        </is>
      </c>
    </row>
    <row r="4951">
      <c r="A4951" s="7" t="n">
        <v>62108</v>
      </c>
      <c r="B4951" s="7" t="n">
        <v>66192</v>
      </c>
      <c r="C4951" s="7" t="n">
        <v>169969</v>
      </c>
      <c r="D4951" s="7" t="n">
        <v>138440</v>
      </c>
      <c r="E4951" s="8" t="n">
        <v>38761</v>
      </c>
      <c r="F4951" s="7" t="n">
        <v>5</v>
      </c>
      <c r="G4951" s="7" t="inlineStr">
        <is>
          <t>This reminded me of picnic food that other people bring and I wonder how they came up with the idea. Very comforting! i halved the recipe and it came out fine... halved the molasses and went for full heat with the peppers! Thanks Kitten!</t>
        </is>
      </c>
    </row>
    <row r="4952">
      <c r="A4952" s="7" t="n">
        <v>94029</v>
      </c>
      <c r="B4952" s="7" t="n">
        <v>1076357</v>
      </c>
      <c r="C4952" s="7" t="n">
        <v>131126</v>
      </c>
      <c r="D4952" s="7" t="n">
        <v>87837</v>
      </c>
      <c r="E4952" s="8" t="n">
        <v>40237</v>
      </c>
      <c r="F4952" s="7" t="n">
        <v>5</v>
      </c>
      <c r="G4952" s="7" t="inlineStr">
        <is>
          <t>This was nicely zesty and stored well.  I did add a teaspoon of wasabi powder &amp; used whole cashews in the first batch. The second I used dry roasted peanuts.   Thanks for sharing the recipe!</t>
        </is>
      </c>
    </row>
    <row r="4953">
      <c r="A4953" s="7" t="n">
        <v>23559</v>
      </c>
      <c r="B4953" s="7" t="n">
        <v>238280</v>
      </c>
      <c r="C4953" s="7" t="n">
        <v>606648</v>
      </c>
      <c r="D4953" s="7" t="n">
        <v>248076</v>
      </c>
      <c r="E4953" s="8" t="n">
        <v>39362</v>
      </c>
      <c r="F4953" s="7" t="n">
        <v>4</v>
      </c>
      <c r="G4953" s="7" t="inlineStr">
        <is>
          <t>Okay, so I havn't tried it yet but it sounds good... and I love it; 1 teaspoon Essence of Emeril... thats cute!</t>
        </is>
      </c>
    </row>
    <row r="4954" ht="409.5" customHeight="1">
      <c r="A4954" s="7" t="n">
        <v>101379</v>
      </c>
      <c r="B4954" s="7" t="n">
        <v>306104</v>
      </c>
      <c r="C4954" s="7" t="n">
        <v>1298433</v>
      </c>
      <c r="D4954" s="7" t="n">
        <v>344316</v>
      </c>
      <c r="E4954" s="8" t="n">
        <v>40284</v>
      </c>
      <c r="F4954" s="7" t="n">
        <v>5</v>
      </c>
      <c r="G4954" s="9" t="inlineStr">
        <is>
          <t>That a simple sauce can be so good!I made it several times allready,served it over fried eggs,with fish taco's and grilled chicken.The only thing I did do is peel the tomatoes._x000D_
Thanks for sharing,I will make this sauce or salsa often.</t>
        </is>
      </c>
    </row>
    <row r="4955">
      <c r="A4955" s="7" t="n">
        <v>27984</v>
      </c>
      <c r="B4955" s="7" t="n">
        <v>839040</v>
      </c>
      <c r="C4955" s="7" t="n">
        <v>643263</v>
      </c>
      <c r="D4955" s="7" t="n">
        <v>220088</v>
      </c>
      <c r="E4955" s="8" t="n">
        <v>39733</v>
      </c>
      <c r="F4955" s="7" t="n">
        <v>5</v>
      </c>
      <c r="G4955" s="7" t="inlineStr">
        <is>
          <t>Very good recipe!  We could not find fresh coconut so we substituted dried unsweetened coconut flakes.  It was a little sweeter than the kind we had in Tahiti.  Next time we will reduce sugar to 1 cup.</t>
        </is>
      </c>
    </row>
    <row r="4956">
      <c r="A4956" s="7" t="n">
        <v>96646</v>
      </c>
      <c r="B4956" s="7" t="n">
        <v>414564</v>
      </c>
      <c r="C4956" s="7" t="n">
        <v>166642</v>
      </c>
      <c r="D4956" s="7" t="n">
        <v>324032</v>
      </c>
      <c r="E4956" s="8" t="n">
        <v>40191</v>
      </c>
      <c r="F4956" s="7" t="n">
        <v>5</v>
      </c>
      <c r="G4956" s="7" t="inlineStr">
        <is>
          <t>This is delicious salsa! Very simple to make and I love all the ingredients. It's not your usual salsa but it is certainly delicious! Thanks for sharing.</t>
        </is>
      </c>
    </row>
    <row r="4957">
      <c r="A4957" s="7" t="n">
        <v>103711</v>
      </c>
      <c r="B4957" s="7" t="n">
        <v>336854</v>
      </c>
      <c r="C4957" s="7" t="n">
        <v>336058</v>
      </c>
      <c r="D4957" s="7" t="n">
        <v>183126</v>
      </c>
      <c r="E4957" s="8" t="n">
        <v>39458</v>
      </c>
      <c r="F4957" s="7" t="n">
        <v>4</v>
      </c>
      <c r="G4957" s="7" t="inlineStr">
        <is>
          <t>This is pumpkin, toned down a bit and sweetened, with the added benefit of healthy yogurt.  I made this for a late night snack and it was perfect.  I will probably use the leftover pumpkin to make pumpkin muffins tomorrow.</t>
        </is>
      </c>
    </row>
    <row r="4958">
      <c r="A4958" s="7" t="n">
        <v>49794</v>
      </c>
      <c r="B4958" s="7" t="n">
        <v>1132205</v>
      </c>
      <c r="C4958" s="7" t="n">
        <v>1269180</v>
      </c>
      <c r="D4958" s="7" t="n">
        <v>157534</v>
      </c>
      <c r="E4958" s="8" t="n">
        <v>41762</v>
      </c>
      <c r="F4958" s="7" t="n">
        <v>5</v>
      </c>
      <c r="G4958" s="7" t="inlineStr">
        <is>
          <t>Amazing! Ended up with 3 adult and 2 toddler serves (as hinted in other comments) but no complaints. Used lite thickened cream, no such thing as half and half, so probably naughtier than original recipe but fussy hubby loved this! I think we&amp;#039;ve found a new pasta go-to dish!</t>
        </is>
      </c>
    </row>
    <row r="4959">
      <c r="A4959" s="7" t="n">
        <v>124846</v>
      </c>
      <c r="B4959" s="7" t="n">
        <v>588929</v>
      </c>
      <c r="C4959" s="7" t="n">
        <v>172114</v>
      </c>
      <c r="D4959" s="7" t="n">
        <v>17865</v>
      </c>
      <c r="E4959" s="8" t="n">
        <v>39952</v>
      </c>
      <c r="F4959" s="7" t="n">
        <v>5</v>
      </c>
      <c r="G4959" s="7" t="inlineStr">
        <is>
          <t>These were such a hit!  And not just with the kids - the adults were fascinated and kept asking me how I got the cake into the ice cream cones!  I didn't have sprinkles, so I put miniature marshmallows on top, and that worked too.  Great recipe - thanks!</t>
        </is>
      </c>
    </row>
    <row r="4960">
      <c r="A4960" s="7" t="n">
        <v>33413</v>
      </c>
      <c r="B4960" s="7" t="n">
        <v>134794</v>
      </c>
      <c r="C4960" s="7" t="n">
        <v>159243</v>
      </c>
      <c r="D4960" s="7" t="n">
        <v>98846</v>
      </c>
      <c r="E4960" s="8" t="n">
        <v>38509</v>
      </c>
      <c r="F4960" s="7" t="n">
        <v>5</v>
      </c>
      <c r="G4960" s="7" t="inlineStr">
        <is>
          <t>This is an excellent lowfat, quick and delicious recipe!  It is as good as any chicken parm I've had before and has become a family favorite.  Thanks CountryLady!</t>
        </is>
      </c>
    </row>
    <row r="4961">
      <c r="A4961" s="7" t="n">
        <v>53450</v>
      </c>
      <c r="B4961" s="7" t="n">
        <v>616182</v>
      </c>
      <c r="C4961" s="7" t="n">
        <v>69260</v>
      </c>
      <c r="D4961" s="7" t="n">
        <v>299977</v>
      </c>
      <c r="E4961" s="8" t="n">
        <v>39566</v>
      </c>
      <c r="F4961" s="7" t="n">
        <v>5</v>
      </c>
      <c r="G4961" s="7" t="inlineStr">
        <is>
          <t>This was a huge staple for my family til the DixyLilly yellow rice company went out of business. We really miss that brand of yellow rice. We always used whole bone-in chicken breasts and used the broth from boiling the chicken for the liquid in the rice. Comfort food. Must be a southern thing, my husband's grandma from FL fixed it for him.</t>
        </is>
      </c>
    </row>
    <row r="4962">
      <c r="A4962" s="7" t="n">
        <v>82904</v>
      </c>
      <c r="B4962" s="7" t="n">
        <v>910102</v>
      </c>
      <c r="C4962" s="7" t="n">
        <v>163441</v>
      </c>
      <c r="D4962" s="7" t="n">
        <v>147494</v>
      </c>
      <c r="E4962" s="8" t="n">
        <v>39107</v>
      </c>
      <c r="F4962" s="7" t="n">
        <v>4</v>
      </c>
      <c r="G4962" s="7" t="inlineStr">
        <is>
          <t>This was quite good.  The kids especially enjoyed the chicken, although for some reason, it turned out really dry.  The sauce was wonderful - rich and creamy.  We served it over egg noodles.  Thanks for a good comfort dinner.</t>
        </is>
      </c>
    </row>
    <row r="4963">
      <c r="A4963" s="7" t="n">
        <v>123832</v>
      </c>
      <c r="B4963" s="7" t="n">
        <v>747690</v>
      </c>
      <c r="C4963" s="7" t="n">
        <v>491970</v>
      </c>
      <c r="D4963" s="7" t="n">
        <v>49200</v>
      </c>
      <c r="E4963" s="8" t="n">
        <v>39387</v>
      </c>
      <c r="F4963" s="7" t="n">
        <v>4</v>
      </c>
      <c r="G4963" s="7" t="inlineStr">
        <is>
          <t>Just what we were looking for - thanks!</t>
        </is>
      </c>
    </row>
    <row r="4964">
      <c r="A4964" s="7" t="n">
        <v>9833</v>
      </c>
      <c r="B4964" s="7" t="n">
        <v>124045</v>
      </c>
      <c r="C4964" s="7" t="n">
        <v>621626</v>
      </c>
      <c r="D4964" s="7" t="n">
        <v>355413</v>
      </c>
      <c r="E4964" s="8" t="n">
        <v>40009</v>
      </c>
      <c r="F4964" s="7" t="n">
        <v>5</v>
      </c>
      <c r="G4964" s="7" t="inlineStr">
        <is>
          <t>Absolutely Delicious! I didn't have a lot of time before dinner so I cooked it on high for 2 hours. Made for 123 HITS</t>
        </is>
      </c>
    </row>
    <row r="4965">
      <c r="A4965" s="7" t="n">
        <v>79215</v>
      </c>
      <c r="B4965" s="7" t="n">
        <v>966170</v>
      </c>
      <c r="C4965" s="7" t="n">
        <v>142335</v>
      </c>
      <c r="D4965" s="7" t="n">
        <v>82770</v>
      </c>
      <c r="E4965" s="8" t="n">
        <v>39764</v>
      </c>
      <c r="F4965" s="7" t="n">
        <v>5</v>
      </c>
      <c r="G4965" s="7" t="inlineStr">
        <is>
          <t>Yum! I use Italian seasoning a lot and I was finally out of my store bought container...I've been waiting to make my own so I whipped this up. It's just what I was looking for! I combined all the ingred. and vigorously shook the container, no grinder necessary for me. I used this to rub the beer can chicken I was grilling. It came out fantastic! I also sprinkled some on garlic bread, delicious. This is now my Italian seasoning mix too. Thanks Chia!</t>
        </is>
      </c>
    </row>
    <row r="4966">
      <c r="A4966" s="7" t="n">
        <v>23671</v>
      </c>
      <c r="B4966" s="7" t="n">
        <v>810364</v>
      </c>
      <c r="C4966" s="7" t="n">
        <v>1556500</v>
      </c>
      <c r="D4966" s="7" t="n">
        <v>78897</v>
      </c>
      <c r="E4966" s="8" t="n">
        <v>40637</v>
      </c>
      <c r="F4966" s="7" t="n">
        <v>5</v>
      </c>
      <c r="G4966" s="7" t="inlineStr">
        <is>
          <t>Thanks, Fluffy! This delicious dish is soooo good and easy to make. I like to use spicy taco seasoning, as it is a delicious contrast to the sweet corn bread. Also, I like to put extra green onions on top. Mmmmmm.</t>
        </is>
      </c>
    </row>
    <row r="4967">
      <c r="A4967" s="7" t="n">
        <v>8707</v>
      </c>
      <c r="B4967" s="7" t="n">
        <v>985077</v>
      </c>
      <c r="C4967" s="7" t="n">
        <v>318235</v>
      </c>
      <c r="D4967" s="7" t="n">
        <v>103243</v>
      </c>
      <c r="E4967" s="8" t="n">
        <v>40274</v>
      </c>
      <c r="F4967" s="7" t="n">
        <v>4</v>
      </c>
      <c r="G4967" s="7" t="inlineStr">
        <is>
          <t>This was very good. I never did get the sauce to thicken up as stated in the recipe but the taste was still great. Served with Recipe #154029 and Recipe #45005. Thank you!</t>
        </is>
      </c>
    </row>
    <row r="4968">
      <c r="A4968" s="7" t="n">
        <v>81350</v>
      </c>
      <c r="B4968" s="7" t="n">
        <v>16572</v>
      </c>
      <c r="C4968" s="7" t="n">
        <v>2110968</v>
      </c>
      <c r="D4968" s="7" t="n">
        <v>301754</v>
      </c>
      <c r="E4968" s="8" t="n">
        <v>40899</v>
      </c>
      <c r="F4968" s="7" t="n">
        <v>0</v>
      </c>
      <c r="G4968" s="7" t="inlineStr">
        <is>
          <t>Everyone loved it. I thought it looked too thin until I used the immersion blender. Once the potatoes were blended it was perfect. Will use less salt last time. I also put crumbled turkey bacon into the crock pot to enhance the bacon flavor for my bacon-loving kids.</t>
        </is>
      </c>
    </row>
    <row r="4969">
      <c r="A4969" s="7" t="n">
        <v>126652</v>
      </c>
      <c r="B4969" s="7" t="n">
        <v>513338</v>
      </c>
      <c r="C4969" s="7" t="n">
        <v>1609940</v>
      </c>
      <c r="D4969" s="7" t="n">
        <v>422945</v>
      </c>
      <c r="E4969" s="8" t="n">
        <v>40302</v>
      </c>
      <c r="F4969" s="7" t="n">
        <v>5</v>
      </c>
      <c r="G4969" s="7" t="inlineStr">
        <is>
          <t>My wife just made this the other night and it was dead on!  We put on a Hendrix album, per the title, maybe that had something to do with it.  LOL!  Seriously, we were in Thailand a few years ago and this is on par with the original dishes. Great recipe!</t>
        </is>
      </c>
    </row>
    <row r="4970" ht="409.5" customHeight="1">
      <c r="A4970" s="7" t="n">
        <v>11723</v>
      </c>
      <c r="B4970" s="7" t="n">
        <v>261081</v>
      </c>
      <c r="C4970" s="7" t="n">
        <v>58104</v>
      </c>
      <c r="D4970" s="7" t="n">
        <v>83356</v>
      </c>
      <c r="E4970" s="8" t="n">
        <v>38035</v>
      </c>
      <c r="F4970" s="7" t="n">
        <v>4</v>
      </c>
      <c r="G4970" s="9" t="inlineStr">
        <is>
          <t>The sweet and savoury combination works great! But there are a couple of problems with the recipe. First adding  carrots, capsicum, and spices then _x000D_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is>
      </c>
    </row>
    <row r="4971">
      <c r="A4971" s="7" t="n">
        <v>49246</v>
      </c>
      <c r="B4971" s="7" t="n">
        <v>702410</v>
      </c>
      <c r="C4971" s="7" t="n">
        <v>31883</v>
      </c>
      <c r="D4971" s="7" t="n">
        <v>20171</v>
      </c>
      <c r="E4971" s="8" t="n">
        <v>37324</v>
      </c>
      <c r="F4971" s="7" t="n">
        <v>4</v>
      </c>
      <c r="G4971" s="7" t="inlineStr">
        <is>
          <t>Very good. Easy to make.</t>
        </is>
      </c>
    </row>
    <row r="4972">
      <c r="A4972" s="7" t="n">
        <v>3771</v>
      </c>
      <c r="B4972" s="7" t="n">
        <v>809195</v>
      </c>
      <c r="C4972" s="7" t="n">
        <v>705251</v>
      </c>
      <c r="D4972" s="7" t="n">
        <v>196586</v>
      </c>
      <c r="E4972" s="8" t="n">
        <v>39834</v>
      </c>
      <c r="F4972" s="7" t="n">
        <v>5</v>
      </c>
      <c r="G4972" s="7" t="inlineStr">
        <is>
          <t>Teresa this is a great handy recipe to have on file for those nights when you don't want the standard hamburger!  I loved how the "beefies" kept their shape and their moisture due to the oatmeal.  After reading the other reviews I was cautious with the sauce and I'm glad I did as the kids and I enjoyed the sauce with less chili powder and worcestershire sauce but DH loved the extra zing!  What is so nice is that the sauce can be adjusted to accomodate any tastebuds which makes it very versatile.  I'm not going to punish a recipe b/c some of us like more and some less.  I did half of the recipe to feed the 4 of us and I still have patties leftover for lunch tomorrow.  This is just a great go-to meal when time is short and the pantry is getting low!  Tagged in 123 Hit Wonders!</t>
        </is>
      </c>
    </row>
    <row r="4973">
      <c r="A4973" s="7" t="n">
        <v>97997</v>
      </c>
      <c r="B4973" s="7" t="n">
        <v>944695</v>
      </c>
      <c r="C4973" s="7" t="n">
        <v>1620171</v>
      </c>
      <c r="D4973" s="7" t="n">
        <v>272283</v>
      </c>
      <c r="E4973" s="8" t="n">
        <v>41344</v>
      </c>
      <c r="F4973" s="7" t="n">
        <v>5</v>
      </c>
      <c r="G4973" s="7" t="inlineStr">
        <is>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is>
      </c>
    </row>
    <row r="4974">
      <c r="A4974" s="7" t="n">
        <v>1616</v>
      </c>
      <c r="B4974" s="7" t="n">
        <v>1094645</v>
      </c>
      <c r="C4974" s="7" t="n">
        <v>311003</v>
      </c>
      <c r="D4974" s="7" t="n">
        <v>314834</v>
      </c>
      <c r="E4974" s="8" t="n">
        <v>40075</v>
      </c>
      <c r="F4974" s="7" t="n">
        <v>5</v>
      </c>
      <c r="G4974" s="7" t="inlineStr">
        <is>
          <t>We absolutely loved this soup!! It is so full of flavor and easy to make.  The meatballs did take a little bit of time to form, but I didn't mind -- it's one of those repetitive tasks that lets you talk with someone or think about other things while doing it.  I'd never cooked meatballs in water before, and they came out perfectly done; not mushy and not dry.  I added a little more breadcrumbs and a dash of onion powder to the meatballs, but besides that followed the recipe exactly as written.  The taste of asparagus really permeated this soup -- I think using the liquid from the canned asparagus really added to the taste.  I also used light cream as suggested.  All in all, this is a wonderful-tasting soup that I'll definitely serve again!!</t>
        </is>
      </c>
    </row>
    <row r="4975">
      <c r="A4975" s="7" t="n">
        <v>5654</v>
      </c>
      <c r="B4975" s="7" t="n">
        <v>347710</v>
      </c>
      <c r="C4975" s="7" t="n">
        <v>2001471626</v>
      </c>
      <c r="D4975" s="7" t="n">
        <v>116181</v>
      </c>
      <c r="E4975" s="8" t="n">
        <v>42829</v>
      </c>
      <c r="F4975" s="7" t="n">
        <v>0</v>
      </c>
      <c r="G4975" s="7" t="inlineStr">
        <is>
          <t>Dehydrated onions are only used on the Big Mac. It's fresh onions for the burgers.</t>
        </is>
      </c>
    </row>
    <row r="4976" ht="405" customHeight="1">
      <c r="A4976" s="7" t="n">
        <v>110539</v>
      </c>
      <c r="B4976" s="7" t="n">
        <v>1026581</v>
      </c>
      <c r="C4976" s="7" t="n">
        <v>59144</v>
      </c>
      <c r="D4976" s="7" t="n">
        <v>77353</v>
      </c>
      <c r="E4976" s="8" t="n">
        <v>38658</v>
      </c>
      <c r="F4976" s="7" t="n">
        <v>5</v>
      </c>
      <c r="G4976" s="9" t="inlineStr">
        <is>
          <t>One word..._x000D_
Awesome, I added a drop of Maple extract and I made a Maple Glaze and drizzed it over them. They are to die for. Thanks again Mean Chef for another great keeper!!!</t>
        </is>
      </c>
    </row>
    <row r="4977">
      <c r="A4977" s="7" t="n">
        <v>57306</v>
      </c>
      <c r="B4977" s="7" t="n">
        <v>1087789</v>
      </c>
      <c r="C4977" s="7" t="n">
        <v>2000503002</v>
      </c>
      <c r="D4977" s="7" t="n">
        <v>110936</v>
      </c>
      <c r="E4977" s="8" t="n">
        <v>42275</v>
      </c>
      <c r="F4977" s="7" t="n">
        <v>4</v>
      </c>
      <c r="G4977" s="7" t="inlineStr">
        <is>
          <t>I had to read the reviews to see if you really meant to use raw garlic!?! It did and it was quite yummy! I used preserved lemon as it provided salt and lemon at the same time and it did. Still needed some lemon juice though. I&amp;#039;ll try it again as directed soon!</t>
        </is>
      </c>
    </row>
    <row r="4978">
      <c r="A4978" s="7" t="n">
        <v>1515</v>
      </c>
      <c r="B4978" s="7" t="n">
        <v>760451</v>
      </c>
      <c r="C4978" s="7" t="n">
        <v>147027</v>
      </c>
      <c r="D4978" s="7" t="n">
        <v>143876</v>
      </c>
      <c r="E4978" s="8" t="n">
        <v>38673</v>
      </c>
      <c r="F4978" s="7" t="n">
        <v>5</v>
      </c>
      <c r="G4978" s="7" t="inlineStr">
        <is>
          <t>Really great couscous, what wonderful flavours! I must confess to messing with the basic recipe a bit though - for the two of us I used 3/4 cup couscous and water and only 2 tablespoons olive oil. I threw the chickpeas and spring onions into the mix when I added the water and served this warm with the feta and almonds tossed through. I'm really looking forwards to leftovers for lunch, thanks for another great recipe kittencal!</t>
        </is>
      </c>
    </row>
    <row r="4979">
      <c r="A4979" s="7" t="n">
        <v>52734</v>
      </c>
      <c r="B4979" s="7" t="n">
        <v>379113</v>
      </c>
      <c r="C4979" s="7" t="n">
        <v>72597</v>
      </c>
      <c r="D4979" s="7" t="n">
        <v>26059</v>
      </c>
      <c r="E4979" s="8" t="n">
        <v>38035</v>
      </c>
      <c r="F4979" s="7" t="n">
        <v>4</v>
      </c>
      <c r="G4979" s="7" t="inlineStr">
        <is>
          <t xml:space="preserve">Very tasty and easy. Will wait for nicer weather before I make it again so I can open the windows!! I did find it way too salty though, and my husband agreed. I will cut the salt in half or even less next time. </t>
        </is>
      </c>
    </row>
    <row r="4980">
      <c r="A4980" s="7" t="n">
        <v>98458</v>
      </c>
      <c r="B4980" s="7" t="n">
        <v>414298</v>
      </c>
      <c r="C4980" s="7" t="n">
        <v>93997</v>
      </c>
      <c r="D4980" s="7" t="n">
        <v>70279</v>
      </c>
      <c r="E4980" s="8" t="n">
        <v>39239</v>
      </c>
      <c r="F4980" s="7" t="n">
        <v>5</v>
      </c>
      <c r="G4980" s="7" t="inlineStr">
        <is>
          <t>This was very good. Nice change with the sausage from the hamburger pasta dishes we usually have. I added one 15 ounce can of sliced stewed tomatoes and it was not enough liquid to cook the pasta. So I added an extra 15 ounce can of diced italian tomatoes and it still wasn't enough liquid. So then I added a cup and a half of hot water and after about 45 minutes of total simmer time the pasta was perfectly cooked and the dish tasted wonderful. Thanks for the recipe, will make again.</t>
        </is>
      </c>
    </row>
    <row r="4981">
      <c r="A4981" s="7" t="n">
        <v>77471</v>
      </c>
      <c r="B4981" s="7" t="n">
        <v>472657</v>
      </c>
      <c r="C4981" s="7" t="n">
        <v>1228229</v>
      </c>
      <c r="D4981" s="7" t="n">
        <v>108364</v>
      </c>
      <c r="E4981" s="8" t="n">
        <v>40059</v>
      </c>
      <c r="F4981" s="7" t="n">
        <v>5</v>
      </c>
      <c r="G4981" s="7" t="inlineStr">
        <is>
          <t>I made this and my family thought it was better than any fast food chicken they had ever eaten.  We like things a little more spicy so the second time I made it I added about 1 Tablespoon of cayenne pepper to the sauce mixture. This is the fried chicken recipe I have ever made.  Thank you.</t>
        </is>
      </c>
    </row>
    <row r="4982" ht="409.5" customHeight="1">
      <c r="A4982" s="7" t="n">
        <v>99442</v>
      </c>
      <c r="B4982" s="7" t="n">
        <v>710947</v>
      </c>
      <c r="C4982" s="7" t="n">
        <v>792051</v>
      </c>
      <c r="D4982" s="7" t="n">
        <v>291102</v>
      </c>
      <c r="E4982" s="8" t="n">
        <v>39710</v>
      </c>
      <c r="F4982" s="7" t="n">
        <v>5</v>
      </c>
      <c r="G4982" s="9" t="inlineStr">
        <is>
          <t>I made these for the first time using Pillsbury Vanilla cake mix. I didn't make the homemade frosting, though, just used a can of Pillsbury frosting I had in the pantry. _x000D_
_x000D_
I couldn't believe how good they were. I took them to work to share and my husband packed them in his lunchbox all week and they were gone pretty quick. This is definitely a keeper in my recipe file and I will be making them again.</t>
        </is>
      </c>
    </row>
    <row r="4983">
      <c r="A4983" s="7" t="n">
        <v>98294</v>
      </c>
      <c r="B4983" s="7" t="n">
        <v>1074619</v>
      </c>
      <c r="C4983" s="7" t="n">
        <v>479902</v>
      </c>
      <c r="D4983" s="7" t="n">
        <v>135350</v>
      </c>
      <c r="E4983" s="8" t="n">
        <v>40594</v>
      </c>
      <c r="F4983" s="7" t="n">
        <v>5</v>
      </c>
      <c r="G4983" s="7" t="inlineStr">
        <is>
          <t>Delicious! I tweaked it as I also do, adding garlic powder, paprika, dry mustard, used 1/2 and 1/2, added salt, a bit of Crazy Salt... Best mac I ever made.</t>
        </is>
      </c>
    </row>
    <row r="4984">
      <c r="A4984" s="7" t="n">
        <v>1316</v>
      </c>
      <c r="B4984" s="7" t="n">
        <v>945138</v>
      </c>
      <c r="C4984" s="7" t="n">
        <v>227932</v>
      </c>
      <c r="D4984" s="7" t="n">
        <v>78942</v>
      </c>
      <c r="E4984" s="8" t="n">
        <v>40548</v>
      </c>
      <c r="F4984" s="7" t="n">
        <v>5</v>
      </c>
      <c r="G4984" s="7" t="inlineStr">
        <is>
          <t>Probably the best homemade potato latkes we've ever tried!  Kudos!</t>
        </is>
      </c>
    </row>
    <row r="4985">
      <c r="A4985" s="7" t="n">
        <v>69022</v>
      </c>
      <c r="B4985" s="7" t="n">
        <v>347628</v>
      </c>
      <c r="C4985" s="7" t="n">
        <v>1802961118</v>
      </c>
      <c r="D4985" s="7" t="n">
        <v>237676</v>
      </c>
      <c r="E4985" s="8" t="n">
        <v>41844</v>
      </c>
      <c r="F4985" s="7" t="n">
        <v>4</v>
      </c>
      <c r="G4985" s="7" t="inlineStr">
        <is>
          <t>Excellent dry rub, but I have suggested changes to try:&amp;lt;br/&amp;gt;&amp;lt;br/&amp;gt;Eliminate the lemon from the recipe -- I cooked it with lemon once and without lemon once.  Without lemon had a much richer taste.  I found the lemon added too many high notes to the flavor.&amp;lt;br/&amp;gt;&amp;lt;br/&amp;gt;Double the brown sugar.  Adding a bit more sweetness improved the taste on my second try.  The brown sugar also helps it stick to the bird.&amp;lt;br/&amp;gt;&amp;lt;br/&amp;gt;Use softened butter instead of vegetable oil on the outside of the bird. Butter crisped the skin better and, again, the flavor was more succulent.</t>
        </is>
      </c>
    </row>
    <row r="4986">
      <c r="A4986" s="7" t="n">
        <v>37164</v>
      </c>
      <c r="B4986" s="7" t="n">
        <v>974281</v>
      </c>
      <c r="C4986" s="7" t="n">
        <v>26512</v>
      </c>
      <c r="D4986" s="7" t="n">
        <v>42169</v>
      </c>
      <c r="E4986" s="8" t="n">
        <v>38207</v>
      </c>
      <c r="F4986" s="7" t="n">
        <v>5</v>
      </c>
      <c r="G4986" s="7" t="inlineStr">
        <is>
          <t>Outstanding shrimp! This was so simple to make and the flavor is delicious. I added more garlic, but other than that, didn't change a thing and can't see any reason to do so. We really enjoyed this and will make often. Thanks for posting!</t>
        </is>
      </c>
    </row>
    <row r="4987">
      <c r="A4987" s="7" t="n">
        <v>74518</v>
      </c>
      <c r="B4987" s="7" t="n">
        <v>833973</v>
      </c>
      <c r="C4987" s="7" t="n">
        <v>1531643</v>
      </c>
      <c r="D4987" s="7" t="n">
        <v>38513</v>
      </c>
      <c r="E4987" s="8" t="n">
        <v>40426</v>
      </c>
      <c r="F4987" s="7" t="n">
        <v>0</v>
      </c>
      <c r="G4987" s="7" t="inlineStr">
        <is>
          <t>These were great!  I added a hershey kiss to the center of each one, and with about 3 minutes left, I put a marshmallow on top and let it melt.  They're just like much more portable s'mores!  Great recipe!</t>
        </is>
      </c>
    </row>
    <row r="4988">
      <c r="A4988" s="7" t="n">
        <v>90451</v>
      </c>
      <c r="B4988" s="7" t="n">
        <v>281860</v>
      </c>
      <c r="C4988" s="7" t="n">
        <v>594181</v>
      </c>
      <c r="D4988" s="7" t="n">
        <v>102916</v>
      </c>
      <c r="E4988" s="8" t="n">
        <v>40280</v>
      </c>
      <c r="F4988" s="7" t="n">
        <v>5</v>
      </c>
      <c r="G4988" s="7" t="inlineStr">
        <is>
          <t>It doesn't get easier than this!  I made a few adjustments due to dietary reasons, using beef bacon rather than pork, cream of celery soup, and 1 1/2 cups my own chicken broth in place of the water.  I increased the liquid from the start taking the suggestion from some other reviewers, and the rice turned out perfect.  The flavor of the bacon permeates the entire dish.  We enjoyed it very much. Thank you!</t>
        </is>
      </c>
    </row>
    <row r="4989">
      <c r="A4989" s="7" t="n">
        <v>21781</v>
      </c>
      <c r="B4989" s="7" t="n">
        <v>1031510</v>
      </c>
      <c r="C4989" s="7" t="n">
        <v>261027</v>
      </c>
      <c r="D4989" s="7" t="n">
        <v>112725</v>
      </c>
      <c r="E4989" s="8" t="n">
        <v>38974</v>
      </c>
      <c r="F4989" s="7" t="n">
        <v>5</v>
      </c>
      <c r="G4989" s="7" t="inlineStr">
        <is>
          <t xml:space="preserve">Honestly, I have the same opinion as everyone else!  It is sooo simple but ever since I found this recipe I've had this with some oatmeal EVERY morning for breakfast!!  Amazing!  Adding cinnamon is also outstanding!  Thanks!!  </t>
        </is>
      </c>
    </row>
    <row r="4990">
      <c r="A4990" s="7" t="n">
        <v>118880</v>
      </c>
      <c r="B4990" s="7" t="n">
        <v>251459</v>
      </c>
      <c r="C4990" s="7" t="n">
        <v>120132</v>
      </c>
      <c r="D4990" s="7" t="n">
        <v>22227</v>
      </c>
      <c r="E4990" s="8" t="n">
        <v>38034</v>
      </c>
      <c r="F4990" s="7" t="n">
        <v>5</v>
      </c>
      <c r="G4990" s="7" t="inlineStr">
        <is>
          <t>The absolute best homemade fried chicken I have ever tasted!  Very easy to make!  Chicken came out so moist, but not greasy.  I set the chicken on a wire rack to drain rather than paper towels, which left it nice and crispy.  I also added a little cayenne to the dredging flour and the gravy.  Definitely a keeper!  Thanks for sharing.</t>
        </is>
      </c>
    </row>
    <row r="4991">
      <c r="A4991" t="n">
        <v>123911</v>
      </c>
      <c r="B4991" t="n">
        <v>591481</v>
      </c>
      <c r="C4991" t="n">
        <v>353485</v>
      </c>
      <c r="D4991" t="n">
        <v>180161</v>
      </c>
      <c r="E4991" s="1" t="n">
        <v>39460</v>
      </c>
      <c r="F4991" t="n">
        <v>3</v>
      </c>
      <c r="G4991" t="inlineStr">
        <is>
          <t>This recipe has beautiful table presentation!  I found it to be a little bland however I will make it again and offer up a few toppings (salsa, cheese) to compliment.</t>
        </is>
      </c>
    </row>
    <row r="4992">
      <c r="A4992" s="7" t="n">
        <v>112799</v>
      </c>
      <c r="B4992" s="7" t="n">
        <v>169750</v>
      </c>
      <c r="C4992" s="7" t="n">
        <v>222139</v>
      </c>
      <c r="D4992" s="7" t="n">
        <v>353790</v>
      </c>
      <c r="E4992" s="8" t="n">
        <v>40889</v>
      </c>
      <c r="F4992" s="7" t="n">
        <v>5</v>
      </c>
      <c r="G4992" s="7" t="inlineStr">
        <is>
          <t>For this recipe I chose skip the salt process, and slow cook everything together on top of the stove.&lt;br/&gt;&lt;br/&gt;The flavor is amazing!&lt;br/&gt;&lt;br/&gt;Will be making this again.</t>
        </is>
      </c>
    </row>
    <row r="4993">
      <c r="A4993" s="7" t="n">
        <v>116852</v>
      </c>
      <c r="B4993" s="7" t="n">
        <v>476865</v>
      </c>
      <c r="C4993" s="7" t="n">
        <v>497077</v>
      </c>
      <c r="D4993" s="7" t="n">
        <v>179881</v>
      </c>
      <c r="E4993" s="8" t="n">
        <v>39441</v>
      </c>
      <c r="F4993" s="7" t="n">
        <v>5</v>
      </c>
      <c r="G4993" s="7" t="inlineStr">
        <is>
          <t>I served this Christmas Eve and it was my husband's favorite dish of the night! I did cut back the heat but it was still great, with or without the sauce.  I did add a little mayo to the sauce to thicken it a bit. Fast, easy, and sooooo good!!!</t>
        </is>
      </c>
    </row>
    <row r="4994">
      <c r="A4994" s="7" t="n">
        <v>10727</v>
      </c>
      <c r="B4994" s="7" t="n">
        <v>184299</v>
      </c>
      <c r="C4994" s="7" t="n">
        <v>498271</v>
      </c>
      <c r="D4994" s="7" t="n">
        <v>249052</v>
      </c>
      <c r="E4994" s="8" t="n">
        <v>39717</v>
      </c>
      <c r="F4994" s="7" t="n">
        <v>5</v>
      </c>
      <c r="G4994" s="7" t="inlineStr">
        <is>
          <t>Oh BOY I loved this!  Sweet and smooth, goes down so easy (too easy?!?) - terrific.  I doubled it, used a little more diet Coke than called for, and served over plenty of ice.  I will be keeping vanilla vodka around now just so I can have this - thanks for sharing the recipe!</t>
        </is>
      </c>
    </row>
    <row r="4995">
      <c r="A4995" s="7" t="n">
        <v>7656</v>
      </c>
      <c r="B4995" s="7" t="n">
        <v>842544</v>
      </c>
      <c r="C4995" s="7" t="n">
        <v>674484</v>
      </c>
      <c r="D4995" s="7" t="n">
        <v>320795</v>
      </c>
      <c r="E4995" s="8" t="n">
        <v>39723</v>
      </c>
      <c r="F4995" s="7" t="n">
        <v>5</v>
      </c>
      <c r="G4995" s="7" t="inlineStr">
        <is>
          <t>These went together rather quickly, and the end result was a delicious spaghetti and meatball dinner.  I made my own sauce, instead of the marinara sauce, and with the addition of these mega meatballs, and my friend and I had a feast.  I did make bigger meatballs, as that's how we like them.  Spices were perfectly blended with the meat and other ingredients, which is really important for meatballs. By the way, thanks so much for the tip on freezing.  It came in handy!</t>
        </is>
      </c>
    </row>
    <row r="4996">
      <c r="A4996" s="7" t="n">
        <v>84454</v>
      </c>
      <c r="B4996" s="7" t="n">
        <v>849668</v>
      </c>
      <c r="C4996" s="7" t="n">
        <v>95743</v>
      </c>
      <c r="D4996" s="7" t="n">
        <v>57000</v>
      </c>
      <c r="E4996" s="8" t="n">
        <v>37943</v>
      </c>
      <c r="F4996" s="7" t="n">
        <v>4</v>
      </c>
      <c r="G4996" s="7" t="inlineStr">
        <is>
          <t>Dh is the horseradish fan at our house, also.  I cooked this in the crockpot for 10 hours but the vegetables didn't quite get done, so I microwaved them to finish.  The roast didn't get very tender, but the gravy made up for that shortcoming. I would try this on the stovetop next time. This dish has an excellent flavor.</t>
        </is>
      </c>
    </row>
    <row r="4997">
      <c r="A4997" s="7" t="n">
        <v>21282</v>
      </c>
      <c r="B4997" s="7" t="n">
        <v>673538</v>
      </c>
      <c r="C4997" s="7" t="n">
        <v>29196</v>
      </c>
      <c r="D4997" s="7" t="n">
        <v>346195</v>
      </c>
      <c r="E4997" s="8" t="n">
        <v>40119</v>
      </c>
      <c r="F4997" s="7" t="n">
        <v>5</v>
      </c>
      <c r="G4997" s="7" t="inlineStr">
        <is>
          <t>I made a half recipe (one onion, one fennel bulb and enough cauli for two) for us tonight. I was able to cook all in the same skillet at basically the same time (just added the fennel wedges in a couple of minutes after the other stuff). I served this at room temp and it was amazingly deliciously yummy. I took note of reviewer Slick 18 and served it with a lemon wedge which I think is essential to bring out the flavours even more.</t>
        </is>
      </c>
    </row>
    <row r="4998">
      <c r="A4998" s="7" t="n">
        <v>69851</v>
      </c>
      <c r="B4998" s="7" t="n">
        <v>776583</v>
      </c>
      <c r="C4998" s="7" t="n">
        <v>43579579</v>
      </c>
      <c r="D4998" s="7" t="n">
        <v>40343</v>
      </c>
      <c r="E4998" s="8" t="n">
        <v>41664</v>
      </c>
      <c r="F4998" s="7" t="n">
        <v>5</v>
      </c>
      <c r="G4998" s="7" t="inlineStr">
        <is>
          <t>Tried this after getting a hankering for the taste of the islands and I must say...THANK YOU!!! Simple recipe and delicious! I actually had 14 ripe guavas of different varieties, so the flavor is kind of exotic. Nevertheless, my kitchen smelled heavenly fir hours! FYI - cheesecloth is best used to strain the juice; smoother cooking using confectioner&amp;#039;s/powdered sugar rather than table sugar; because, in order to get this to jelly consistency, one has to low boil it to the desired consistency, start earlier in the afternoon or day. ;o) Besides,</t>
        </is>
      </c>
    </row>
    <row r="4999">
      <c r="A4999" s="7" t="n">
        <v>11683</v>
      </c>
      <c r="B4999" s="7" t="n">
        <v>781933</v>
      </c>
      <c r="C4999" s="7" t="n">
        <v>282673</v>
      </c>
      <c r="D4999" s="7" t="n">
        <v>137164</v>
      </c>
      <c r="E4999" s="8" t="n">
        <v>40250</v>
      </c>
      <c r="F4999" s="7" t="n">
        <v>5</v>
      </c>
      <c r="G4999" s="7" t="inlineStr">
        <is>
          <t>this was a yummy chunky raita. i liked all the veggies in it, and it was a cooling counterpoint to a spicy eggplant and lentil dish. i used dried mint, cause that's what was available, and i added a bit of black salt because i love the extra tang that adds to yogurt-based dishes.</t>
        </is>
      </c>
    </row>
    <row r="5000" ht="409.5" customHeight="1">
      <c r="A5000" s="7" t="n">
        <v>96038</v>
      </c>
      <c r="B5000" s="7" t="n">
        <v>445456</v>
      </c>
      <c r="C5000" s="7" t="n">
        <v>186490</v>
      </c>
      <c r="D5000" s="7" t="n">
        <v>63131</v>
      </c>
      <c r="E5000" s="8" t="n">
        <v>38369</v>
      </c>
      <c r="F5000" s="7" t="n">
        <v>5</v>
      </c>
      <c r="G5000" s="9" t="inlineStr">
        <is>
          <t xml:space="preserve">These are amazing! I tried them as stated above but tonight I tried something different. I only had 1/2 C of peanut butter so I used 1/2 peanut butter and 1/2 honey._x000D_
I also added instead of cranberries, raisins and dried banana chips._x000D_
YUM-MMY!_x000D_
</t>
        </is>
      </c>
    </row>
    <row r="5001">
      <c r="A5001" s="7" t="n">
        <v>66574</v>
      </c>
      <c r="B5001" s="7" t="n">
        <v>345426</v>
      </c>
      <c r="C5001" s="7" t="n">
        <v>407007</v>
      </c>
      <c r="D5001" s="7" t="n">
        <v>247882</v>
      </c>
      <c r="E5001" s="8" t="n">
        <v>40105</v>
      </c>
      <c r="F5001" s="7" t="n">
        <v>3</v>
      </c>
      <c r="G5001" s="7" t="inlineStr">
        <is>
          <t>I think the other reviewers are on the right track - this recipe is missing something. I don't know what exactly - something to mask the protein powder taste. Mine were also not nearly as pretty as Jen's. I will keep playing with this recipe - I like the idea of it!!</t>
        </is>
      </c>
    </row>
    <row r="5002">
      <c r="A5002" s="7" t="n">
        <v>4906</v>
      </c>
      <c r="B5002" s="7" t="n">
        <v>952230</v>
      </c>
      <c r="C5002" s="7" t="n">
        <v>47892</v>
      </c>
      <c r="D5002" s="7" t="n">
        <v>335758</v>
      </c>
      <c r="E5002" s="8" t="n">
        <v>40398</v>
      </c>
      <c r="F5002" s="7" t="n">
        <v>0</v>
      </c>
      <c r="G5002" s="7" t="inlineStr">
        <is>
          <t>This was very liquid-y. Is that the way it's supposed to be? I think next time I would flip-flop the ingredients and use heavy cream instead of half and half.  As is, it was not spreadable rather pourable. Reviewed for Veg Tag August.</t>
        </is>
      </c>
    </row>
    <row r="5003">
      <c r="A5003" s="7" t="n">
        <v>53162</v>
      </c>
      <c r="B5003" s="7" t="n">
        <v>1019449</v>
      </c>
      <c r="C5003" s="7" t="n">
        <v>163112</v>
      </c>
      <c r="D5003" s="7" t="n">
        <v>428612</v>
      </c>
      <c r="E5003" s="8" t="n">
        <v>40343</v>
      </c>
      <c r="F5003" s="7" t="n">
        <v>5</v>
      </c>
      <c r="G5003" s="7" t="inlineStr">
        <is>
          <t>I fudged this a bit.  I was NOT turning on my oven so I used pork chops dredged in ras el hanout &amp; pan fried in my cast iron skillet.  I made the sauce adding drained, canned, sliced pears at the end.  FANTASTIC recipe!!  i was worried it would be too sweet but no, it isn't.  Delicious!  Served over recipe#424710.  Made for ZWT6.</t>
        </is>
      </c>
    </row>
    <row r="5004">
      <c r="A5004" s="7" t="n">
        <v>64250</v>
      </c>
      <c r="B5004" s="7" t="n">
        <v>1053158</v>
      </c>
      <c r="C5004" s="7" t="n">
        <v>428235</v>
      </c>
      <c r="D5004" s="7" t="n">
        <v>13716</v>
      </c>
      <c r="E5004" s="8" t="n">
        <v>39106</v>
      </c>
      <c r="F5004" s="7" t="n">
        <v>3</v>
      </c>
      <c r="G5004" s="7" t="inlineStr">
        <is>
          <t>Okay, maybe it was my fault, and my sourdough starter was not put together properly. But really 12 cups of flour! It was a bit much to work with. However, the end result (although dense because of the yeast problem) wasn't bad. My boys ate it up and were impressed. I just want to fine tune it a bit. Thanks!</t>
        </is>
      </c>
    </row>
    <row r="5005">
      <c r="A5005" s="7" t="n">
        <v>22036</v>
      </c>
      <c r="B5005" s="7" t="n">
        <v>95390</v>
      </c>
      <c r="C5005" s="7" t="n">
        <v>120619</v>
      </c>
      <c r="D5005" s="7" t="n">
        <v>85452</v>
      </c>
      <c r="E5005" s="8" t="n">
        <v>38259</v>
      </c>
      <c r="F5005" s="7" t="n">
        <v>5</v>
      </c>
      <c r="G5005" s="7" t="inlineStr">
        <is>
          <t>When I put this into the crockpot in the morning I didn't know that I was going to have 3 dinner guests that evening. This was a new recipe so I was a little nervous to be trying it out on guests. I had no need to worry. This was great! It was so good that while I entertained the kids my husband and guests ate the whole thing not realizing I hadn't eaten yet. I mean not a scrape left over! They all wanted to know how I had made it. Thanks so much for a great meal!</t>
        </is>
      </c>
    </row>
    <row r="5006">
      <c r="A5006" t="n">
        <v>120683</v>
      </c>
      <c r="B5006" t="n">
        <v>103499</v>
      </c>
      <c r="C5006" t="n">
        <v>2002127633</v>
      </c>
      <c r="D5006" t="n">
        <v>88564</v>
      </c>
      <c r="E5006" s="1" t="n">
        <v>43213</v>
      </c>
      <c r="F5006" t="n">
        <v>5</v>
      </c>
      <c r="G5006" t="inlineStr">
        <is>
          <t>Perfect!! I've tried several methods - this really works!! Thanks!</t>
        </is>
      </c>
    </row>
    <row r="5007">
      <c r="A5007" s="7" t="n">
        <v>39604</v>
      </c>
      <c r="B5007" s="7" t="n">
        <v>693891</v>
      </c>
      <c r="C5007" s="7" t="n">
        <v>955054</v>
      </c>
      <c r="D5007" s="7" t="n">
        <v>89982</v>
      </c>
      <c r="E5007" s="8" t="n">
        <v>41333</v>
      </c>
      <c r="F5007" s="7" t="n">
        <v>0</v>
      </c>
      <c r="G5007" s="7" t="inlineStr">
        <is>
          <t>It's was phenomenal.  I'm so proud of myself for finding all the ingredients at the local farmer's market!  Everyone gave me a "High Five" for serving this for dinner.  Wonderful recipe, indeed!</t>
        </is>
      </c>
    </row>
    <row r="5008">
      <c r="A5008" s="7" t="n">
        <v>80873</v>
      </c>
      <c r="B5008" s="7" t="n">
        <v>302690</v>
      </c>
      <c r="C5008" s="7" t="n">
        <v>1159855</v>
      </c>
      <c r="D5008" s="7" t="n">
        <v>80441</v>
      </c>
      <c r="E5008" s="8" t="n">
        <v>40079</v>
      </c>
      <c r="F5008" s="7" t="n">
        <v>5</v>
      </c>
      <c r="G5008" s="7" t="inlineStr">
        <is>
          <t>I have to bake cookies a lot for our church so I'm always looking for quick and easy and good recipes. These are wonderful and so easy to make. Thank you so much for this recipe. It saved me a lot of time and trouble.</t>
        </is>
      </c>
    </row>
    <row r="5009" ht="390" customHeight="1">
      <c r="A5009" s="7" t="n">
        <v>31483</v>
      </c>
      <c r="B5009" s="7" t="n">
        <v>974377</v>
      </c>
      <c r="C5009" s="7" t="n">
        <v>564813</v>
      </c>
      <c r="D5009" s="7" t="n">
        <v>42169</v>
      </c>
      <c r="E5009" s="8" t="n">
        <v>39498</v>
      </c>
      <c r="F5009" s="7" t="n">
        <v>5</v>
      </c>
      <c r="G5009" s="9" t="inlineStr">
        <is>
          <t>This recipe has to be my all time favorite. I made this for dinner and my girlfriends ate the up like they had not eaten in a month.LOL!_x000D_
_x000D_
I will ake this recipe again and again.</t>
        </is>
      </c>
    </row>
    <row r="5010">
      <c r="A5010" s="7" t="n">
        <v>84982</v>
      </c>
      <c r="B5010" s="7" t="n">
        <v>794472</v>
      </c>
      <c r="C5010" s="7" t="n">
        <v>369715</v>
      </c>
      <c r="D5010" s="7" t="n">
        <v>280062</v>
      </c>
      <c r="E5010" s="8" t="n">
        <v>39624</v>
      </c>
      <c r="F5010" s="7" t="n">
        <v>5</v>
      </c>
      <c r="G5010" s="7" t="inlineStr">
        <is>
          <t>Very good and easy to make. I made this and took it to work and everyone enjoyed it. I made this exactly as written.</t>
        </is>
      </c>
    </row>
    <row r="5011" ht="375" customHeight="1">
      <c r="A5011" s="7" t="n">
        <v>115530</v>
      </c>
      <c r="B5011" s="7" t="n">
        <v>688507</v>
      </c>
      <c r="C5011" s="7" t="n">
        <v>183879</v>
      </c>
      <c r="D5011" s="7" t="n">
        <v>11648</v>
      </c>
      <c r="E5011" s="8" t="n">
        <v>38353</v>
      </c>
      <c r="F5011" s="7" t="n">
        <v>5</v>
      </c>
      <c r="G5011" s="9" t="inlineStr">
        <is>
          <t>i love it my kids love even my nan loves there goes the idea that amercains only eat macdondals or buguar this site i proven me wrong thank -you_x000D_
from hannah england deveon</t>
        </is>
      </c>
    </row>
    <row r="5012">
      <c r="A5012" s="7" t="n">
        <v>76793</v>
      </c>
      <c r="B5012" s="7" t="n">
        <v>842450</v>
      </c>
      <c r="C5012" s="7" t="n">
        <v>282696</v>
      </c>
      <c r="D5012" s="7" t="n">
        <v>240575</v>
      </c>
      <c r="E5012" s="8" t="n">
        <v>40350</v>
      </c>
      <c r="F5012" s="7" t="n">
        <v>5</v>
      </c>
      <c r="G5012" s="7" t="inlineStr">
        <is>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is>
      </c>
    </row>
    <row r="5013">
      <c r="A5013" s="7" t="n">
        <v>66410</v>
      </c>
      <c r="B5013" s="7" t="n">
        <v>272823</v>
      </c>
      <c r="C5013" s="7" t="n">
        <v>2604653</v>
      </c>
      <c r="D5013" s="7" t="n">
        <v>183571</v>
      </c>
      <c r="E5013" s="8" t="n">
        <v>42619</v>
      </c>
      <c r="F5013" s="7" t="n">
        <v>4</v>
      </c>
      <c r="G5013" s="7" t="inlineStr">
        <is>
          <t>The texture was crispy the way I like them, but way to sweet. I had to almost burn them to get them to cook all the way in my Belgian waffle maker. I will make it again but next time with less sugar.</t>
        </is>
      </c>
    </row>
    <row r="5014">
      <c r="A5014" s="7" t="n">
        <v>66251</v>
      </c>
      <c r="B5014" s="7" t="n">
        <v>226185</v>
      </c>
      <c r="C5014" s="7" t="n">
        <v>2201870</v>
      </c>
      <c r="D5014" s="7" t="n">
        <v>487669</v>
      </c>
      <c r="E5014" s="8" t="n">
        <v>41185</v>
      </c>
      <c r="F5014" s="7" t="n">
        <v>5</v>
      </c>
      <c r="G5014" s="7" t="inlineStr">
        <is>
          <t>I love the peach addition!</t>
        </is>
      </c>
    </row>
    <row r="5015">
      <c r="A5015" s="7" t="n">
        <v>76891</v>
      </c>
      <c r="B5015" s="7" t="n">
        <v>657900</v>
      </c>
      <c r="C5015" s="7" t="n">
        <v>194114</v>
      </c>
      <c r="D5015" s="7" t="n">
        <v>71214</v>
      </c>
      <c r="E5015" s="8" t="n">
        <v>38803</v>
      </c>
      <c r="F5015" s="7" t="n">
        <v>5</v>
      </c>
      <c r="G5015" s="7" t="inlineStr">
        <is>
          <t>I  love cooking everything from scratch. I rolled my dough into a big circle and cut them out and made mini "baklava" rolls. This is the best recipe.Thanks.</t>
        </is>
      </c>
    </row>
    <row r="5016">
      <c r="A5016" s="7" t="n">
        <v>23839</v>
      </c>
      <c r="B5016" s="7" t="n">
        <v>952321</v>
      </c>
      <c r="C5016" s="7" t="n">
        <v>944008</v>
      </c>
      <c r="D5016" s="7" t="n">
        <v>59186</v>
      </c>
      <c r="E5016" s="8" t="n">
        <v>39695</v>
      </c>
      <c r="F5016" s="7" t="n">
        <v>5</v>
      </c>
      <c r="G5016" s="7" t="inlineStr">
        <is>
          <t>Its on the money. I love popeyes red beans and rice and I dont think you can get much closer to it that this recipe. It may be possible but this is right up there with the original. Excellent Job with this recipe and thank you very much for it.</t>
        </is>
      </c>
    </row>
    <row r="5017">
      <c r="A5017" s="7" t="n">
        <v>58586</v>
      </c>
      <c r="B5017" s="7" t="n">
        <v>1049363</v>
      </c>
      <c r="C5017" s="7" t="n">
        <v>679953</v>
      </c>
      <c r="D5017" s="7" t="n">
        <v>40568</v>
      </c>
      <c r="E5017" s="8" t="n">
        <v>40292</v>
      </c>
      <c r="F5017" s="7" t="n">
        <v>4</v>
      </c>
      <c r="G5017" s="7" t="inlineStr">
        <is>
          <t>made for dinner last night.  Made recipe as posted, except I made recipe as posted, and it could of used more ground beef, and bacon.  Made for PAC Spring 2010.</t>
        </is>
      </c>
    </row>
    <row r="5018">
      <c r="A5018" s="7" t="n">
        <v>2736</v>
      </c>
      <c r="B5018" s="7" t="n">
        <v>563342</v>
      </c>
      <c r="C5018" s="7" t="n">
        <v>1800076632</v>
      </c>
      <c r="D5018" s="7" t="n">
        <v>164636</v>
      </c>
      <c r="E5018" s="8" t="n">
        <v>41542</v>
      </c>
      <c r="F5018" s="7" t="n">
        <v>4</v>
      </c>
      <c r="G5018" s="7" t="inlineStr">
        <is>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is>
      </c>
    </row>
    <row r="5019">
      <c r="A5019" s="7" t="n">
        <v>89907</v>
      </c>
      <c r="B5019" s="7" t="n">
        <v>706179</v>
      </c>
      <c r="C5019" s="7" t="n">
        <v>48305</v>
      </c>
      <c r="D5019" s="7" t="n">
        <v>30082</v>
      </c>
      <c r="E5019" s="8" t="n">
        <v>39967</v>
      </c>
      <c r="F5019" s="7" t="n">
        <v>5</v>
      </c>
      <c r="G5019" s="7" t="inlineStr">
        <is>
          <t>Made for fund raiser at school. Easy and fast.</t>
        </is>
      </c>
    </row>
    <row r="5020">
      <c r="A5020" t="n">
        <v>42800</v>
      </c>
      <c r="B5020" t="n">
        <v>462120</v>
      </c>
      <c r="C5020" t="n">
        <v>424680</v>
      </c>
      <c r="D5020" t="n">
        <v>250635</v>
      </c>
      <c r="E5020" s="1" t="n">
        <v>39707</v>
      </c>
      <c r="F5020" t="n">
        <v>5</v>
      </c>
      <c r="G5020" t="inlineStr">
        <is>
          <t>Made these for a kid's event here in our mobile home park, &amp; managed to get one for myself before they disappeared, a testiment to their appeal! Very nice tasting bars, &amp; something I want to add, time &amp; again, to my finger food buffet in the future! Thanks for sharing! [Tagged, made &amp; reviewed in Please Review My Recipe]</t>
        </is>
      </c>
    </row>
    <row r="5021">
      <c r="A5021" s="7" t="n">
        <v>9465</v>
      </c>
      <c r="B5021" s="7" t="n">
        <v>209113</v>
      </c>
      <c r="C5021" s="7" t="n">
        <v>326039</v>
      </c>
      <c r="D5021" s="7" t="n">
        <v>224566</v>
      </c>
      <c r="E5021" s="8" t="n">
        <v>39527</v>
      </c>
      <c r="F5021" s="7" t="n">
        <v>5</v>
      </c>
      <c r="G5021" s="7" t="inlineStr">
        <is>
          <t>Wow, these were tasty!  The fresh, rich taste of the salmon really shines through.  I put my two wild salmon steaks in the food processor and pulsed until the fish was ground.  I, too, grilled on the Foreman.  These will be a regular dinner for us!</t>
        </is>
      </c>
    </row>
    <row r="5022">
      <c r="A5022" s="7" t="n">
        <v>61695</v>
      </c>
      <c r="B5022" s="7" t="n">
        <v>315784</v>
      </c>
      <c r="C5022" s="7" t="n">
        <v>234188</v>
      </c>
      <c r="D5022" s="7" t="n">
        <v>127347</v>
      </c>
      <c r="E5022" s="8" t="n">
        <v>38571</v>
      </c>
      <c r="F5022" s="7" t="n">
        <v>5</v>
      </c>
      <c r="G5022" s="7" t="inlineStr">
        <is>
          <t>I have never written a review before, but when my husband claimed that "this was the best side dish he had ever eaten", I felt obligated to share our delight. I did start with top ingredients - orange cherries and beans from our garden, fresh basil from a neighbor and a very good Asiago that I happened to have in the fridge, which I used instead of the Parmigiano. Besides the Asiago modification, I did sneak in a few crushed garlic cloves in the water that I cooked the beans in, plus I added some freshly ground black pepper when I seasoned the hot beans. The dish came out wonderfully! Be aware though, it is sinfully rich! If I made it again, just for myself, I think I would use half the amount of oil and butter. However, now that my hubby has tasted the full flavor version, I don't think I can get away with this reduction!</t>
        </is>
      </c>
    </row>
    <row r="5023">
      <c r="A5023" s="7" t="n">
        <v>36357</v>
      </c>
      <c r="B5023" s="7" t="n">
        <v>829736</v>
      </c>
      <c r="C5023" s="7" t="n">
        <v>180898</v>
      </c>
      <c r="D5023" s="7" t="n">
        <v>48494</v>
      </c>
      <c r="E5023" s="8" t="n">
        <v>40514</v>
      </c>
      <c r="F5023" s="7" t="n">
        <v>5</v>
      </c>
      <c r="G5023" s="7" t="inlineStr">
        <is>
          <t>Great! So easy and less mess than frying. I only had 1 1/2 lbs of potatoes but left everything else the same. They weren't exactly the same as frying but they were just as good. I'll make them again, maybe even when it isn't Chanukah ;)</t>
        </is>
      </c>
    </row>
    <row r="5024">
      <c r="A5024" s="7" t="n">
        <v>98482</v>
      </c>
      <c r="B5024" s="7" t="n">
        <v>204989</v>
      </c>
      <c r="C5024" s="7" t="n">
        <v>1372771</v>
      </c>
      <c r="D5024" s="7" t="n">
        <v>78938</v>
      </c>
      <c r="E5024" s="8" t="n">
        <v>40122</v>
      </c>
      <c r="F5024" s="7" t="n">
        <v>5</v>
      </c>
      <c r="G5024" s="7" t="inlineStr">
        <is>
          <t>The most unbelievable green beans.  My husband kept picking at the prime rib, but all I wanted was more of the green beans.  I picked at them even after putting the leftovers into a container.  The bacon and onion give them a wonderful flavor.</t>
        </is>
      </c>
    </row>
    <row r="5025">
      <c r="A5025" s="7" t="n">
        <v>74500</v>
      </c>
      <c r="B5025" s="7" t="n">
        <v>157096</v>
      </c>
      <c r="C5025" s="7" t="n">
        <v>865936</v>
      </c>
      <c r="D5025" s="7" t="n">
        <v>443064</v>
      </c>
      <c r="E5025" s="8" t="n">
        <v>41128</v>
      </c>
      <c r="F5025" s="7" t="n">
        <v>5</v>
      </c>
      <c r="G5025" s="7" t="inlineStr">
        <is>
          <t>I like to take potato salad to work and often the dressing gets too watery by the time I eat it because of the vegetables that are added in.  In this recipe they sort of rest on top and don't leak into the salad.  I used homemade yogurt and just a little mayo.  What a great idea!  The curry is very nice here.</t>
        </is>
      </c>
    </row>
    <row r="5026">
      <c r="A5026" s="7" t="n">
        <v>47526</v>
      </c>
      <c r="B5026" s="7" t="n">
        <v>744214</v>
      </c>
      <c r="C5026" s="7" t="n">
        <v>1052827</v>
      </c>
      <c r="D5026" s="7" t="n">
        <v>48635</v>
      </c>
      <c r="E5026" s="8" t="n">
        <v>39824</v>
      </c>
      <c r="F5026" s="7" t="n">
        <v>5</v>
      </c>
      <c r="G5026" s="7" t="inlineStr">
        <is>
          <t>WOW THESE ARE GOOD!!!  My husband noticed the difference  between these and previous ones and he never does that.  I only ever give 5 stars when things turn out better than I thought they would.  I used frozen blueberries.  I added the berries to each pancake  when in the pan and covered the berries gently with a little of the mix.  I will never make any other pancake again.</t>
        </is>
      </c>
    </row>
    <row r="5027">
      <c r="A5027" s="7" t="n">
        <v>27793</v>
      </c>
      <c r="B5027" s="7" t="n">
        <v>569124</v>
      </c>
      <c r="C5027" s="7" t="n">
        <v>39835</v>
      </c>
      <c r="D5027" s="7" t="n">
        <v>183667</v>
      </c>
      <c r="E5027" s="8" t="n">
        <v>38967</v>
      </c>
      <c r="F5027" s="7" t="n">
        <v>3</v>
      </c>
      <c r="G5027" s="7" t="inlineStr">
        <is>
          <t>Good and easy! We used the stiped chocolate swired chips (12 oz pkg) and these were a great way to finish up a can of Crisco in the fridge. Thanks for sharing!</t>
        </is>
      </c>
    </row>
    <row r="5028">
      <c r="A5028" s="7" t="n">
        <v>12757</v>
      </c>
      <c r="B5028" s="7" t="n">
        <v>921924</v>
      </c>
      <c r="C5028" s="7" t="n">
        <v>548406</v>
      </c>
      <c r="D5028" s="7" t="n">
        <v>91020</v>
      </c>
      <c r="E5028" s="8" t="n">
        <v>39718</v>
      </c>
      <c r="F5028" s="7" t="n">
        <v>5</v>
      </c>
      <c r="G5028" s="7" t="inlineStr">
        <is>
          <t>These were very good. Definitely a taste somewhere between doughnuts and snickerdoodles. i used 2 T. of margarine for dipping and that was enough. Super easy recipe. Thanks for posting it!</t>
        </is>
      </c>
    </row>
    <row r="5029">
      <c r="A5029" s="7" t="n">
        <v>37794</v>
      </c>
      <c r="B5029" s="7" t="n">
        <v>317717</v>
      </c>
      <c r="C5029" s="7" t="n">
        <v>334010</v>
      </c>
      <c r="D5029" s="7" t="n">
        <v>185471</v>
      </c>
      <c r="E5029" s="8" t="n">
        <v>40179</v>
      </c>
      <c r="F5029" s="7" t="n">
        <v>5</v>
      </c>
      <c r="G5029" s="7" t="inlineStr">
        <is>
          <t>I baked this recipe in muffin tins - it came out perfectly, very delightfully spiced.  Many thanks!</t>
        </is>
      </c>
    </row>
    <row r="5030">
      <c r="A5030" s="7" t="n">
        <v>53998</v>
      </c>
      <c r="B5030" s="7" t="n">
        <v>1020267</v>
      </c>
      <c r="C5030" s="7" t="n">
        <v>2002005298</v>
      </c>
      <c r="D5030" s="7" t="n">
        <v>245231</v>
      </c>
      <c r="E5030" s="8" t="n">
        <v>43153</v>
      </c>
      <c r="F5030" s="7" t="n">
        <v>5</v>
      </c>
      <c r="G5030" s="7" t="n"/>
    </row>
    <row r="5031">
      <c r="A5031" t="n">
        <v>9323</v>
      </c>
      <c r="B5031" t="n">
        <v>161185</v>
      </c>
      <c r="C5031" t="n">
        <v>191047</v>
      </c>
      <c r="D5031" t="n">
        <v>103589</v>
      </c>
      <c r="E5031" s="1" t="n">
        <v>39594</v>
      </c>
      <c r="F5031" t="n">
        <v>3</v>
      </c>
      <c r="G5031" t="inlineStr">
        <is>
          <t>This was very tasty but VERY SALTY. I think it was the stuffing mix. The broth I used was already reduced sodium,   It was so easy to put together that I would like to try it again. Next time I will use all reduced sodium ingredients.</t>
        </is>
      </c>
    </row>
    <row r="5032">
      <c r="A5032" s="7" t="n">
        <v>62883</v>
      </c>
      <c r="B5032" s="7" t="n">
        <v>1122245</v>
      </c>
      <c r="C5032" s="7" t="n">
        <v>226863</v>
      </c>
      <c r="D5032" s="7" t="n">
        <v>409899</v>
      </c>
      <c r="E5032" s="8" t="n">
        <v>40481</v>
      </c>
      <c r="F5032" s="7" t="n">
        <v>4</v>
      </c>
      <c r="G5032" s="7" t="inlineStr">
        <is>
          <t>These were very tasty, but I thought the combination of the pesto and gorgonzola made this a bit too salty.  Maybe its because I have been dieting and not using as much salt!  That's the only explanation I have for why this just didn't get it for me!  Normally I love everything involved with this recipe, so I was surprised I couldn't rate this a 5. I truly enjoyed making this....Thanks for sharing the recipe!</t>
        </is>
      </c>
    </row>
    <row r="5033" ht="409.5" customHeight="1">
      <c r="A5033" s="7" t="n">
        <v>20547</v>
      </c>
      <c r="B5033" s="7" t="n">
        <v>811885</v>
      </c>
      <c r="C5033" s="7" t="n">
        <v>556387</v>
      </c>
      <c r="D5033" s="7" t="n">
        <v>180226</v>
      </c>
      <c r="E5033" s="8" t="n">
        <v>39392</v>
      </c>
      <c r="F5033" s="7" t="n">
        <v>5</v>
      </c>
      <c r="G5033" s="9" t="inlineStr">
        <is>
          <t>Started out with 4 cod steaks and ended up with half of one by the end of the night :)
This was a great way to prepare cod. I really enjoyed the seasonings, they added just enough flavor.
Bravo! I will be making these again sometime for dinner.</t>
        </is>
      </c>
    </row>
    <row r="5034">
      <c r="A5034" s="7" t="n">
        <v>36516</v>
      </c>
      <c r="B5034" s="7" t="n">
        <v>42165</v>
      </c>
      <c r="C5034" s="7" t="n">
        <v>5060</v>
      </c>
      <c r="D5034" s="7" t="n">
        <v>131024</v>
      </c>
      <c r="E5034" s="8" t="n">
        <v>38637</v>
      </c>
      <c r="F5034" s="7" t="n">
        <v>5</v>
      </c>
      <c r="G5034" s="7" t="inlineStr">
        <is>
          <t>Makes a lovely colourfull side dish and very tasty, healthy too!!!! We will be making it again , thanks for sharing a good one.</t>
        </is>
      </c>
    </row>
    <row r="5035">
      <c r="A5035" s="7" t="n">
        <v>37286</v>
      </c>
      <c r="B5035" s="7" t="n">
        <v>388100</v>
      </c>
      <c r="C5035" s="7" t="n">
        <v>2942502</v>
      </c>
      <c r="D5035" s="7" t="n">
        <v>29977</v>
      </c>
      <c r="E5035" s="8" t="n">
        <v>41886</v>
      </c>
      <c r="F5035" s="7" t="n">
        <v>5</v>
      </c>
      <c r="G5035" s="7" t="inlineStr">
        <is>
          <t>This was surprisingly simple and very good.  I used a large iron skillet, and it turned out great--very moist, tender and the crust was yummy.  My boys loved it.</t>
        </is>
      </c>
    </row>
    <row r="5036">
      <c r="A5036" s="7" t="n">
        <v>45296</v>
      </c>
      <c r="B5036" s="7" t="n">
        <v>261145</v>
      </c>
      <c r="C5036" s="7" t="n">
        <v>86359</v>
      </c>
      <c r="D5036" s="7" t="n">
        <v>5121</v>
      </c>
      <c r="E5036" s="8" t="n">
        <v>40398</v>
      </c>
      <c r="F5036" s="7" t="n">
        <v>5</v>
      </c>
      <c r="G5036" s="7" t="inlineStr">
        <is>
          <t>Did not have a pressure cooker, so just did it on the stove top.  Also started with boiling leftover ham bone in the 4 cups of water.  I then removed the ham from the bone plus added 1 cup more of water because the water had boiled down.  Also added 1 cup of chopped celery and 2 -3 tbsp of chicken boullion. It is the time of year when beans are plentiful and you can't keep up just eating them as a side. Seached. Vwola. Found this. Thanx.</t>
        </is>
      </c>
    </row>
    <row r="5037">
      <c r="A5037" s="7" t="n">
        <v>71269</v>
      </c>
      <c r="B5037" s="7" t="n">
        <v>81012</v>
      </c>
      <c r="C5037" s="7" t="n">
        <v>79877</v>
      </c>
      <c r="D5037" s="7" t="n">
        <v>23439</v>
      </c>
      <c r="E5037" s="8" t="n">
        <v>38108</v>
      </c>
      <c r="F5037" s="7" t="n">
        <v>5</v>
      </c>
      <c r="G5037" s="7" t="inlineStr">
        <is>
          <t xml:space="preserve">I love this recipe.  It's quick, easy and delicious.  I had just roasted a bunch of red bell peppers, so I added a half large pepper(chopped)to the doubled recipe.  The roasted pepper gave a nice color and added flavor that blended well with the other ingredients.  I didn't skimp on the garlic, either...but we love garlic.  </t>
        </is>
      </c>
    </row>
    <row r="5038">
      <c r="A5038" s="7" t="n">
        <v>31910</v>
      </c>
      <c r="B5038" s="7" t="n">
        <v>1068689</v>
      </c>
      <c r="C5038" s="7" t="n">
        <v>1325914</v>
      </c>
      <c r="D5038" s="7" t="n">
        <v>30018</v>
      </c>
      <c r="E5038" s="8" t="n">
        <v>41168</v>
      </c>
      <c r="F5038" s="7" t="n">
        <v>5</v>
      </c>
      <c r="G5038" s="7" t="inlineStr">
        <is>
          <t>This recipe was great.  I did not have any green beans so, I used green peas.  I did increase the amount of peppers, corn, peas, and barley.  I also cooked the soup on high for 5 hours instead of 10 to 12 hours.  The whole family loved it.  I will certainly make this soup again.  Thank You!!</t>
        </is>
      </c>
    </row>
    <row r="5039">
      <c r="A5039" s="7" t="n">
        <v>52882</v>
      </c>
      <c r="B5039" s="7" t="n">
        <v>389753</v>
      </c>
      <c r="C5039" s="7" t="n">
        <v>163077</v>
      </c>
      <c r="D5039" s="7" t="n">
        <v>42694</v>
      </c>
      <c r="E5039" s="8" t="n">
        <v>38880</v>
      </c>
      <c r="F5039" s="7" t="n">
        <v>5</v>
      </c>
      <c r="G5039" s="7" t="inlineStr">
        <is>
          <t>Thanks for a really easy dinner for when hubby got home from a long hard day. Will be making it again thats for sure. Thanks Ailsa</t>
        </is>
      </c>
    </row>
    <row r="5040">
      <c r="A5040" s="7" t="n">
        <v>69437</v>
      </c>
      <c r="B5040" s="7" t="n">
        <v>317281</v>
      </c>
      <c r="C5040" s="7" t="n">
        <v>2002252846</v>
      </c>
      <c r="D5040" s="7" t="n">
        <v>374887</v>
      </c>
      <c r="E5040" s="8" t="n">
        <v>43332</v>
      </c>
      <c r="F5040" s="7" t="n">
        <v>0</v>
      </c>
      <c r="G5040" s="7" t="inlineStr">
        <is>
          <t>I have used this recipe before, but we call it Corn Salad, and I use the entire can of rotel and no butter. I do not use the extra oven time either. I find that it tends to dry out the cornl! Done with the changes, we love it.</t>
        </is>
      </c>
    </row>
    <row r="5041">
      <c r="A5041" s="7" t="n">
        <v>69278</v>
      </c>
      <c r="B5041" s="7" t="n">
        <v>774203</v>
      </c>
      <c r="C5041" s="7" t="n">
        <v>1761447</v>
      </c>
      <c r="D5041" s="7" t="n">
        <v>128956</v>
      </c>
      <c r="E5041" s="8" t="n">
        <v>40925</v>
      </c>
      <c r="F5041" s="7" t="n">
        <v>5</v>
      </c>
      <c r="G5041" s="7" t="inlineStr">
        <is>
          <t>yummy! I don't think you can go wrong with any variation of this soup......reminds me of the canned kind I loved as a kid but a million times tastier, and so good for my thighs.</t>
        </is>
      </c>
    </row>
    <row r="5042">
      <c r="A5042" s="7" t="n">
        <v>34782</v>
      </c>
      <c r="B5042" s="7" t="n">
        <v>337641</v>
      </c>
      <c r="C5042" s="7" t="n">
        <v>440324</v>
      </c>
      <c r="D5042" s="7" t="n">
        <v>445132</v>
      </c>
      <c r="E5042" s="8" t="n">
        <v>41386</v>
      </c>
      <c r="F5042" s="7" t="n">
        <v>5</v>
      </c>
      <c r="G5042" s="7" t="inlineStr">
        <is>
          <t>I love using escarole in salads and this was no exception. Crunchy and unique. Thank you.</t>
        </is>
      </c>
    </row>
    <row r="5043">
      <c r="A5043" s="7" t="n">
        <v>9524</v>
      </c>
      <c r="B5043" s="7" t="n">
        <v>1059778</v>
      </c>
      <c r="C5043" s="7" t="n">
        <v>494068</v>
      </c>
      <c r="D5043" s="7" t="n">
        <v>50500</v>
      </c>
      <c r="E5043" s="8" t="n">
        <v>39682</v>
      </c>
      <c r="F5043" s="7" t="n">
        <v>5</v>
      </c>
      <c r="G5043" s="7" t="inlineStr">
        <is>
          <t>I didn't add the red pepper, asparagus or curry to the recipe but otherwise followed.  I used 1 can cream style corn, which helped to flavor the dish really well.  I used grated jack cheese.  The dish was really flavorful and creamy.  I loved how the soup and other ingredients made a gravy in the meat.  I will definately be making this again sometime as we love comfort food and this fit the bill!  Thanks for sharing!</t>
        </is>
      </c>
    </row>
    <row r="5044">
      <c r="A5044" s="7" t="n">
        <v>63030</v>
      </c>
      <c r="B5044" s="7" t="n">
        <v>627607</v>
      </c>
      <c r="C5044" s="7" t="n">
        <v>593927</v>
      </c>
      <c r="D5044" s="7" t="n">
        <v>146145</v>
      </c>
      <c r="E5044" s="8" t="n">
        <v>40933</v>
      </c>
      <c r="F5044" s="7" t="n">
        <v>5</v>
      </c>
      <c r="G5044" s="7" t="inlineStr">
        <is>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is>
      </c>
    </row>
    <row r="5045">
      <c r="A5045" t="n">
        <v>61168</v>
      </c>
      <c r="B5045" t="n">
        <v>833960</v>
      </c>
      <c r="C5045" t="n">
        <v>301661</v>
      </c>
      <c r="D5045" t="n">
        <v>37516</v>
      </c>
      <c r="E5045" s="1" t="n">
        <v>40059</v>
      </c>
      <c r="F5045" t="n">
        <v>5</v>
      </c>
      <c r="G5045" t="inlineStr">
        <is>
          <t>I have made this recipe about 4 times now and it has been a tremendous hit every single time.  Wouldn't change a thing, except maybe double up the recipe.  Thanks for such a great meal idea.</t>
        </is>
      </c>
    </row>
    <row r="5046">
      <c r="A5046" s="7" t="n">
        <v>102776</v>
      </c>
      <c r="B5046" s="7" t="n">
        <v>488579</v>
      </c>
      <c r="C5046" s="7" t="n">
        <v>404808</v>
      </c>
      <c r="D5046" s="7" t="n">
        <v>206551</v>
      </c>
      <c r="E5046" s="8" t="n">
        <v>39129</v>
      </c>
      <c r="F5046" s="7" t="n">
        <v>5</v>
      </c>
      <c r="G5046" s="7" t="inlineStr">
        <is>
          <t>FANTASTIC!!! THANK YOU for such a GREAT FAST BREAKFEAST!!!</t>
        </is>
      </c>
    </row>
    <row r="5047">
      <c r="A5047" s="7" t="n">
        <v>72161</v>
      </c>
      <c r="B5047" s="7" t="n">
        <v>54724</v>
      </c>
      <c r="C5047" s="7" t="n">
        <v>943055</v>
      </c>
      <c r="D5047" s="7" t="n">
        <v>52035</v>
      </c>
      <c r="E5047" s="8" t="n">
        <v>39695</v>
      </c>
      <c r="F5047" s="7" t="n">
        <v>5</v>
      </c>
      <c r="G5047" s="7" t="inlineStr">
        <is>
          <t>Give this to your love one he/she will like it.</t>
        </is>
      </c>
    </row>
    <row r="5048">
      <c r="A5048" t="n">
        <v>8483</v>
      </c>
      <c r="B5048" t="n">
        <v>860526</v>
      </c>
      <c r="C5048" t="n">
        <v>37449</v>
      </c>
      <c r="D5048" t="n">
        <v>283887</v>
      </c>
      <c r="E5048" s="1" t="n">
        <v>39763</v>
      </c>
      <c r="F5048" t="n">
        <v>5</v>
      </c>
      <c r="G5048" t="inlineStr">
        <is>
          <t>Yummy dressing! I had over romaine lettuce and enjoyed it. I did add a little water to thin. Thanks so much!</t>
        </is>
      </c>
    </row>
    <row r="5049">
      <c r="A5049" s="7" t="n">
        <v>34720</v>
      </c>
      <c r="B5049" s="7" t="n">
        <v>892954</v>
      </c>
      <c r="C5049" s="7" t="n">
        <v>74652</v>
      </c>
      <c r="D5049" s="7" t="n">
        <v>65981</v>
      </c>
      <c r="E5049" s="8" t="n">
        <v>39151</v>
      </c>
      <c r="F5049" s="7" t="n">
        <v>4</v>
      </c>
      <c r="G5049" s="7" t="inlineStr">
        <is>
          <t>These turned out perfect and were very easy to prepare and slice.  They were gobbled up!  Thanks</t>
        </is>
      </c>
    </row>
    <row r="5050" ht="409.5" customHeight="1">
      <c r="A5050" s="7" t="n">
        <v>92635</v>
      </c>
      <c r="B5050" s="7" t="n">
        <v>136669</v>
      </c>
      <c r="C5050" s="7" t="n">
        <v>507592</v>
      </c>
      <c r="D5050" s="7" t="n">
        <v>44888</v>
      </c>
      <c r="E5050" s="8" t="n">
        <v>39342</v>
      </c>
      <c r="F5050" s="7" t="n">
        <v>5</v>
      </c>
      <c r="G5050" s="9" t="inlineStr">
        <is>
          <t>This recipe is Awesome!_x000D_
I used Chicken Thighs and didn't have enough Honey - so I subsituted half of it with Corn Syrup... Worked Great!_x000D_
And my Husband who HATES chicken thighs ate more than anyone else! Definately will make again - Thanks!</t>
        </is>
      </c>
    </row>
    <row r="5051">
      <c r="A5051" s="7" t="n">
        <v>32272</v>
      </c>
      <c r="B5051" s="7" t="n">
        <v>747768</v>
      </c>
      <c r="C5051" s="7" t="n">
        <v>2198343</v>
      </c>
      <c r="D5051" s="7" t="n">
        <v>49200</v>
      </c>
      <c r="E5051" s="8" t="n">
        <v>41669</v>
      </c>
      <c r="F5051" s="7" t="n">
        <v>0</v>
      </c>
      <c r="G5051" s="7" t="inlineStr">
        <is>
          <t>Very easy to make. Love the addition of parmesan cheese! Everyone loved them!</t>
        </is>
      </c>
    </row>
    <row r="5052">
      <c r="A5052" s="7" t="n">
        <v>85564</v>
      </c>
      <c r="B5052" s="7" t="n">
        <v>500914</v>
      </c>
      <c r="C5052" s="7" t="n">
        <v>18931</v>
      </c>
      <c r="D5052" s="7" t="n">
        <v>1442</v>
      </c>
      <c r="E5052" s="8" t="n">
        <v>40573</v>
      </c>
      <c r="F5052" s="7" t="n">
        <v>5</v>
      </c>
      <c r="G5052" s="7" t="inlineStr">
        <is>
          <t>I live in holland and these pigs are right on the money!   Thanks for sharing.....</t>
        </is>
      </c>
    </row>
    <row r="5053">
      <c r="A5053" s="7" t="n">
        <v>82144</v>
      </c>
      <c r="B5053" s="7" t="n">
        <v>421295</v>
      </c>
      <c r="C5053" s="7" t="n">
        <v>317934</v>
      </c>
      <c r="D5053" s="7" t="n">
        <v>278998</v>
      </c>
      <c r="E5053" s="8" t="n">
        <v>39578</v>
      </c>
      <c r="F5053" s="7" t="n">
        <v>5</v>
      </c>
      <c r="G5053" s="7" t="inlineStr">
        <is>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is>
      </c>
    </row>
    <row r="5054">
      <c r="A5054" s="7" t="n">
        <v>99357</v>
      </c>
      <c r="B5054" s="7" t="n">
        <v>1068693</v>
      </c>
      <c r="C5054" s="7" t="n">
        <v>2526393</v>
      </c>
      <c r="D5054" s="7" t="n">
        <v>30018</v>
      </c>
      <c r="E5054" s="8" t="n">
        <v>41238</v>
      </c>
      <c r="F5054" s="7" t="n">
        <v>5</v>
      </c>
      <c r="G5054" s="7" t="inlineStr">
        <is>
          <t>Delicious! Cooked it in the slow cooker for the full 12 hours, and it was worth every minute!</t>
        </is>
      </c>
    </row>
    <row r="5055" ht="409.5" customHeight="1">
      <c r="A5055" s="7" t="n">
        <v>72892</v>
      </c>
      <c r="B5055" s="7" t="n">
        <v>648743</v>
      </c>
      <c r="C5055" s="7" t="n">
        <v>125808</v>
      </c>
      <c r="D5055" s="7" t="n">
        <v>129896</v>
      </c>
      <c r="E5055" s="8" t="n">
        <v>40209</v>
      </c>
      <c r="F5055" s="7" t="n">
        <v>5</v>
      </c>
      <c r="G5055" s="9" t="inlineStr">
        <is>
          <t>Outstanding chocoholic cookies!!!  VERY rich, chocolately and completely yummy.  Definitely a keeper.  Thanks!  4-24-07
UPDATED REVIEW - 1/31/2010
Made these again today and added 1/2 cup dried cherries soaked in cherry kirsch and 1/2 cup chopped macadamia nuts.  Also used microwave to melt chocolate.  Made smaller cookies and baked at 325F for 13 or 14 minutes.  These are AMAZING with coffee.</t>
        </is>
      </c>
    </row>
    <row r="5056">
      <c r="A5056" s="7" t="n">
        <v>94777</v>
      </c>
      <c r="B5056" s="7" t="n">
        <v>24218</v>
      </c>
      <c r="C5056" s="7" t="n">
        <v>464080</v>
      </c>
      <c r="D5056" s="7" t="n">
        <v>132351</v>
      </c>
      <c r="E5056" s="8" t="n">
        <v>39757</v>
      </c>
      <c r="F5056" s="7" t="n">
        <v>5</v>
      </c>
      <c r="G5056" s="7" t="inlineStr">
        <is>
          <t>Easy and tasty.  Love the cheesy flavor.  Had it over some cavatelli noodles with fresh mushrooms and green onions.  At the very end, I added some Greek Seasoning and some salt and pepper.  Will definitely make this again.  Made for Football Pool week #8.</t>
        </is>
      </c>
    </row>
    <row r="5057">
      <c r="A5057" s="7" t="n">
        <v>91357</v>
      </c>
      <c r="B5057" s="7" t="n">
        <v>537386</v>
      </c>
      <c r="C5057" s="7" t="n">
        <v>156862</v>
      </c>
      <c r="D5057" s="7" t="n">
        <v>429540</v>
      </c>
      <c r="E5057" s="8" t="n">
        <v>40626</v>
      </c>
      <c r="F5057" s="7" t="n">
        <v>5</v>
      </c>
      <c r="G5057" s="7" t="inlineStr">
        <is>
          <t>I made this with frozen mixed berries, raw agave, and skipped the oil.  It was delicious, so I'll be making it again.  Thanks for posting!  I wish it were categorized as Salad Dressing/Vegan/Low In Fat.  I'd have found it sooner!</t>
        </is>
      </c>
    </row>
    <row r="5058">
      <c r="A5058" s="7" t="n">
        <v>92138</v>
      </c>
      <c r="B5058" s="7" t="n">
        <v>656418</v>
      </c>
      <c r="C5058" s="7" t="n">
        <v>145545</v>
      </c>
      <c r="D5058" s="7" t="n">
        <v>27208</v>
      </c>
      <c r="E5058" s="8" t="n">
        <v>38720</v>
      </c>
      <c r="F5058" s="7" t="n">
        <v>5</v>
      </c>
      <c r="G5058" s="7" t="inlineStr">
        <is>
          <t>Great tasting &amp; easy to make.  what more can one ask for?</t>
        </is>
      </c>
    </row>
    <row r="5059" ht="409.5" customHeight="1">
      <c r="A5059" s="7" t="n">
        <v>81851</v>
      </c>
      <c r="B5059" s="7" t="n">
        <v>500878</v>
      </c>
      <c r="C5059" s="7" t="n">
        <v>573325</v>
      </c>
      <c r="D5059" s="7" t="n">
        <v>384786</v>
      </c>
      <c r="E5059" s="8" t="n">
        <v>40045</v>
      </c>
      <c r="F5059" s="7" t="n">
        <v>5</v>
      </c>
      <c r="G5059" s="9" t="inlineStr">
        <is>
          <t>These scones are EXCEPTIONALLY YUMMY!!!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
I used partly rye flour and thats why my scones are a bit dark. Also I added in some ground vanilla bean for some extra flavour.
THANKS SO MUCH for sharing this gem of a recipe with us, Iceland!
Made and reviewed for Ramadan Tag August 09.</t>
        </is>
      </c>
    </row>
    <row r="5060">
      <c r="A5060" s="7" t="n">
        <v>92192</v>
      </c>
      <c r="B5060" s="7" t="n">
        <v>1066775</v>
      </c>
      <c r="C5060" s="7" t="n">
        <v>2838864</v>
      </c>
      <c r="D5060" s="7" t="n">
        <v>63446</v>
      </c>
      <c r="E5060" s="8" t="n">
        <v>42158</v>
      </c>
      <c r="F5060" s="7" t="n">
        <v>5</v>
      </c>
      <c r="G5060" s="7" t="inlineStr">
        <is>
          <t>Very creamy tasty coconut rice. By far the most flavorful coconut rice I&amp;#039;ve ever made</t>
        </is>
      </c>
    </row>
    <row r="5061" ht="409.5" customHeight="1">
      <c r="A5061" s="7" t="n">
        <v>78477</v>
      </c>
      <c r="B5061" s="7" t="n">
        <v>906653</v>
      </c>
      <c r="C5061" s="7" t="n">
        <v>144373</v>
      </c>
      <c r="D5061" s="7" t="n">
        <v>230495</v>
      </c>
      <c r="E5061" s="8" t="n">
        <v>39261</v>
      </c>
      <c r="F5061" s="7" t="n">
        <v>4</v>
      </c>
      <c r="G5061" s="9" t="inlineStr">
        <is>
          <t>I did something wrong when cooking this custard, it didn't set. Tasted while it was still warm and it had great flavor, just didn't set. That is why it has 4 stars.   The recipe sounded really good and easy to make, will try making it again and let you know how it went._x000D_
Made for ZWTIII.</t>
        </is>
      </c>
    </row>
    <row r="5062">
      <c r="A5062" t="n">
        <v>121869</v>
      </c>
      <c r="B5062" t="n">
        <v>597410</v>
      </c>
      <c r="C5062" t="n">
        <v>383853</v>
      </c>
      <c r="D5062" t="n">
        <v>130244</v>
      </c>
      <c r="E5062" s="1" t="n">
        <v>40257</v>
      </c>
      <c r="F5062" t="n">
        <v>5</v>
      </c>
      <c r="G5062" t="inlineStr">
        <is>
          <t>Wow these are awesome!  They were much easier to make than I thought they'd be too.  I was looking for something different for breakfast and this recipe caught my eye...so glad it did!  I filled mine with the ingredients you had listed but also cut some hot breakfast sausage patties into little cubes and put that inside too.  It was delicous.  I really liked the little bit of flavor that cream cheese mixture added.  I'm looking forward to making up a few batches of this and freezing them to grab for easy breakfasts.  Thanks so much for posting :)  This is definitely a keeper!</t>
        </is>
      </c>
    </row>
    <row r="5063">
      <c r="A5063" t="n">
        <v>46726</v>
      </c>
      <c r="B5063" t="n">
        <v>224122</v>
      </c>
      <c r="C5063" t="n">
        <v>718620</v>
      </c>
      <c r="D5063" t="n">
        <v>157176</v>
      </c>
      <c r="E5063" s="1" t="n">
        <v>40390</v>
      </c>
      <c r="F5063" t="n">
        <v>5</v>
      </c>
      <c r="G5063" t="inlineStr">
        <is>
          <t>this was so yummy.  i chopped the de-seeded cucumbers in the blender, then drained the liquid through a strainer.  I love tzatziki...and now i can control what's in it much more to my liking.  i will definitely make this again</t>
        </is>
      </c>
    </row>
    <row r="5064">
      <c r="A5064" s="7" t="n">
        <v>78882</v>
      </c>
      <c r="B5064" s="7" t="n">
        <v>837753</v>
      </c>
      <c r="C5064" s="7" t="n">
        <v>1445088</v>
      </c>
      <c r="D5064" s="7" t="n">
        <v>110683</v>
      </c>
      <c r="E5064" s="8" t="n">
        <v>41036</v>
      </c>
      <c r="F5064" s="7" t="n">
        <v>5</v>
      </c>
      <c r="G5064" s="7" t="inlineStr">
        <is>
          <t>This was my 1st attempt at making waffles. They were delicious. I've been making them once a week since trying these. I didn't use the maple, but doubled up the vanilla and added cinnamon. I also used whole wheat flour, but even my picky clan couldn't tell. I love that they are perfectly crisp and still soft inside. It has a lot of texture and doesn't just dissolve in your mouth. Thank you.</t>
        </is>
      </c>
    </row>
    <row r="5065">
      <c r="A5065" s="7" t="n">
        <v>82225</v>
      </c>
      <c r="B5065" s="7" t="n">
        <v>31323</v>
      </c>
      <c r="C5065" s="7" t="n">
        <v>654981</v>
      </c>
      <c r="D5065" s="7" t="n">
        <v>8596</v>
      </c>
      <c r="E5065" s="8" t="n">
        <v>39404</v>
      </c>
      <c r="F5065" s="7" t="n">
        <v>5</v>
      </c>
      <c r="G5065" s="7" t="inlineStr">
        <is>
          <t>Great recipe taste just like the one at Olive Garden.</t>
        </is>
      </c>
    </row>
    <row r="5066">
      <c r="A5066" s="7" t="n">
        <v>101394</v>
      </c>
      <c r="B5066" s="7" t="n">
        <v>1049158</v>
      </c>
      <c r="C5066" s="7" t="n">
        <v>15521</v>
      </c>
      <c r="D5066" s="7" t="n">
        <v>102274</v>
      </c>
      <c r="E5066" s="8" t="n">
        <v>39802</v>
      </c>
      <c r="F5066" s="7" t="n">
        <v>4</v>
      </c>
      <c r="G5066" s="7" t="inlineStr">
        <is>
          <t>This was yummy!  I switched the green pepper for a red pepper, as I can't stand the green ones.  I didn't simmer for a whole hour, only about an hour and the celery was a little crunchy.  Next time I'd simmer it for the recommended time.  All in all, very good.  Perfect spice for me.</t>
        </is>
      </c>
    </row>
    <row r="5067">
      <c r="A5067" s="7" t="n">
        <v>94158</v>
      </c>
      <c r="B5067" s="7" t="n">
        <v>179380</v>
      </c>
      <c r="C5067" s="7" t="n">
        <v>744086</v>
      </c>
      <c r="D5067" s="7" t="n">
        <v>116906</v>
      </c>
      <c r="E5067" s="8" t="n">
        <v>39475</v>
      </c>
      <c r="F5067" s="7" t="n">
        <v>4</v>
      </c>
      <c r="G5067" s="7" t="inlineStr">
        <is>
          <t>mmmmm.</t>
        </is>
      </c>
    </row>
    <row r="5068">
      <c r="A5068" s="7" t="n">
        <v>112357</v>
      </c>
      <c r="B5068" s="7" t="n">
        <v>447215</v>
      </c>
      <c r="C5068" s="7" t="n">
        <v>28087</v>
      </c>
      <c r="D5068" s="7" t="n">
        <v>362405</v>
      </c>
      <c r="E5068" s="8" t="n">
        <v>39916</v>
      </c>
      <c r="F5068" s="7" t="n">
        <v>5</v>
      </c>
      <c r="G5068" s="7" t="inlineStr">
        <is>
          <t>Finally a great meatloaf recipe without ketchup and cooking it in a crock pot! Made as written and thoroughly enjoyed the results. Next time I make this (and there will be a next time) I'll add 8 ounces of beef broth for more gravy and reduce the pepper to 1/2 teaspoon. *Made for PAC spring 2009* Thanks!</t>
        </is>
      </c>
    </row>
    <row r="5069">
      <c r="A5069" s="7" t="n">
        <v>55056</v>
      </c>
      <c r="B5069" s="7" t="n">
        <v>762170</v>
      </c>
      <c r="C5069" s="7" t="n">
        <v>485329</v>
      </c>
      <c r="D5069" s="7" t="n">
        <v>68596</v>
      </c>
      <c r="E5069" s="8" t="n">
        <v>39769</v>
      </c>
      <c r="F5069" s="7" t="n">
        <v>5</v>
      </c>
      <c r="G5069" s="7" t="inlineStr">
        <is>
          <t>Just awesome.  I make it up to keep as a dressing on hand in the fridge at all times.  Also makes a great dip, adjust the mayo and vinegar to adjust the consistancy.</t>
        </is>
      </c>
    </row>
    <row r="5070">
      <c r="A5070" s="7" t="n">
        <v>49024</v>
      </c>
      <c r="B5070" s="7" t="n">
        <v>637828</v>
      </c>
      <c r="C5070" s="7" t="n">
        <v>226863</v>
      </c>
      <c r="D5070" s="7" t="n">
        <v>48169</v>
      </c>
      <c r="E5070" s="8" t="n">
        <v>40587</v>
      </c>
      <c r="F5070" s="7" t="n">
        <v>5</v>
      </c>
      <c r="G5070" s="7" t="inlineStr">
        <is>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is>
      </c>
    </row>
    <row r="5071">
      <c r="A5071" s="7" t="n">
        <v>6704</v>
      </c>
      <c r="B5071" s="7" t="n">
        <v>870070</v>
      </c>
      <c r="C5071" s="7" t="n">
        <v>313120</v>
      </c>
      <c r="D5071" s="7" t="n">
        <v>199010</v>
      </c>
      <c r="E5071" s="8" t="n">
        <v>39062</v>
      </c>
      <c r="F5071" s="7" t="n">
        <v>4</v>
      </c>
      <c r="G5071" s="7" t="inlineStr">
        <is>
          <t>Thanks for the easy recipe.</t>
        </is>
      </c>
    </row>
    <row r="5072">
      <c r="A5072" s="7" t="n">
        <v>202</v>
      </c>
      <c r="B5072" s="7" t="n">
        <v>1064693</v>
      </c>
      <c r="C5072" s="7" t="n">
        <v>227454</v>
      </c>
      <c r="D5072" s="7" t="n">
        <v>126997</v>
      </c>
      <c r="E5072" s="8" t="n">
        <v>39209</v>
      </c>
      <c r="F5072" s="7" t="n">
        <v>5</v>
      </c>
      <c r="G5072" s="7" t="inlineStr">
        <is>
          <t>These were very good!  We made meatball sandwiches.  When I make them again I will try to make them much more oblong as my ovals turned out kind of round during baking... Thanks for posting this recipe!</t>
        </is>
      </c>
    </row>
    <row r="5073">
      <c r="A5073" s="7" t="n">
        <v>48907</v>
      </c>
      <c r="B5073" s="7" t="n">
        <v>876830</v>
      </c>
      <c r="C5073" s="7" t="n">
        <v>1366254</v>
      </c>
      <c r="D5073" s="7" t="n">
        <v>306045</v>
      </c>
      <c r="E5073" s="8" t="n">
        <v>40133</v>
      </c>
      <c r="F5073" s="7" t="n">
        <v>4</v>
      </c>
      <c r="G5073" s="7" t="inlineStr">
        <is>
          <t>anything with Nutella is my friend your description of it is very apt</t>
        </is>
      </c>
    </row>
    <row r="5074">
      <c r="A5074" s="7" t="n">
        <v>8261</v>
      </c>
      <c r="B5074" s="7" t="n">
        <v>176846</v>
      </c>
      <c r="C5074" s="7" t="n">
        <v>13483</v>
      </c>
      <c r="D5074" s="7" t="n">
        <v>30565</v>
      </c>
      <c r="E5074" s="8" t="n">
        <v>37444</v>
      </c>
      <c r="F5074" s="7" t="n">
        <v>5</v>
      </c>
      <c r="G5074" s="7" t="inlineStr">
        <is>
          <t>Well you sure can't buy these at your friendly neighbourhood Safeway store!!!  For the little bit of time and work (I had them all done in an hour) these took, it was well worth it.  Think I'll have a "cookie" party soon.??</t>
        </is>
      </c>
    </row>
    <row r="5075">
      <c r="A5075" s="7" t="n">
        <v>63068</v>
      </c>
      <c r="B5075" s="7" t="n">
        <v>537413</v>
      </c>
      <c r="C5075" s="7" t="n">
        <v>491979</v>
      </c>
      <c r="D5075" s="7" t="n">
        <v>207929</v>
      </c>
      <c r="E5075" s="8" t="n">
        <v>40355</v>
      </c>
      <c r="F5075" s="7" t="n">
        <v>5</v>
      </c>
      <c r="G5075" s="7" t="inlineStr">
        <is>
          <t>Used Dole frozen mixed fruit chunks (strawberries,mango,pineapple and peaches) Used 1 packet of stevia Very good! Made for Zingo ZWT 6 for Queens of Quisine!</t>
        </is>
      </c>
    </row>
    <row r="5076">
      <c r="A5076" s="7" t="n">
        <v>30916</v>
      </c>
      <c r="B5076" s="7" t="n">
        <v>433052</v>
      </c>
      <c r="C5076" s="7" t="n">
        <v>101823</v>
      </c>
      <c r="D5076" s="7" t="n">
        <v>28648</v>
      </c>
      <c r="E5076" s="8" t="n">
        <v>38292</v>
      </c>
      <c r="F5076" s="7" t="n">
        <v>5</v>
      </c>
      <c r="G5076" s="7" t="inlineStr">
        <is>
          <t>This is incredibly easy and has a wonderful flavor and presentation.  Tonight, I was looking for a simple meal after a long day.  This was perfect.  I added crumbled bacon between the ham and cheese layers.  It provided great flavor.  Hubby wants me to add sauteed onions and peppers next time.  I served this with toasted English muffins and a simple fruit salad...breakfast for dinner...what could be easier.  LOL  I can't wait to serve this when I have overnight guests.</t>
        </is>
      </c>
    </row>
    <row r="5077">
      <c r="A5077" s="7" t="n">
        <v>16970</v>
      </c>
      <c r="B5077" s="7" t="n">
        <v>231162</v>
      </c>
      <c r="C5077" s="7" t="n">
        <v>1307705</v>
      </c>
      <c r="D5077" s="7" t="n">
        <v>78925</v>
      </c>
      <c r="E5077" s="8" t="n">
        <v>39991</v>
      </c>
      <c r="F5077" s="7" t="n">
        <v>5</v>
      </c>
      <c r="G5077" s="7" t="inlineStr">
        <is>
          <t>I made this tonight and it was so easy!  When it was close to the end of the 15 minutes of boiling, I  noticed the marmalade started getting a tiny bit darker. I pulled it off the stove at about "12 minutes of boiling, and it turned out great! At first, I wondered if it would come together or stay liquidy, and it thickened up nicely on it's own.  This was my first time making marmalade, but not my last. Delish!  Thank you so much!!!!!</t>
        </is>
      </c>
    </row>
    <row r="5078">
      <c r="A5078" s="7" t="n">
        <v>102611</v>
      </c>
      <c r="B5078" s="7" t="n">
        <v>508864</v>
      </c>
      <c r="C5078" s="7" t="n">
        <v>6357</v>
      </c>
      <c r="D5078" s="7" t="n">
        <v>90817</v>
      </c>
      <c r="E5078" s="8" t="n">
        <v>38114</v>
      </c>
      <c r="F5078" s="7" t="n">
        <v>5</v>
      </c>
      <c r="G5078" s="7" t="inlineStr">
        <is>
          <t>I have to admit, you have explained the roti making process here with full perfection! I make rotis every single day and this is exactly how I do it too. Wonderfully explained recipe!</t>
        </is>
      </c>
    </row>
    <row r="5079">
      <c r="A5079" s="7" t="n">
        <v>16852</v>
      </c>
      <c r="B5079" s="7" t="n">
        <v>69510</v>
      </c>
      <c r="C5079" s="7" t="n">
        <v>509805</v>
      </c>
      <c r="D5079" s="7" t="n">
        <v>330512</v>
      </c>
      <c r="E5079" s="8" t="n">
        <v>40160</v>
      </c>
      <c r="F5079" s="7" t="n">
        <v>5</v>
      </c>
      <c r="G5079" s="7" t="inlineStr">
        <is>
          <t>I have been making this salad for years!  My family loves it and it is a 'must have' for Christmas.  I use stawberry, lime, lemon and cherry in that order.</t>
        </is>
      </c>
    </row>
    <row r="5080">
      <c r="A5080" s="7" t="n">
        <v>45665</v>
      </c>
      <c r="B5080" s="7" t="n">
        <v>882406</v>
      </c>
      <c r="C5080" s="7" t="n">
        <v>1627823</v>
      </c>
      <c r="D5080" s="7" t="n">
        <v>294858</v>
      </c>
      <c r="E5080" s="8" t="n">
        <v>40759</v>
      </c>
      <c r="F5080" s="7" t="n">
        <v>5</v>
      </c>
      <c r="G5080" s="7" t="inlineStr">
        <is>
          <t>Delicious!  I used water and a vegetarian boullion cube in place of the chicken broth.  I also added a shallot, and dried parsley and thyme, which complimented the white wine.  So yummy, I had seconds.</t>
        </is>
      </c>
    </row>
    <row r="5081">
      <c r="A5081" s="7" t="n">
        <v>87527</v>
      </c>
      <c r="B5081" s="7" t="n">
        <v>1004865</v>
      </c>
      <c r="C5081" s="7" t="n">
        <v>2703606</v>
      </c>
      <c r="D5081" s="7" t="n">
        <v>495181</v>
      </c>
      <c r="E5081" s="8" t="n">
        <v>41325</v>
      </c>
      <c r="F5081" s="7" t="n">
        <v>5</v>
      </c>
      <c r="G5081" s="7" t="inlineStr">
        <is>
          <t>Delicious! Thanks for sharing</t>
        </is>
      </c>
    </row>
    <row r="5082" ht="409.5" customHeight="1">
      <c r="A5082" s="7" t="n">
        <v>11485</v>
      </c>
      <c r="B5082" s="7" t="n">
        <v>994628</v>
      </c>
      <c r="C5082" s="7" t="n">
        <v>28235</v>
      </c>
      <c r="D5082" s="7" t="n">
        <v>10095</v>
      </c>
      <c r="E5082" s="8" t="n">
        <v>37988</v>
      </c>
      <c r="F5082" s="7" t="n">
        <v>4</v>
      </c>
      <c r="G5082" s="9" t="inlineStr">
        <is>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is>
      </c>
    </row>
    <row r="5083">
      <c r="A5083" s="7" t="n">
        <v>112905</v>
      </c>
      <c r="B5083" s="7" t="n">
        <v>435736</v>
      </c>
      <c r="C5083" s="7" t="n">
        <v>2001671766</v>
      </c>
      <c r="D5083" s="7" t="n">
        <v>25486</v>
      </c>
      <c r="E5083" s="8" t="n">
        <v>42961</v>
      </c>
      <c r="F5083" s="7" t="n">
        <v>5</v>
      </c>
      <c r="G5083" s="7" t="inlineStr">
        <is>
          <t>I have cut back on sugar. Not every thing needs sugar but sweet pepper relish yes. Added own twist did not know where to start and really like simple recipes added half a medium cabbage and several types of peppers from local flea market I love it but original recipe is probably awesome since my twist came out really good, sweet and hot. Have made jellies and jams this is much easier. Thanks for great recipe</t>
        </is>
      </c>
    </row>
    <row r="5084">
      <c r="A5084" s="7" t="n">
        <v>119027</v>
      </c>
      <c r="B5084" s="7" t="n">
        <v>461511</v>
      </c>
      <c r="C5084" s="7" t="n">
        <v>379862</v>
      </c>
      <c r="D5084" s="7" t="n">
        <v>88430</v>
      </c>
      <c r="E5084" s="8" t="n">
        <v>39030</v>
      </c>
      <c r="F5084" s="7" t="n">
        <v>5</v>
      </c>
      <c r="G5084" s="7" t="inlineStr">
        <is>
          <t>Made this tonight for dinner and it was great! Didn't have spinach or cabbage, but it was great all the same. Our leftovers went in to the freezer for another good dinner some other night.  Thanks!</t>
        </is>
      </c>
    </row>
    <row r="5085">
      <c r="A5085" s="7" t="n">
        <v>35915</v>
      </c>
      <c r="B5085" s="7" t="n">
        <v>903171</v>
      </c>
      <c r="C5085" s="7" t="n">
        <v>1108749</v>
      </c>
      <c r="D5085" s="7" t="n">
        <v>140579</v>
      </c>
      <c r="E5085" s="8" t="n">
        <v>40040</v>
      </c>
      <c r="F5085" s="7" t="n">
        <v>5</v>
      </c>
      <c r="G5085" s="7" t="inlineStr">
        <is>
          <t>This was great!  I made a double batch and I think that I forgot to double the Splenda, but my husband said he thought it tasted like lemon pie.  The texture was like velvet and the pudding at the bottom was thick and rich.  My father in law enjoyed it for his birthday.  I did try the recipe from kittykat #2 for a frosting.  What a great suggestion!  Thank you both for the fabulous treat that was almost guilt free!  PS  I am going to try it again using orange zest and OJ, per DH's request.</t>
        </is>
      </c>
    </row>
    <row r="5086">
      <c r="A5086" s="7" t="n">
        <v>37929</v>
      </c>
      <c r="B5086" s="7" t="n">
        <v>315639</v>
      </c>
      <c r="C5086" s="7" t="n">
        <v>465829</v>
      </c>
      <c r="D5086" s="7" t="n">
        <v>141119</v>
      </c>
      <c r="E5086" s="8" t="n">
        <v>39786</v>
      </c>
      <c r="F5086" s="7" t="n">
        <v>5</v>
      </c>
      <c r="G5086" s="7" t="inlineStr">
        <is>
          <t>Very good! I made these for lunch this afternoon. I used my leftover gravy instead of using a packet. This made for quite a bit of filling, so I spooned the leftovers on top of the cups. I only had Grands style biscuits, so it made for eight big biscuits. They were a little soggy, but that is only from using the bigger biscuits. Super easy and a great way to use leftovers like you said. I will be looking forward to this simple recipe every time I made a turkey now. Made and Reviewed for Bargain Basement Tag Game - Thanks! :)</t>
        </is>
      </c>
    </row>
    <row r="5087">
      <c r="A5087" s="7" t="n">
        <v>114669</v>
      </c>
      <c r="B5087" s="7" t="n">
        <v>778431</v>
      </c>
      <c r="C5087" s="7" t="n">
        <v>394077</v>
      </c>
      <c r="D5087" s="7" t="n">
        <v>108524</v>
      </c>
      <c r="E5087" s="8" t="n">
        <v>39847</v>
      </c>
      <c r="F5087" s="7" t="n">
        <v>5</v>
      </c>
      <c r="G5087" s="7" t="inlineStr">
        <is>
          <t>I can only imagine how this cake will taste with Tortuga Rum.  I made with regular rum that I have and it was to die for.  My family ate half the cake after dinner and there are only 3 of us.  Thank you so much for such a wonderful wonderful recipe.  It is in my keeper file.</t>
        </is>
      </c>
    </row>
    <row r="5088">
      <c r="A5088" s="7" t="n">
        <v>60366</v>
      </c>
      <c r="B5088" s="7" t="n">
        <v>245660</v>
      </c>
      <c r="C5088" s="7" t="n">
        <v>145352</v>
      </c>
      <c r="D5088" s="7" t="n">
        <v>32576</v>
      </c>
      <c r="E5088" s="8" t="n">
        <v>38588</v>
      </c>
      <c r="F5088" s="7" t="n">
        <v>5</v>
      </c>
      <c r="G5088" s="7" t="inlineStr">
        <is>
          <t>My boys declared this the best sloppy joe ever! Very easy. I prepared a few weeks ahead and froze in a large ziplock bag. When I was ready to serve, I defrosted and then heated up in a pan and served on buns. They were just as good as before I froze them!</t>
        </is>
      </c>
    </row>
    <row r="5089">
      <c r="A5089" s="7" t="n">
        <v>106618</v>
      </c>
      <c r="B5089" s="7" t="n">
        <v>14551</v>
      </c>
      <c r="C5089" s="7" t="n">
        <v>407007</v>
      </c>
      <c r="D5089" s="7" t="n">
        <v>123835</v>
      </c>
      <c r="E5089" s="8" t="n">
        <v>39278</v>
      </c>
      <c r="F5089" s="7" t="n">
        <v>5</v>
      </c>
      <c r="G5089" s="7" t="inlineStr">
        <is>
          <t>mmm... sooo simple, and soooo yummy! makes for such a cute presentation too. I halfed this recipe and it was very easy to do like you said. :) I also used light sour cream. thanks for a keeper!</t>
        </is>
      </c>
    </row>
    <row r="5090">
      <c r="A5090" s="7" t="n">
        <v>22784</v>
      </c>
      <c r="B5090" s="7" t="n">
        <v>85449</v>
      </c>
      <c r="C5090" s="7" t="n">
        <v>573325</v>
      </c>
      <c r="D5090" s="7" t="n">
        <v>363721</v>
      </c>
      <c r="E5090" s="8" t="n">
        <v>40513</v>
      </c>
      <c r="F5090" s="7" t="n">
        <v>5</v>
      </c>
      <c r="G5090" s="7" t="inlineStr">
        <is>
          <t>This is the perfect plain and simple banana bread recipe! It is super easy and quick to make and tastes just delish with a strong banana flavour. I think chocolate covered raisins or coconut would be a great addition, but this is great plain, too. :)&lt;br/&gt;To make this even healthier I used a sugar substitute (only 1 tbs as the bananas were super sweet) and half whole spelt flour.&lt;br/&gt;I made this in muffin tins to reduce the baking time and this way it was done in 25 minutes.&lt;br/&gt;THANK YOU SO MUCH for sharing this wonderful keeper with us, Pat! Ill make this as my go-to banana bread from now on.&lt;br/&gt;Made and reviewed for Everyday is A Holiday Tag Game December 2010.</t>
        </is>
      </c>
    </row>
    <row r="5091">
      <c r="A5091" s="7" t="n">
        <v>62814</v>
      </c>
      <c r="B5091" s="7" t="n">
        <v>737209</v>
      </c>
      <c r="C5091" s="7" t="n">
        <v>12070</v>
      </c>
      <c r="D5091" s="7" t="n">
        <v>12830</v>
      </c>
      <c r="E5091" s="8" t="n">
        <v>37214</v>
      </c>
      <c r="F5091" s="7" t="n">
        <v>4</v>
      </c>
      <c r="G5091" s="7" t="inlineStr">
        <is>
          <t>quite tasty - depending on the size of the sweet potatoes, i'd increase the recommended number 1 per person.</t>
        </is>
      </c>
    </row>
    <row r="5092">
      <c r="A5092" s="7" t="n">
        <v>65628</v>
      </c>
      <c r="B5092" s="7" t="n">
        <v>266426</v>
      </c>
      <c r="C5092" s="7" t="n">
        <v>1418414</v>
      </c>
      <c r="D5092" s="7" t="n">
        <v>413510</v>
      </c>
      <c r="E5092" s="8" t="n">
        <v>41828</v>
      </c>
      <c r="F5092" s="7" t="n">
        <v>5</v>
      </c>
      <c r="G5092" s="7" t="inlineStr">
        <is>
          <t>This was wonderful.  I made a few changes, using 2 cups of home made raspberry sauce instead of pie filling.  I mixed the cake mix and eggs first, then stirred in the raspberries.  For the topping, my brown sugar was so hard that I put it in a bowl with the butter and melted them together.  I then added 1/2 C oatmeal and 1/2 C chopped hazelnuts  Perfect!  I guess you can&amp;#039;t go wrong with this recipe.  Make it for breakfast or for dessert, it&amp;#039;s delicious.</t>
        </is>
      </c>
    </row>
    <row r="5093">
      <c r="A5093" s="7" t="n">
        <v>103818</v>
      </c>
      <c r="B5093" s="7" t="n">
        <v>696276</v>
      </c>
      <c r="C5093" s="7" t="n">
        <v>47559</v>
      </c>
      <c r="D5093" s="7" t="n">
        <v>47545</v>
      </c>
      <c r="E5093" s="8" t="n">
        <v>37592</v>
      </c>
      <c r="F5093" s="7" t="n">
        <v>4</v>
      </c>
      <c r="G5093" s="7" t="inlineStr">
        <is>
          <t>Very good cookies.  I followed the recipe exactly.  Except for the chocolate part, they aren't very sweet.  I'll double the amount of sugar next time, because my family loves sweet cookies.  I was able to make 22 fingers from this batch.  Thanks for the recipe.  I'll make again.</t>
        </is>
      </c>
    </row>
    <row r="5094">
      <c r="A5094" s="7" t="n">
        <v>86983</v>
      </c>
      <c r="B5094" s="7" t="n">
        <v>1008194</v>
      </c>
      <c r="C5094" s="7" t="n">
        <v>71854</v>
      </c>
      <c r="D5094" s="7" t="n">
        <v>56366</v>
      </c>
      <c r="E5094" s="8" t="n">
        <v>38349</v>
      </c>
      <c r="F5094" s="7" t="n">
        <v>5</v>
      </c>
      <c r="G5094" s="7" t="inlineStr">
        <is>
          <t>Let me add my five stars! Easy, tasty "comfort soup"!  I had to cook it a little longer than specified because of the high altitude here, but other than that, I followed the directions exactly.</t>
        </is>
      </c>
    </row>
    <row r="5095">
      <c r="A5095" s="7" t="n">
        <v>64976</v>
      </c>
      <c r="B5095" s="7" t="n">
        <v>648295</v>
      </c>
      <c r="C5095" s="7" t="n">
        <v>68884</v>
      </c>
      <c r="D5095" s="7" t="n">
        <v>31235</v>
      </c>
      <c r="E5095" s="8" t="n">
        <v>38355</v>
      </c>
      <c r="F5095" s="7" t="n">
        <v>5</v>
      </c>
      <c r="G5095" s="7" t="inlineStr">
        <is>
          <t>I can't believe I've just now made this! It is WONDERFUL! I halved the recipe b/c I didn't have enough oats, and used about 3/4 a cup of sliced almonds and about 1 cup of pecans (it's what I had on hand); it's sooooo good. I immediately topped a serving of fresh fruit salad with some once it cooled; I left about half plain and added 2 handfuls of dried cranberries to the other half. This was easy, made the house smell great while cooking, and absolutely delicious. Best recipe I've tried in a while, and I've tried many really good ones. :)</t>
        </is>
      </c>
    </row>
    <row r="5096">
      <c r="A5096" s="7" t="n">
        <v>89950</v>
      </c>
      <c r="B5096" s="7" t="n">
        <v>901586</v>
      </c>
      <c r="C5096" s="7" t="n">
        <v>788414</v>
      </c>
      <c r="D5096" s="7" t="n">
        <v>110548</v>
      </c>
      <c r="E5096" s="8" t="n">
        <v>40018</v>
      </c>
      <c r="F5096" s="7" t="n">
        <v>5</v>
      </c>
      <c r="G5096" s="7" t="inlineStr">
        <is>
          <t>Really close!  I was surprised how similar it was.  I halved it.  Minced the onion in my food processor.  Sauteed the onion until soft.  Added the meat (extra lean).  Quickly used my spatula to finely separate the meat before it started to cook.  Added the remaining ingredients and cooked as followed.  For those not use to Skyline and have married into it (like me), don't forget to put the Tobasco out on the table like they do in the restaurant.  It makes all of the difference for us novices.  Thanks for sharing!</t>
        </is>
      </c>
    </row>
    <row r="5097">
      <c r="A5097" s="7" t="n">
        <v>108505</v>
      </c>
      <c r="B5097" s="7" t="n">
        <v>999777</v>
      </c>
      <c r="C5097" s="7" t="n">
        <v>424680</v>
      </c>
      <c r="D5097" s="7" t="n">
        <v>211903</v>
      </c>
      <c r="E5097" s="8" t="n">
        <v>40701</v>
      </c>
      <c r="F5097" s="7" t="n">
        <v>5</v>
      </c>
      <c r="G5097" s="7" t="inlineStr">
        <is>
          <t>Made this recipe as given &amp; we thoroughly enjoyed the combo of peanuts &amp; chocolate in these little treats! I did cut them a bit smaller, &amp; had 16 squares, but I'm sure that didn't cut back on the time needed to devour them all! Definitely a very nicely dressed up crispy bar! Thanks for sharing the recipe! [Made &amp; reviewed in Bargain Basement recipe tag]</t>
        </is>
      </c>
    </row>
    <row r="5098">
      <c r="A5098" s="7" t="n">
        <v>103825</v>
      </c>
      <c r="B5098" s="7" t="n">
        <v>247418</v>
      </c>
      <c r="C5098" s="7" t="n">
        <v>1705078</v>
      </c>
      <c r="D5098" s="7" t="n">
        <v>134304</v>
      </c>
      <c r="E5098" s="8" t="n">
        <v>40469</v>
      </c>
      <c r="F5098" s="7" t="n">
        <v>5</v>
      </c>
      <c r="G5098" s="7" t="inlineStr">
        <is>
          <t>These are a great accompaniment to Red Potage Soup, which is made with beets and read kidney beans.  These recipes can both be found in the Sundays at Moosewood Cookbook.  A new variation on tomato soup and grilled cheese.  So satisfying on a cold winter day with your family!!</t>
        </is>
      </c>
    </row>
    <row r="5099">
      <c r="A5099" t="n">
        <v>97308</v>
      </c>
      <c r="B5099" t="n">
        <v>474532</v>
      </c>
      <c r="C5099" t="n">
        <v>29782</v>
      </c>
      <c r="D5099" t="n">
        <v>41897</v>
      </c>
      <c r="E5099" s="1" t="n">
        <v>38647</v>
      </c>
      <c r="F5099" t="n">
        <v>5</v>
      </c>
      <c r="G5099" t="inlineStr">
        <is>
          <t xml:space="preserve">Giving a 5 star cause I think its simple and easy to make for a treat for a Halloween party or just sit around and snack on. Great kid friendly recipe too!!  Its a extra treat having the white chocolate over the cookie. YUM! They are delicious!  Thanks for sharing this recipe. I made them to send to my boys in NC for Halloween this year! </t>
        </is>
      </c>
    </row>
    <row r="5100">
      <c r="A5100" s="7" t="n">
        <v>121078</v>
      </c>
      <c r="B5100" s="7" t="n">
        <v>384584</v>
      </c>
      <c r="C5100" s="7" t="n">
        <v>1568596</v>
      </c>
      <c r="D5100" s="7" t="n">
        <v>405100</v>
      </c>
      <c r="E5100" s="8" t="n">
        <v>42037</v>
      </c>
      <c r="F5100" s="7" t="n">
        <v>4</v>
      </c>
      <c r="G5100" s="7" t="inlineStr">
        <is>
          <t>I absolutely LOVE this idea...great combination. However, I changed a few things to make it even better. Instead of using 1/4 cup butter, I used 1/4 cup cream cheese, softened. Then I used green onions instead of celery, only because I didn&amp;#039;t have any celery in the house, and it was delicious! I, too, added some ranch and a little blue cheese dressing and it was very creamy and yummy.</t>
        </is>
      </c>
    </row>
    <row r="5101">
      <c r="A5101" s="7" t="n">
        <v>21398</v>
      </c>
      <c r="B5101" s="7" t="n">
        <v>656290</v>
      </c>
      <c r="C5101" s="7" t="n">
        <v>14823</v>
      </c>
      <c r="D5101" s="7" t="n">
        <v>27208</v>
      </c>
      <c r="E5101" s="8" t="n">
        <v>38264</v>
      </c>
      <c r="F5101" s="7" t="n">
        <v>5</v>
      </c>
      <c r="G5101" s="7" t="inlineStr">
        <is>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is>
      </c>
    </row>
    <row r="5102">
      <c r="A5102" s="7" t="n">
        <v>48676</v>
      </c>
      <c r="B5102" s="7" t="n">
        <v>118616</v>
      </c>
      <c r="C5102" s="7" t="n">
        <v>895132</v>
      </c>
      <c r="D5102" s="7" t="n">
        <v>370195</v>
      </c>
      <c r="E5102" s="8" t="n">
        <v>40533</v>
      </c>
      <c r="F5102" s="7" t="n">
        <v>4</v>
      </c>
      <c r="G5102" s="7" t="inlineStr">
        <is>
          <t>This was very good. My lentils were soft after 15 minutes and I used coconut oil for sauteeing. WIll make this again. Thanks for posting!&lt;br/&gt;Made for PARTY 2010.</t>
        </is>
      </c>
    </row>
    <row r="5103">
      <c r="A5103" s="7" t="n">
        <v>108248</v>
      </c>
      <c r="B5103" s="7" t="n">
        <v>347438</v>
      </c>
      <c r="C5103" s="7" t="n">
        <v>780064</v>
      </c>
      <c r="D5103" s="7" t="n">
        <v>385071</v>
      </c>
      <c r="E5103" s="8" t="n">
        <v>40054</v>
      </c>
      <c r="F5103" s="7" t="n">
        <v>5</v>
      </c>
      <c r="G5103" s="7" t="inlineStr">
        <is>
          <t>as easy as it sounds and delicious!</t>
        </is>
      </c>
    </row>
    <row r="5104">
      <c r="A5104" s="7" t="n">
        <v>29301</v>
      </c>
      <c r="B5104" s="7" t="n">
        <v>682690</v>
      </c>
      <c r="C5104" s="7" t="n">
        <v>2802612</v>
      </c>
      <c r="D5104" s="7" t="n">
        <v>2519</v>
      </c>
      <c r="E5104" s="8" t="n">
        <v>41391</v>
      </c>
      <c r="F5104" s="7" t="n">
        <v>5</v>
      </c>
      <c r="G5104" s="7" t="inlineStr">
        <is>
          <t>VERY GOOD RECIPE!  I had no problems with them being greasy.  Also, you have to let them cool completely before attempting to cut - otherwise they will crumble (although the crumble is quite good!).  I did add chocolate chips to the recipe for additional flavour, but they were yummy the way they were.  Thank you.</t>
        </is>
      </c>
    </row>
    <row r="5105">
      <c r="A5105" s="7" t="n">
        <v>35206</v>
      </c>
      <c r="B5105" s="7" t="n">
        <v>453170</v>
      </c>
      <c r="C5105" s="7" t="n">
        <v>346860</v>
      </c>
      <c r="D5105" s="7" t="n">
        <v>160251</v>
      </c>
      <c r="E5105" s="8" t="n">
        <v>39728</v>
      </c>
      <c r="F5105" s="7" t="n">
        <v>4</v>
      </c>
      <c r="G5105" s="7" t="inlineStr">
        <is>
          <t>Lovely, fresh flavors. We added some green beans because we only had about half a pound of asparagus. We also used sweet cherry tomatoes rather than romas simply b/c they were in season here. Light, flavorful and yummy!</t>
        </is>
      </c>
    </row>
    <row r="5106">
      <c r="A5106" s="7" t="n">
        <v>43573</v>
      </c>
      <c r="B5106" s="7" t="n">
        <v>379131</v>
      </c>
      <c r="C5106" s="7" t="n">
        <v>63098</v>
      </c>
      <c r="D5106" s="7" t="n">
        <v>26059</v>
      </c>
      <c r="E5106" s="8" t="n">
        <v>39830</v>
      </c>
      <c r="F5106" s="7" t="n">
        <v>2</v>
      </c>
      <c r="G5106" s="7" t="inlineStr">
        <is>
          <t>this didn't work for me- wasn't the blackened i am used to- no heat. and for some reason the seasonings stuck to the bottom of the pan- that has never happened to me before. wish i could rate it better but this just wasn't to our liking.</t>
        </is>
      </c>
    </row>
    <row r="5107">
      <c r="A5107" s="7" t="n">
        <v>100314</v>
      </c>
      <c r="B5107" s="7" t="n">
        <v>209043</v>
      </c>
      <c r="C5107" s="7" t="n">
        <v>1250873</v>
      </c>
      <c r="D5107" s="7" t="n">
        <v>209398</v>
      </c>
      <c r="E5107" s="8" t="n">
        <v>40139</v>
      </c>
      <c r="F5107" s="7" t="n">
        <v>4</v>
      </c>
      <c r="G5107" s="7" t="inlineStr">
        <is>
          <t>Sooooo easy(:  We had it over egg noodles this time but will be trying it over mashed potatoes in the near future.</t>
        </is>
      </c>
    </row>
    <row r="5108">
      <c r="A5108" s="7" t="n">
        <v>86648</v>
      </c>
      <c r="B5108" s="7" t="n">
        <v>1016663</v>
      </c>
      <c r="C5108" s="7" t="n">
        <v>2956001</v>
      </c>
      <c r="D5108" s="7" t="n">
        <v>349246</v>
      </c>
      <c r="E5108" s="8" t="n">
        <v>41509</v>
      </c>
      <c r="F5108" s="7" t="n">
        <v>5</v>
      </c>
      <c r="G5108" s="7" t="inlineStr">
        <is>
          <t>THE REAL CURE FOR MY PMS! Just looooove it :) Smooth, creamy... pure awesomeness</t>
        </is>
      </c>
    </row>
    <row r="5109">
      <c r="A5109" s="7" t="n">
        <v>1745</v>
      </c>
      <c r="B5109" s="7" t="n">
        <v>954732</v>
      </c>
      <c r="C5109" s="7" t="n">
        <v>135470</v>
      </c>
      <c r="D5109" s="7" t="n">
        <v>502817</v>
      </c>
      <c r="E5109" s="8" t="n">
        <v>41513</v>
      </c>
      <c r="F5109" s="7" t="n">
        <v>4</v>
      </c>
      <c r="G5109" s="7" t="inlineStr">
        <is>
          <t>This made a quick and tasty appetizer. I could do without the mint, but other than that enjoyed the flavors. Made for ZWT 9</t>
        </is>
      </c>
    </row>
    <row r="5110">
      <c r="A5110" s="7" t="n">
        <v>8544</v>
      </c>
      <c r="B5110" s="7" t="n">
        <v>646682</v>
      </c>
      <c r="C5110" s="7" t="n">
        <v>2627137</v>
      </c>
      <c r="D5110" s="7" t="n">
        <v>341354</v>
      </c>
      <c r="E5110" s="8" t="n">
        <v>41380</v>
      </c>
      <c r="F5110" s="7" t="n">
        <v>5</v>
      </c>
      <c r="G5110" s="7" t="inlineStr">
        <is>
          <t>Finally a sauce I love to make. This is exactly what I have been looking for all these years.</t>
        </is>
      </c>
    </row>
    <row r="5111">
      <c r="A5111" s="7" t="n">
        <v>21821</v>
      </c>
      <c r="B5111" s="7" t="n">
        <v>778480</v>
      </c>
      <c r="C5111" s="7" t="n">
        <v>2149198</v>
      </c>
      <c r="D5111" s="7" t="n">
        <v>108524</v>
      </c>
      <c r="E5111" s="8" t="n">
        <v>40924</v>
      </c>
      <c r="F5111" s="7" t="n">
        <v>5</v>
      </c>
      <c r="G5111" s="7" t="inlineStr">
        <is>
          <t>I did it! &lt;br/&gt;&lt;br/&gt;My co-worker brought in the Tortuga cake to work on Friday... she said it is the world's best rum cake ever....I said there must be a recipe somewhere online for it as I refuse to eat store bought stuff and always prefer homecooked. soooo I stumbled opon this site.... thank you thank you thank you for this lovely recipe.... I made my very first rum cake... it's cooling now... and my co-worker will be the first one to try it tomorrow at work... I'm excited to hear her opinion....</t>
        </is>
      </c>
    </row>
    <row r="5112">
      <c r="A5112" s="7" t="n">
        <v>114791</v>
      </c>
      <c r="B5112" s="7" t="n">
        <v>1074371</v>
      </c>
      <c r="C5112" s="7" t="n">
        <v>792134</v>
      </c>
      <c r="D5112" s="7" t="n">
        <v>135350</v>
      </c>
      <c r="E5112" s="8" t="n">
        <v>40051</v>
      </c>
      <c r="F5112" s="7" t="n">
        <v>5</v>
      </c>
      <c r="G5112" s="7" t="inlineStr">
        <is>
          <t>Wow!  Talk about yummy!  I didn't have any cream, so I substituted it with half a block of cream cheese and it turned out really well.</t>
        </is>
      </c>
    </row>
    <row r="5113">
      <c r="A5113" s="7" t="n">
        <v>21391</v>
      </c>
      <c r="B5113" s="7" t="n">
        <v>721861</v>
      </c>
      <c r="C5113" s="7" t="n">
        <v>538751</v>
      </c>
      <c r="D5113" s="7" t="n">
        <v>94532</v>
      </c>
      <c r="E5113" s="8" t="n">
        <v>39280</v>
      </c>
      <c r="F5113" s="7" t="n">
        <v>2</v>
      </c>
      <c r="G5113" s="7" t="inlineStr">
        <is>
          <t>I'm sorry to say, these muffins DID NOT work out with me. I found the zest too ovrpowering and not easily incorporated. Sure, they were fluffy, but I have to say, lacking in flavor.</t>
        </is>
      </c>
    </row>
    <row r="5114">
      <c r="A5114" s="7" t="n">
        <v>7727</v>
      </c>
      <c r="B5114" s="7" t="n">
        <v>848945</v>
      </c>
      <c r="C5114" s="7" t="n">
        <v>113117</v>
      </c>
      <c r="D5114" s="7" t="n">
        <v>28969</v>
      </c>
      <c r="E5114" s="8" t="n">
        <v>38330</v>
      </c>
      <c r="F5114" s="7" t="n">
        <v>5</v>
      </c>
      <c r="G5114" s="7" t="inlineStr">
        <is>
          <t>This was so yummy and easy. I added the peas frozen and threw in a little worcestershire sauce and hot sauce for additional flavor.  I didn't have potato chips but substituted Ritz crackers. We will be making often.</t>
        </is>
      </c>
    </row>
    <row r="5115">
      <c r="A5115" s="7" t="n">
        <v>12493</v>
      </c>
      <c r="B5115" s="7" t="n">
        <v>110433</v>
      </c>
      <c r="C5115" s="7" t="n">
        <v>47892</v>
      </c>
      <c r="D5115" s="7" t="n">
        <v>318406</v>
      </c>
      <c r="E5115" s="8" t="n">
        <v>40394</v>
      </c>
      <c r="F5115" s="7" t="n">
        <v>5</v>
      </c>
      <c r="G5115" s="7" t="inlineStr">
        <is>
          <t>A dozen years ago a restaurant in town closed and with it they took their&lt;br/&gt;secret recipe for a grilled tofu sandwich. I believe I have discovered the recipe! My changes:&lt;br/&gt;increased heat to low-medium and substituted maple syrup for brown sugar. Be sure to: cut tofu into 1/4" slices and use [firm] tofu or it will fall apart.  Thank you, Sharon, you made my day! Reviewed for Veg Tag August.</t>
        </is>
      </c>
    </row>
    <row r="5116">
      <c r="A5116" s="7" t="n">
        <v>23906</v>
      </c>
      <c r="B5116" s="7" t="n">
        <v>764101</v>
      </c>
      <c r="C5116" s="7" t="n">
        <v>1019163</v>
      </c>
      <c r="D5116" s="7" t="n">
        <v>297877</v>
      </c>
      <c r="E5116" s="8" t="n">
        <v>40938</v>
      </c>
      <c r="F5116" s="7" t="n">
        <v>5</v>
      </c>
      <c r="G5116" s="7" t="inlineStr">
        <is>
          <t>I don't understand why more people haven't tried this recipe; it so easy and so GOOD!  I didn't have the dry milk, so I left it out but otherwise made as directed.  My DH and I loved it!  We love curry, so after trying it as is, I did add some more due to our personal preference.  Thanks for posting this; it's perfect for an easy weeknight dinner.</t>
        </is>
      </c>
    </row>
    <row r="5117">
      <c r="A5117" s="7" t="n">
        <v>118709</v>
      </c>
      <c r="B5117" s="7" t="n">
        <v>589701</v>
      </c>
      <c r="C5117" s="7" t="n">
        <v>15521</v>
      </c>
      <c r="D5117" s="7" t="n">
        <v>318762</v>
      </c>
      <c r="E5117" s="8" t="n">
        <v>40601</v>
      </c>
      <c r="F5117" s="7" t="n">
        <v>5</v>
      </c>
      <c r="G5117" s="7" t="inlineStr">
        <is>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is>
      </c>
    </row>
    <row r="5118">
      <c r="A5118" s="7" t="n">
        <v>89627</v>
      </c>
      <c r="B5118" s="7" t="n">
        <v>861431</v>
      </c>
      <c r="C5118" s="7" t="n">
        <v>1315277</v>
      </c>
      <c r="D5118" s="7" t="n">
        <v>6442</v>
      </c>
      <c r="E5118" s="8" t="n">
        <v>40007</v>
      </c>
      <c r="F5118" s="7" t="n">
        <v>4</v>
      </c>
      <c r="G5118" s="7" t="inlineStr">
        <is>
          <t>wonderful and easy!  i added fresh carrots as well....also added some minced garlic and minced onion for extra flavor...YUMMY!!</t>
        </is>
      </c>
    </row>
    <row r="5119">
      <c r="A5119" s="7" t="n">
        <v>103326</v>
      </c>
      <c r="B5119" s="7" t="n">
        <v>688823</v>
      </c>
      <c r="C5119" s="7" t="n">
        <v>39835</v>
      </c>
      <c r="D5119" s="7" t="n">
        <v>58562</v>
      </c>
      <c r="E5119" s="8" t="n">
        <v>38320</v>
      </c>
      <c r="F5119" s="7" t="n">
        <v>4</v>
      </c>
      <c r="G5119" s="7" t="inlineStr">
        <is>
          <t>Good, hearty and easy-to-make. I used 16 ounces of penne pasta with red wine (instead of the white) with good results. Next time I'll add some green peppers and mushrooms, oregano, and some extra garlic to jazz it up a bit. Thanks for sharing!</t>
        </is>
      </c>
    </row>
    <row r="5120">
      <c r="A5120" s="7" t="n">
        <v>61522</v>
      </c>
      <c r="B5120" s="7" t="n">
        <v>763618</v>
      </c>
      <c r="C5120" s="7" t="n">
        <v>308507</v>
      </c>
      <c r="D5120" s="7" t="n">
        <v>215089</v>
      </c>
      <c r="E5120" s="8" t="n">
        <v>39210</v>
      </c>
      <c r="F5120" s="7" t="n">
        <v>0</v>
      </c>
      <c r="G5120" s="7" t="inlineStr">
        <is>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is>
      </c>
    </row>
    <row r="5121">
      <c r="A5121" s="7" t="n">
        <v>93302</v>
      </c>
      <c r="B5121" s="7" t="n">
        <v>971941</v>
      </c>
      <c r="C5121" s="7" t="n">
        <v>27961</v>
      </c>
      <c r="D5121" s="7" t="n">
        <v>140878</v>
      </c>
      <c r="E5121" s="8" t="n">
        <v>39636</v>
      </c>
      <c r="F5121" s="7" t="n">
        <v>5</v>
      </c>
      <c r="G5121" s="7" t="inlineStr">
        <is>
          <t>I'm just adding my review so I can find it easily on my review page. The best roast I have ever eaten. Thanks a million times!</t>
        </is>
      </c>
    </row>
    <row r="5122">
      <c r="A5122" s="7" t="n">
        <v>1746</v>
      </c>
      <c r="B5122" s="7" t="n">
        <v>493039</v>
      </c>
      <c r="C5122" s="7" t="n">
        <v>68460</v>
      </c>
      <c r="D5122" s="7" t="n">
        <v>101891</v>
      </c>
      <c r="E5122" s="8" t="n">
        <v>38316</v>
      </c>
      <c r="F5122" s="7" t="n">
        <v>5</v>
      </c>
      <c r="G5122" s="7" t="inlineStr">
        <is>
          <t>Tasty tofu Mlok!  I cooked up a large batch of these and we had some plain, some dipped in Thai chili sauce and used most of them in recipe #290 Bean Curd with Broccoli.  Very nice....my daughter went home with the recipe.  Thanks Mlok for posting this :)</t>
        </is>
      </c>
    </row>
    <row r="5123">
      <c r="A5123" s="7" t="n">
        <v>61508</v>
      </c>
      <c r="B5123" s="7" t="n">
        <v>51172</v>
      </c>
      <c r="C5123" s="7" t="n">
        <v>136997</v>
      </c>
      <c r="D5123" s="7" t="n">
        <v>189252</v>
      </c>
      <c r="E5123" s="8" t="n">
        <v>39145</v>
      </c>
      <c r="F5123" s="7" t="n">
        <v>5</v>
      </c>
      <c r="G5123" s="7" t="inlineStr">
        <is>
          <t>Oh my word, these were so good! My husband couldn't stop eating it right out of the bowl. Very addictive for sure. :)</t>
        </is>
      </c>
    </row>
    <row r="5124">
      <c r="A5124" s="7" t="n">
        <v>34016</v>
      </c>
      <c r="B5124" s="7" t="n">
        <v>82632</v>
      </c>
      <c r="C5124" s="7" t="n">
        <v>1273292</v>
      </c>
      <c r="D5124" s="7" t="n">
        <v>281730</v>
      </c>
      <c r="E5124" s="8" t="n">
        <v>40617</v>
      </c>
      <c r="F5124" s="7" t="n">
        <v>5</v>
      </c>
      <c r="G5124" s="7" t="inlineStr">
        <is>
          <t>I made this tonight for the second time and will make it again and again! I halved the steak recipe and kept the sauce ingredients for 4 servings.I used Barefoot sweet red wine and it tasted great! I also added the sliced cooked steak for a couple of minutes to pan with the sauce to simmer before serving over egg noodles.Very quick and easy weeknight dinner!! DH and I both loved this yummy meal!</t>
        </is>
      </c>
    </row>
    <row r="5125">
      <c r="A5125" s="7" t="n">
        <v>71029</v>
      </c>
      <c r="B5125" s="7" t="n">
        <v>1097029</v>
      </c>
      <c r="C5125" s="7" t="n">
        <v>52114</v>
      </c>
      <c r="D5125" s="7" t="n">
        <v>69930</v>
      </c>
      <c r="E5125" s="8" t="n">
        <v>38083</v>
      </c>
      <c r="F5125" s="7" t="n">
        <v>5</v>
      </c>
      <c r="G5125" s="7" t="inlineStr">
        <is>
          <t>I had this at the Corner Bakery in northern Virginia and liked it so well, I was thrilled to find it on the 'zaar. I made it using Prairie Grain whole wheat cinnamon/raisen bread, and substituted sour cream for whipping cream, which I didn't have on hand. It turned out well, and I'll make it again. The only thing I will do differently is increase all the ingredients in step 5, as the Prairie Grain loaf is very large, and this is best when the bread is thoroughly saturated. I think it would work well to prepare it the night before and just pop in the the oven in the morning. A very special brunch!</t>
        </is>
      </c>
    </row>
    <row r="5126">
      <c r="A5126" s="7" t="n">
        <v>109696</v>
      </c>
      <c r="B5126" s="7" t="n">
        <v>1049880</v>
      </c>
      <c r="C5126" s="7" t="n">
        <v>324390</v>
      </c>
      <c r="D5126" s="7" t="n">
        <v>85855</v>
      </c>
      <c r="E5126" s="8" t="n">
        <v>39261</v>
      </c>
      <c r="F5126" s="7" t="n">
        <v>5</v>
      </c>
      <c r="G5126" s="7" t="inlineStr">
        <is>
          <t>Wow! really good and very quick to make. I didn't have the soup with herbs so I just used condensed cream of chicken and added fresh thyme, oregano, dill, and chives from my garden. Was wonderful served over biscuits! DBF said "this is Good!" after one bite so I know this is a keeper!</t>
        </is>
      </c>
    </row>
    <row r="5127">
      <c r="A5127" s="7" t="n">
        <v>93701</v>
      </c>
      <c r="B5127" s="7" t="n">
        <v>36086</v>
      </c>
      <c r="C5127" s="7" t="n">
        <v>706608</v>
      </c>
      <c r="D5127" s="7" t="n">
        <v>53357</v>
      </c>
      <c r="E5127" s="8" t="n">
        <v>39741</v>
      </c>
      <c r="F5127" s="7" t="n">
        <v>0</v>
      </c>
      <c r="G5127" s="7" t="inlineStr">
        <is>
          <t>Just what I was looking for. As far as taste these are perfect! But mine didn't dry all the way through useing this method.</t>
        </is>
      </c>
    </row>
    <row r="5128">
      <c r="A5128" s="7" t="n">
        <v>20378</v>
      </c>
      <c r="B5128" s="7" t="n">
        <v>1127839</v>
      </c>
      <c r="C5128" s="7" t="n">
        <v>612248</v>
      </c>
      <c r="D5128" s="7" t="n">
        <v>29912</v>
      </c>
      <c r="E5128" s="8" t="n">
        <v>40197</v>
      </c>
      <c r="F5128" s="7" t="n">
        <v>5</v>
      </c>
      <c r="G5128" s="7" t="inlineStr">
        <is>
          <t>Yum, next time I might add rasins.</t>
        </is>
      </c>
    </row>
    <row r="5129" ht="409.5" customHeight="1">
      <c r="A5129" s="7" t="n">
        <v>45365</v>
      </c>
      <c r="B5129" s="7" t="n">
        <v>865668</v>
      </c>
      <c r="C5129" s="7" t="n">
        <v>429815</v>
      </c>
      <c r="D5129" s="7" t="n">
        <v>85701</v>
      </c>
      <c r="E5129" s="8" t="n">
        <v>39467</v>
      </c>
      <c r="F5129" s="7" t="n">
        <v>3</v>
      </c>
      <c r="G5129" s="9" t="inlineStr">
        <is>
          <t>I made this with 3 melted chocolate squares. Yes, it is drippy and good, just not what I expected._x000D_
_x000D_
I'd do this again for a Bundt cake in a heartbeat. I'm not too sure about doing a layer cake with it as it slipped off the sides._x000D_
_x000D_
It is very tasty, btw!</t>
        </is>
      </c>
    </row>
    <row r="5130">
      <c r="A5130" s="7" t="n">
        <v>92366</v>
      </c>
      <c r="B5130" s="7" t="n">
        <v>1050029</v>
      </c>
      <c r="C5130" s="7" t="n">
        <v>52487</v>
      </c>
      <c r="D5130" s="7" t="n">
        <v>53878</v>
      </c>
      <c r="E5130" s="8" t="n">
        <v>38018</v>
      </c>
      <c r="F5130" s="7" t="n">
        <v>5</v>
      </c>
      <c r="G5130" s="7" t="inlineStr">
        <is>
          <t xml:space="preserve">These are great everyone at the party loved them. </t>
        </is>
      </c>
    </row>
    <row r="5131">
      <c r="A5131" s="7" t="n">
        <v>16517</v>
      </c>
      <c r="B5131" s="7" t="n">
        <v>81040</v>
      </c>
      <c r="C5131" s="7" t="n">
        <v>1279243</v>
      </c>
      <c r="D5131" s="7" t="n">
        <v>23439</v>
      </c>
      <c r="E5131" s="8" t="n">
        <v>39960</v>
      </c>
      <c r="F5131" s="7" t="n">
        <v>5</v>
      </c>
      <c r="G5131" s="7" t="inlineStr">
        <is>
          <t>Anything with feta cheese in it gets an A+ in my book, but this dip is out of this world! It's so simple to make, and the garlic flavor was perfect! I added about 1 tablespoon of sour cream that was left in the fridge, and it was creamy and delicious. Try it with Ritz crackers!</t>
        </is>
      </c>
    </row>
    <row r="5132">
      <c r="A5132" s="7" t="n">
        <v>40255</v>
      </c>
      <c r="B5132" s="7" t="n">
        <v>961087</v>
      </c>
      <c r="C5132" s="7" t="n">
        <v>1242361</v>
      </c>
      <c r="D5132" s="7" t="n">
        <v>324696</v>
      </c>
      <c r="E5132" s="8" t="n">
        <v>39921</v>
      </c>
      <c r="F5132" s="7" t="n">
        <v>0</v>
      </c>
      <c r="G5132" s="7" t="inlineStr">
        <is>
          <t>Great one! More authenthic than most on the site!</t>
        </is>
      </c>
    </row>
    <row r="5133">
      <c r="A5133" s="7" t="n">
        <v>63215</v>
      </c>
      <c r="B5133" s="7" t="n">
        <v>1051142</v>
      </c>
      <c r="C5133" s="7" t="n">
        <v>28649</v>
      </c>
      <c r="D5133" s="7" t="n">
        <v>25094</v>
      </c>
      <c r="E5133" s="8" t="n">
        <v>37368</v>
      </c>
      <c r="F5133" s="7" t="n">
        <v>5</v>
      </c>
      <c r="G5133" s="7" t="inlineStr">
        <is>
          <t>This is very easy and the chicken is moist.  Even my very picky daughter liked it.  I will be making this again.</t>
        </is>
      </c>
    </row>
    <row r="5134">
      <c r="A5134" s="7" t="n">
        <v>44042</v>
      </c>
      <c r="B5134" s="7" t="n">
        <v>849815</v>
      </c>
      <c r="C5134" s="7" t="n">
        <v>166642</v>
      </c>
      <c r="D5134" s="7" t="n">
        <v>282336</v>
      </c>
      <c r="E5134" s="8" t="n">
        <v>39734</v>
      </c>
      <c r="F5134" s="7" t="n">
        <v>3</v>
      </c>
      <c r="G5134" s="7" t="inlineStr">
        <is>
          <t>These were OK cookies for us. They turned out a little dry and I only baked them for 10 minutes. The directions are not like I'm used to when it comes to a chocolate chip-type cookie. So I creamed the butter with the sugar and then added the egg and vanilla. I then added the flour, baking soda and baking powder and lastly the M&amp;Ms. I got 24 cookies from this recipe. I chose to use the pink M&amp;Ms in honor of it being Breast Cancer Awareness month. I think this recipe could use a little more butter or an extra eggs. Thanks for sharing. Made for PAC Fall 2008.</t>
        </is>
      </c>
    </row>
    <row r="5135">
      <c r="A5135" s="7" t="n">
        <v>32774</v>
      </c>
      <c r="B5135" s="7" t="n">
        <v>984173</v>
      </c>
      <c r="C5135" s="7" t="n">
        <v>20966</v>
      </c>
      <c r="D5135" s="7" t="n">
        <v>9272</v>
      </c>
      <c r="E5135" s="8" t="n">
        <v>37175</v>
      </c>
      <c r="F5135" s="7" t="n">
        <v>5</v>
      </c>
      <c r="G5135" s="7" t="inlineStr">
        <is>
          <t>This is the first time I have canned salsa and this one is AWESOME! I'm going to make another batch because everyone that tries it will want some.</t>
        </is>
      </c>
    </row>
    <row r="5136">
      <c r="A5136" s="7" t="n">
        <v>14819</v>
      </c>
      <c r="B5136" s="7" t="n">
        <v>967521</v>
      </c>
      <c r="C5136" s="7" t="n">
        <v>274585</v>
      </c>
      <c r="D5136" s="7" t="n">
        <v>220871</v>
      </c>
      <c r="E5136" s="8" t="n">
        <v>39208</v>
      </c>
      <c r="F5136" s="7" t="n">
        <v>5</v>
      </c>
      <c r="G5136" s="7" t="inlineStr">
        <is>
          <t>This was excellent. So much flavor! I used a mix of canneloni beans and lentils instead of chickpeas (which are too hard to find in Korea), and it was still great! I also used dried thyme and parsley so cut the amount in half.</t>
        </is>
      </c>
    </row>
    <row r="5137">
      <c r="A5137" s="7" t="n">
        <v>31652</v>
      </c>
      <c r="B5137" s="7" t="n">
        <v>1004308</v>
      </c>
      <c r="C5137" s="7" t="n">
        <v>462821</v>
      </c>
      <c r="D5137" s="7" t="n">
        <v>154356</v>
      </c>
      <c r="E5137" s="8" t="n">
        <v>40188</v>
      </c>
      <c r="F5137" s="7" t="n">
        <v>5</v>
      </c>
      <c r="G5137" s="7" t="inlineStr">
        <is>
          <t>Husband tasted/tested and approved! Tasty and easy to throw together. I only had regular soy sauce, so I diluted it with some pineapple juice and water to cut down the saltiness (about 1.5 to 2 cups liquid altogether). I also doubled the brown sugar and used 1 T of ground ginger rather than fresh ginger. Cooked it on HIGH for 5 hours, and the chicken was tender and juicy. Served it over plain Basmati rice to sop up all the sauce.</t>
        </is>
      </c>
    </row>
    <row r="5138">
      <c r="A5138" s="7" t="n">
        <v>58716</v>
      </c>
      <c r="B5138" s="7" t="n">
        <v>377111</v>
      </c>
      <c r="C5138" s="7" t="n">
        <v>52282</v>
      </c>
      <c r="D5138" s="7" t="n">
        <v>112196</v>
      </c>
      <c r="E5138" s="8" t="n">
        <v>38459</v>
      </c>
      <c r="F5138" s="7" t="n">
        <v>3</v>
      </c>
      <c r="G5138" s="7" t="inlineStr">
        <is>
          <t>this was easy to prepare with dried figs. i added some candied ginger during the last 15 minutes of cooking time. this had alot more liquid than most fruit  compotes that i prepare, but i usually use port or brandy for figs. i think 1 cup of water would have been more than enough. the ginger flavor was very nice.</t>
        </is>
      </c>
    </row>
    <row r="5139">
      <c r="A5139" s="7" t="n">
        <v>83370</v>
      </c>
      <c r="B5139" s="7" t="n">
        <v>606890</v>
      </c>
      <c r="C5139" s="7" t="n">
        <v>128473</v>
      </c>
      <c r="D5139" s="7" t="n">
        <v>278031</v>
      </c>
      <c r="E5139" s="8" t="n">
        <v>41202</v>
      </c>
      <c r="F5139" s="7" t="n">
        <v>5</v>
      </c>
      <c r="G5139" s="7" t="inlineStr">
        <is>
          <t>I love waffles and these quick and easy to make babies are the bomb.  They turned out just the way I like them.  Crisp and tender, full of flavor. Perfect with topping or without.  I got 8 waffles from 1/2 the recipe, must have a smaller waffle machine than you.  I did garnish these little gems with warm maple syrup, for a delicious brunch.  Thanks so much for sharing...Made for Fall Pac/12</t>
        </is>
      </c>
    </row>
    <row r="5140">
      <c r="A5140" s="7" t="n">
        <v>18423</v>
      </c>
      <c r="B5140" s="7" t="n">
        <v>1034579</v>
      </c>
      <c r="C5140" s="7" t="n">
        <v>816417</v>
      </c>
      <c r="D5140" s="7" t="n">
        <v>109283</v>
      </c>
      <c r="E5140" s="8" t="n">
        <v>39551</v>
      </c>
      <c r="F5140" s="7" t="n">
        <v>0</v>
      </c>
      <c r="G5140" s="7" t="inlineStr">
        <is>
          <t>I made this last night for 8 people and I had enough for 12. It was a huge hit! Not one morsel was left. I will keep this one for sure!!</t>
        </is>
      </c>
    </row>
    <row r="5141">
      <c r="A5141" s="7" t="n">
        <v>69400</v>
      </c>
      <c r="B5141" s="7" t="n">
        <v>405068</v>
      </c>
      <c r="C5141" s="7" t="n">
        <v>362919</v>
      </c>
      <c r="D5141" s="7" t="n">
        <v>71849</v>
      </c>
      <c r="E5141" s="8" t="n">
        <v>39370</v>
      </c>
      <c r="F5141" s="7" t="n">
        <v>4</v>
      </c>
      <c r="G5141" s="7" t="inlineStr">
        <is>
          <t>well your a savior lol. i wonder if we were trying to make the same recipe, because minus the brown sugar and + eggs and this is Recipe #205890 cut in half to a T. I had allready creamed the butter, peanut butter and sugar, so when i realized i had no eggs there was no turning back. I found this and it was the exact amounts i had used cutting the other recipe in half, added the brown sugar and voilah! lol I'll admit i didnt enjoy them fresh out of the oven, or even while they were still warm, they just has too much of a flakey consistency, but i put them in a ziplock and let them sit overnight and after that they were perfect! one tip tho - this dough does NOT survive a night in the fridge. i ony cooked one sheet and stuck the rest in some plastic wrap hopeing to make them the next day and when i went to it was hard as a rock! but nonetheless this is a great recipe and it really saved me wasteing the ingredients i had allready mixed.. will be keeping this recipe on hand for future refrence</t>
        </is>
      </c>
    </row>
    <row r="5142">
      <c r="A5142" s="7" t="n">
        <v>22965</v>
      </c>
      <c r="B5142" s="7" t="n">
        <v>1099392</v>
      </c>
      <c r="C5142" s="7" t="n">
        <v>98200</v>
      </c>
      <c r="D5142" s="7" t="n">
        <v>62180</v>
      </c>
      <c r="E5142" s="8" t="n">
        <v>38054</v>
      </c>
      <c r="F5142" s="7" t="n">
        <v>5</v>
      </c>
      <c r="G5142" s="7" t="inlineStr">
        <is>
          <t xml:space="preserve">This is a really great, really simple recipe. We live in an apartment and I can smell this simmering in the crockpot when I walk into the building. I love knowing that everyone else in the building is wishing they were having dinner at my place. After trying this recipe my husband asked for a repeat performance. I added it to my recipe box and have made it several times since. We like to eat the leftovers on rolls. </t>
        </is>
      </c>
    </row>
    <row r="5143">
      <c r="A5143" s="7" t="n">
        <v>104414</v>
      </c>
      <c r="B5143" s="7" t="n">
        <v>265800</v>
      </c>
      <c r="C5143" s="7" t="n">
        <v>375111</v>
      </c>
      <c r="D5143" s="7" t="n">
        <v>107786</v>
      </c>
      <c r="E5143" s="8" t="n">
        <v>39764</v>
      </c>
      <c r="F5143" s="7" t="n">
        <v>5</v>
      </c>
      <c r="G5143" s="7" t="inlineStr">
        <is>
          <t>Soooo Yummy!!  As a suggested sub, I brushed with liquid hickory smoke, then added the rub and followed as written.....To Die For-and so incredibly easy!  I used Sweet Baby Ray's b/c that is our favorite.....Thanks for posting and I would bet lots that your sons will continnue to keep coming home for these:)!</t>
        </is>
      </c>
    </row>
    <row r="5144">
      <c r="A5144" s="7" t="n">
        <v>106478</v>
      </c>
      <c r="B5144" s="7" t="n">
        <v>62642</v>
      </c>
      <c r="C5144" s="7" t="n">
        <v>895132</v>
      </c>
      <c r="D5144" s="7" t="n">
        <v>296632</v>
      </c>
      <c r="E5144" s="8" t="n">
        <v>41189</v>
      </c>
      <c r="F5144" s="7" t="n">
        <v>4</v>
      </c>
      <c r="G5144" s="7" t="inlineStr">
        <is>
          <t>For the taste, these definitely are 5 stars. It's just the texture which makes me rate them 4 stars because I found them a bit too "gummy". The spice mixture is really great, though. First I was hesitant about the amount of caraway, but it is perfect. For the Tony Chachere's Seasoning which I can't get in Germany I used home made Creole Seasoning. Thanks for sharing :)&lt;br/&gt;Made for PAC Fall 2012</t>
        </is>
      </c>
    </row>
    <row r="5145">
      <c r="A5145" s="7" t="n">
        <v>36821</v>
      </c>
      <c r="B5145" s="7" t="n">
        <v>355310</v>
      </c>
      <c r="C5145" s="7" t="n">
        <v>1893965</v>
      </c>
      <c r="D5145" s="7" t="n">
        <v>92096</v>
      </c>
      <c r="E5145" s="8" t="n">
        <v>42387</v>
      </c>
      <c r="F5145" s="7" t="n">
        <v>5</v>
      </c>
      <c r="G5145" s="7" t="inlineStr">
        <is>
          <t>I made this without the cloves because I&amp;#039;m not quite sure how to cook with them.  Do I just throw 6 whole cloves in the sauce?  And if so, will they dissolve or break someone&amp;#039;s tooth when they accidentally bite into one?   Lol!</t>
        </is>
      </c>
    </row>
    <row r="5146">
      <c r="A5146" s="7" t="n">
        <v>106678</v>
      </c>
      <c r="B5146" s="7" t="n">
        <v>239143</v>
      </c>
      <c r="C5146" s="7" t="n">
        <v>1437676</v>
      </c>
      <c r="D5146" s="7" t="n">
        <v>435816</v>
      </c>
      <c r="E5146" s="8" t="n">
        <v>40528</v>
      </c>
      <c r="F5146" s="7" t="n">
        <v>5</v>
      </c>
      <c r="G5146" s="7" t="inlineStr">
        <is>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is>
      </c>
    </row>
    <row r="5147">
      <c r="A5147" s="7" t="n">
        <v>42548</v>
      </c>
      <c r="B5147" s="7" t="n">
        <v>529801</v>
      </c>
      <c r="C5147" s="7" t="n">
        <v>87478</v>
      </c>
      <c r="D5147" s="7" t="n">
        <v>107747</v>
      </c>
      <c r="E5147" s="8" t="n">
        <v>39372</v>
      </c>
      <c r="F5147" s="7" t="n">
        <v>5</v>
      </c>
      <c r="G5147" s="7" t="inlineStr">
        <is>
          <t>Very delicious scones!! I used pecans instead of walnuts and doubled the ammount of maple extract in the dough.I baked them for 15 min. My family and I really enjoyed them and I will make them again very soon.Thanks Roxygirl in Colorado!</t>
        </is>
      </c>
    </row>
    <row r="5148">
      <c r="A5148" s="7" t="n">
        <v>95606</v>
      </c>
      <c r="B5148" s="7" t="n">
        <v>818339</v>
      </c>
      <c r="C5148" s="7" t="n">
        <v>37449</v>
      </c>
      <c r="D5148" s="7" t="n">
        <v>222449</v>
      </c>
      <c r="E5148" s="8" t="n">
        <v>39289</v>
      </c>
      <c r="F5148" s="7" t="n">
        <v>5</v>
      </c>
      <c r="G5148" s="7" t="inlineStr">
        <is>
          <t>An easy, yummy salad! I halved the recipe and used veggie bacon. Thank you!</t>
        </is>
      </c>
    </row>
    <row r="5149">
      <c r="A5149" s="7" t="n">
        <v>105001</v>
      </c>
      <c r="B5149" s="7" t="n">
        <v>219143</v>
      </c>
      <c r="C5149" s="7" t="n">
        <v>464333</v>
      </c>
      <c r="D5149" s="7" t="n">
        <v>15690</v>
      </c>
      <c r="E5149" s="8" t="n">
        <v>40187</v>
      </c>
      <c r="F5149" s="7" t="n">
        <v>5</v>
      </c>
      <c r="G5149" s="7" t="inlineStr">
        <is>
          <t>This was fantastic - served it with kimchi, rice, and sesame spinach. Followed the recipe exactly and let the meat marinate at room temp for about an hour. Delicious!!</t>
        </is>
      </c>
    </row>
    <row r="5150">
      <c r="A5150" s="7" t="n">
        <v>73290</v>
      </c>
      <c r="B5150" s="7" t="n">
        <v>89508</v>
      </c>
      <c r="C5150" s="7" t="n">
        <v>53959</v>
      </c>
      <c r="D5150" s="7" t="n">
        <v>165427</v>
      </c>
      <c r="E5150" s="8" t="n">
        <v>38841</v>
      </c>
      <c r="F5150" s="7" t="n">
        <v>5</v>
      </c>
      <c r="G5150" s="7" t="inlineStr">
        <is>
          <t>Yummm! It was a perfect springtime lunch. Only thing I did differently was to add avocado. Thank you!!</t>
        </is>
      </c>
    </row>
    <row r="5151">
      <c r="A5151" s="7" t="n">
        <v>13866</v>
      </c>
      <c r="B5151" s="7" t="n">
        <v>432366</v>
      </c>
      <c r="C5151" s="7" t="n">
        <v>58104</v>
      </c>
      <c r="D5151" s="7" t="n">
        <v>468436</v>
      </c>
      <c r="E5151" s="8" t="n">
        <v>40882</v>
      </c>
      <c r="F5151" s="7" t="n">
        <v>5</v>
      </c>
      <c r="G5151" s="7" t="inlineStr">
        <is>
          <t>Hearty comforting with a nice kick! I did marinade the steak in a dry rub of the A1 sauce, worcestershire sauce, garlic and chili powder that the recipe calls for. I did dry roast the poblano stove top right over an open flame. Proceeded with the recipe as directed except didn't add additional steak sauce, worcestershire, finely chopped garlic and chili powder. I did let the soup cook for 15 minutes after adding the milk/flour mixture. Delish! Thanks!</t>
        </is>
      </c>
    </row>
    <row r="5152">
      <c r="A5152" s="7" t="n">
        <v>23204</v>
      </c>
      <c r="B5152" s="7" t="n">
        <v>468423</v>
      </c>
      <c r="C5152" s="7" t="n">
        <v>826999</v>
      </c>
      <c r="D5152" s="7" t="n">
        <v>204682</v>
      </c>
      <c r="E5152" s="8" t="n">
        <v>40583</v>
      </c>
      <c r="F5152" s="7" t="n">
        <v>0</v>
      </c>
      <c r="G5152" s="7" t="inlineStr">
        <is>
          <t>I made the fiesta version and they were amazing!  Next time I will mix the stove top and the seasoning before adding it to the beef.  I didn't and some meatloafs came out with an extra kick.  I will also try using ground turkey next time since I'm trying to limit my red meat intake.  I'll post an updated review when I try the ground turkey.</t>
        </is>
      </c>
    </row>
    <row r="5153">
      <c r="A5153" s="7" t="n">
        <v>33533</v>
      </c>
      <c r="B5153" s="7" t="n">
        <v>710323</v>
      </c>
      <c r="C5153" s="7" t="n">
        <v>2001671194</v>
      </c>
      <c r="D5153" s="7" t="n">
        <v>28025</v>
      </c>
      <c r="E5153" s="8" t="n">
        <v>42995</v>
      </c>
      <c r="F5153" s="7" t="n">
        <v>0</v>
      </c>
      <c r="G5153" s="7" t="inlineStr">
        <is>
          <t>Served it on Italian bread with dill relish and mayo. Family really liked it. Will definitely make this again.</t>
        </is>
      </c>
    </row>
    <row r="5154">
      <c r="A5154" s="7" t="n">
        <v>111518</v>
      </c>
      <c r="B5154" s="7" t="n">
        <v>425661</v>
      </c>
      <c r="C5154" s="7" t="n">
        <v>163112</v>
      </c>
      <c r="D5154" s="7" t="n">
        <v>158533</v>
      </c>
      <c r="E5154" s="8" t="n">
        <v>40732</v>
      </c>
      <c r="F5154" s="7" t="n">
        <v>5</v>
      </c>
      <c r="G5154" s="7" t="inlineStr">
        <is>
          <t>This is fabulous! i used 2 packs (3oz each?) of spinach because 1 wilted to nothing.  3 minutes max on the steaming!!  Everybody loved this salad &amp; I look forward to making it again - what a wonderful combination of flavors!!  made for Veggie Swap 7/11.</t>
        </is>
      </c>
    </row>
    <row r="5155">
      <c r="A5155" s="7" t="n">
        <v>99062</v>
      </c>
      <c r="B5155" s="7" t="n">
        <v>282895</v>
      </c>
      <c r="C5155" s="7" t="n">
        <v>2000443537</v>
      </c>
      <c r="D5155" s="7" t="n">
        <v>255260</v>
      </c>
      <c r="E5155" s="8" t="n">
        <v>42420</v>
      </c>
      <c r="F5155" s="7" t="n">
        <v>5</v>
      </c>
      <c r="G5155" s="7" t="inlineStr">
        <is>
          <t>Simple and accurate. Good recipe to turn to again and again.</t>
        </is>
      </c>
    </row>
    <row r="5156">
      <c r="A5156" s="7" t="n">
        <v>74314</v>
      </c>
      <c r="B5156" s="7" t="n">
        <v>511612</v>
      </c>
      <c r="C5156" s="7" t="n">
        <v>13933</v>
      </c>
      <c r="D5156" s="7" t="n">
        <v>91773</v>
      </c>
      <c r="E5156" s="8" t="n">
        <v>38715</v>
      </c>
      <c r="F5156" s="7" t="n">
        <v>5</v>
      </c>
      <c r="G5156" s="7" t="inlineStr">
        <is>
          <t>Made this for a bridal brunch and it was superb! Only addition that I made was about 1/3-1/2 cup or pure maple syrup. OMG, positively sinful! I served it with sifted powdered sugar and heated maple syrup on the side. Your choice of either or (if you like to push the envelope)both!!!!! Thanks for sharing will definitely make again, and again!</t>
        </is>
      </c>
    </row>
    <row r="5157">
      <c r="A5157" s="7" t="n">
        <v>64025</v>
      </c>
      <c r="B5157" s="7" t="n">
        <v>564267</v>
      </c>
      <c r="C5157" s="7" t="n">
        <v>628076</v>
      </c>
      <c r="D5157" s="7" t="n">
        <v>210038</v>
      </c>
      <c r="E5157" s="8" t="n">
        <v>40631</v>
      </c>
      <c r="F5157" s="7" t="n">
        <v>5</v>
      </c>
      <c r="G5157" s="7" t="inlineStr">
        <is>
          <t>We had this for dessert tonight. We shared this with the neighbors who really liked it as well. It not only tastes great, it makes a great presentation.</t>
        </is>
      </c>
    </row>
    <row r="5158">
      <c r="A5158" s="7" t="n">
        <v>3327</v>
      </c>
      <c r="B5158" s="7" t="n">
        <v>171583</v>
      </c>
      <c r="C5158" s="7" t="n">
        <v>560491</v>
      </c>
      <c r="D5158" s="7" t="n">
        <v>272588</v>
      </c>
      <c r="E5158" s="8" t="n">
        <v>40313</v>
      </c>
      <c r="F5158" s="7" t="n">
        <v>5</v>
      </c>
      <c r="G5158" s="7" t="inlineStr">
        <is>
          <t>Very quick to make and is tasty!!  I made it in the oven using a shallot rather than the onion but otherwise made as is.  Both DS's ate this up as well as myself and DH.  I liked that I could make it in the crockpot if I was not going to be home; could also put together and then put in the fridge until ready to cook.  The flavor was very good and creamy for not having too much seasoning in it.  Made for May 'Farm Cooking' with Andi Tag 5/2010.</t>
        </is>
      </c>
    </row>
    <row r="5159">
      <c r="A5159" s="7" t="n">
        <v>447</v>
      </c>
      <c r="B5159" s="7" t="n">
        <v>728921</v>
      </c>
      <c r="C5159" s="7" t="n">
        <v>27922</v>
      </c>
      <c r="D5159" s="7" t="n">
        <v>20266</v>
      </c>
      <c r="E5159" s="8" t="n">
        <v>37685</v>
      </c>
      <c r="F5159" s="7" t="n">
        <v>5</v>
      </c>
      <c r="G5159" s="7" t="inlineStr">
        <is>
          <t>Well I'll add my 5* to this one. It is perfect with a great robust flavor. Easy to follow directions &amp; perfect to make on a busy day. The combo of ingerdients adds a "zing" to the meat as well as produces a tender dish.</t>
        </is>
      </c>
    </row>
    <row r="5160">
      <c r="A5160" s="7" t="n">
        <v>93564</v>
      </c>
      <c r="B5160" s="7" t="n">
        <v>762902</v>
      </c>
      <c r="C5160" s="7" t="n">
        <v>323328</v>
      </c>
      <c r="D5160" s="7" t="n">
        <v>301278</v>
      </c>
      <c r="E5160" s="8" t="n">
        <v>40489</v>
      </c>
      <c r="F5160" s="7" t="n">
        <v>5</v>
      </c>
      <c r="G5160" s="7" t="inlineStr">
        <is>
          <t>Wow!  This was great!  I didn't know for sure how long to steam the chicken and since my pieces were big, I just did them in my Black and Decker steamer for 30 minutes per their instructions.  I worried that after pretty much fully cooking them they might be dry once they came out of the oven, but they were delicious.  Instead of light cream, I used fat free half and half and it was very tasty.  Don't sacrifice the butter with any substitutes though, it makes this dish!  Since there are just two of us, I didn't put avacado over all, just the individual servings.  Adds a nice taste!&lt;br/&gt;I served with Uncle Ben's Long Grain and Wild Rice and green beans for a yummy, yummy supper.  Made for your 2010 Football Pool win. Congrats!</t>
        </is>
      </c>
    </row>
    <row r="5161">
      <c r="A5161" s="7" t="n">
        <v>27038</v>
      </c>
      <c r="B5161" s="7" t="n">
        <v>1068283</v>
      </c>
      <c r="C5161" s="7" t="n">
        <v>199792</v>
      </c>
      <c r="D5161" s="7" t="n">
        <v>32142</v>
      </c>
      <c r="E5161" s="8" t="n">
        <v>39525</v>
      </c>
      <c r="F5161" s="7" t="n">
        <v>4</v>
      </c>
      <c r="G5161" s="7" t="inlineStr">
        <is>
          <t>This was a nice quick soup for dinner tonight. Add a few rolls and it was great. I think next time I would use the wand blender a bit to break up the corn making it a bit thicker. We enjoyed it and thank you for posting your recipe.</t>
        </is>
      </c>
    </row>
    <row r="5162">
      <c r="A5162" t="n">
        <v>83141</v>
      </c>
      <c r="B5162" t="n">
        <v>938606</v>
      </c>
      <c r="C5162" t="n">
        <v>356850</v>
      </c>
      <c r="D5162" t="n">
        <v>82102</v>
      </c>
      <c r="E5162" s="1" t="n">
        <v>41704</v>
      </c>
      <c r="F5162" t="n">
        <v>5</v>
      </c>
      <c r="G5162" t="inlineStr">
        <is>
          <t>And Kittencal hits another one out of the park. I sliced the breasts in half and I used granulated garlic instead of powdered. I cooked until the chicken had and internal temp of 161 and then carried it over to 165 degrees and I cooked them on a rack. They were moist and crunchy. My son was cutting them with a fork (I taught him better, really I did. It was garlicy and I like it that way. Yum. I served with mushroom risotto. It is a meal I would have gladly paid for in a restaurant.</t>
        </is>
      </c>
    </row>
    <row r="5163">
      <c r="A5163" s="7" t="n">
        <v>33368</v>
      </c>
      <c r="B5163" s="7" t="n">
        <v>472949</v>
      </c>
      <c r="C5163" s="7" t="n">
        <v>145960</v>
      </c>
      <c r="D5163" s="7" t="n">
        <v>97532</v>
      </c>
      <c r="E5163" s="8" t="n">
        <v>38289</v>
      </c>
      <c r="F5163" s="7" t="n">
        <v>5</v>
      </c>
      <c r="G5163" s="7" t="inlineStr">
        <is>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is>
      </c>
    </row>
    <row r="5164">
      <c r="A5164" s="7" t="n">
        <v>65423</v>
      </c>
      <c r="B5164" s="7" t="n">
        <v>733917</v>
      </c>
      <c r="C5164" s="7" t="n">
        <v>1142897</v>
      </c>
      <c r="D5164" s="7" t="n">
        <v>362086</v>
      </c>
      <c r="E5164" s="8" t="n">
        <v>40877</v>
      </c>
      <c r="F5164" s="7" t="n">
        <v>5</v>
      </c>
      <c r="G5164" s="7" t="inlineStr">
        <is>
          <t>Very Yummy.  Easy to make.  Next time I would add some broccoli to it.</t>
        </is>
      </c>
    </row>
    <row r="5165">
      <c r="A5165" s="7" t="n">
        <v>23902</v>
      </c>
      <c r="B5165" s="7" t="n">
        <v>1045960</v>
      </c>
      <c r="C5165" s="7" t="n">
        <v>55729</v>
      </c>
      <c r="D5165" s="7" t="n">
        <v>104393</v>
      </c>
      <c r="E5165" s="8" t="n">
        <v>38742</v>
      </c>
      <c r="F5165" s="7" t="n">
        <v>3</v>
      </c>
      <c r="G5165" s="7" t="inlineStr">
        <is>
          <t>I thought the sauce was very runny. Also, although the mushrooms were quite delicious, the chicken and remaining sauce did not retain the flavor and ended up bland.</t>
        </is>
      </c>
    </row>
    <row r="5166">
      <c r="A5166" s="7" t="n">
        <v>67405</v>
      </c>
      <c r="B5166" s="7" t="n">
        <v>747364</v>
      </c>
      <c r="C5166" s="7" t="n">
        <v>1974537</v>
      </c>
      <c r="D5166" s="7" t="n">
        <v>135814</v>
      </c>
      <c r="E5166" s="8" t="n">
        <v>40803</v>
      </c>
      <c r="F5166" s="7" t="n">
        <v>5</v>
      </c>
      <c r="G5166" s="7" t="inlineStr">
        <is>
          <t>Absolutely great!  I used ground turkey, flour tortillas, no jalapenos and salsa instead of tomatoes...ridiculously good.  My family of 5 loved it and said this was a keeper for sure.  Thank you so much for a new, much loved, recipe!</t>
        </is>
      </c>
    </row>
    <row r="5167">
      <c r="A5167" s="7" t="n">
        <v>55996</v>
      </c>
      <c r="B5167" s="7" t="n">
        <v>552888</v>
      </c>
      <c r="C5167" s="7" t="n">
        <v>1800281537</v>
      </c>
      <c r="D5167" s="7" t="n">
        <v>344915</v>
      </c>
      <c r="E5167" s="8" t="n">
        <v>41598</v>
      </c>
      <c r="F5167" s="7" t="n">
        <v>5</v>
      </c>
      <c r="G5167" s="7" t="inlineStr">
        <is>
          <t>My 7 yr old is the pickiest eater on the planet but for some reason LOVES gyro meat.  For his birthday cake he requested me to have a cake made of gyro meat for him because he doesn&amp;#039;t like cake (told you he was picky, lol).  I found the recipe and made up a batch, gave him a taste and his eyes got so big!  He LOVED it!  Said it was the best gyro meat he has ever had.  wow!  Glad he liked it...lets try my 14 yr old son.....yep....he grabbed the entire plate out of my hand and ate it all!  Thank you Alton for this recipe, I will be using it quite often I&amp;#039;m sure!</t>
        </is>
      </c>
    </row>
    <row r="5168">
      <c r="A5168" s="7" t="n">
        <v>109934</v>
      </c>
      <c r="B5168" s="7" t="n">
        <v>580148</v>
      </c>
      <c r="C5168" s="7" t="n">
        <v>562433</v>
      </c>
      <c r="D5168" s="7" t="n">
        <v>45069</v>
      </c>
      <c r="E5168" s="8" t="n">
        <v>39368</v>
      </c>
      <c r="F5168" s="7" t="n">
        <v>5</v>
      </c>
      <c r="G5168" s="7" t="inlineStr">
        <is>
          <t>Awesome recipe, and super quick to make! I substituted ground chicken for beef since there are a few vegetarians at the table and it was great! I also substituted 1tsp of fennel and 1tsp of tarragon for the coriander (forgot to buy it and didn't have time to run out) and loved the flavour. This will definitely become a winter staple in our house!</t>
        </is>
      </c>
    </row>
    <row r="5169">
      <c r="A5169" s="7" t="n">
        <v>96002</v>
      </c>
      <c r="B5169" s="7" t="n">
        <v>822482</v>
      </c>
      <c r="C5169" s="7" t="n">
        <v>719929</v>
      </c>
      <c r="D5169" s="7" t="n">
        <v>113229</v>
      </c>
      <c r="E5169" s="8" t="n">
        <v>39739</v>
      </c>
      <c r="F5169" s="7" t="n">
        <v>5</v>
      </c>
      <c r="G5169" s="7" t="inlineStr">
        <is>
          <t>These were amazing... I needed a good green bean recipe for dinner tonight and came across this. My Husband suggested I go for it... I really thought it was too simple to be any good... boy was I WRONG! This is an amazing recipe and I can't see myself fixing green beans any other way in the future. Thank you for sharing!</t>
        </is>
      </c>
    </row>
    <row r="5170">
      <c r="A5170" s="7" t="n">
        <v>36215</v>
      </c>
      <c r="B5170" s="7" t="n">
        <v>1067442</v>
      </c>
      <c r="C5170" s="7" t="n">
        <v>1008996</v>
      </c>
      <c r="D5170" s="7" t="n">
        <v>377289</v>
      </c>
      <c r="E5170" s="8" t="n">
        <v>40607</v>
      </c>
      <c r="F5170" s="7" t="n">
        <v>4</v>
      </c>
      <c r="G5170" s="7" t="inlineStr">
        <is>
          <t>I baked these for exactly 15 minutes, and the bottoms burned a little, so I will likely reduce the baking time next time.  The texture of these was nice, and these scones were a lot easier to make than the other scone recipes that I've tried.  I may also add vanilla and/or almond extract next time.  We used dried wild blueberries in our scones, but they would also taste good with fresh or frozen!</t>
        </is>
      </c>
    </row>
    <row r="5171">
      <c r="A5171" s="7" t="n">
        <v>28695</v>
      </c>
      <c r="B5171" s="7" t="n">
        <v>327204</v>
      </c>
      <c r="C5171" s="7" t="n">
        <v>226863</v>
      </c>
      <c r="D5171" s="7" t="n">
        <v>326224</v>
      </c>
      <c r="E5171" s="8" t="n">
        <v>39814</v>
      </c>
      <c r="F5171" s="7" t="n">
        <v>5</v>
      </c>
      <c r="G5171" s="7" t="inlineStr">
        <is>
          <t>I made as directed, and then I used my immersion blender and blended just over half of the soup.  That made it creamy, but also left me lots of chunky vegetables to eat!  Made for Potluck Tag 2008.</t>
        </is>
      </c>
    </row>
    <row r="5172">
      <c r="A5172" s="7" t="n">
        <v>98768</v>
      </c>
      <c r="B5172" s="7" t="n">
        <v>734712</v>
      </c>
      <c r="C5172" s="7" t="n">
        <v>55018</v>
      </c>
      <c r="D5172" s="7" t="n">
        <v>8776</v>
      </c>
      <c r="E5172" s="8" t="n">
        <v>37719</v>
      </c>
      <c r="F5172" s="7" t="n">
        <v>5</v>
      </c>
      <c r="G5172" s="7" t="inlineStr">
        <is>
          <t>I love orzo pasta and this was great!  I cooked the lamb with white wine and used dried oregano since I didn't have fresh on hand. My whole house smelled so good from this dish.  My only addition was a little bit of butter to the orzo after I drained it to keep it from sticking together.</t>
        </is>
      </c>
    </row>
    <row r="5173">
      <c r="A5173" s="7" t="n">
        <v>24138</v>
      </c>
      <c r="B5173" s="7" t="n">
        <v>233138</v>
      </c>
      <c r="C5173" s="7" t="n">
        <v>2000407911</v>
      </c>
      <c r="D5173" s="7" t="n">
        <v>185013</v>
      </c>
      <c r="E5173" s="8" t="n">
        <v>42232</v>
      </c>
      <c r="F5173" s="7" t="n">
        <v>5</v>
      </c>
      <c r="G5173" s="7" t="inlineStr">
        <is>
          <t>Fantastic!  I&amp;#039;m at about 550ft above sea level, so I did mine for 4:45 and they were perfect!</t>
        </is>
      </c>
    </row>
    <row r="5174">
      <c r="A5174" s="7" t="n">
        <v>17615</v>
      </c>
      <c r="B5174" s="7" t="n">
        <v>6643</v>
      </c>
      <c r="C5174" s="7" t="n">
        <v>26867</v>
      </c>
      <c r="D5174" s="7" t="n">
        <v>29121</v>
      </c>
      <c r="E5174" s="8" t="n">
        <v>37557</v>
      </c>
      <c r="F5174" s="7" t="n">
        <v>5</v>
      </c>
      <c r="G5174" s="7" t="inlineStr">
        <is>
          <t>This was wonderful!  I couldn't find the kidney beans, so I added hominy instead.  Topped it off with sour cream and a little cheese and it was great!</t>
        </is>
      </c>
    </row>
    <row r="5175">
      <c r="A5175" s="7" t="n">
        <v>93</v>
      </c>
      <c r="B5175" s="7" t="n">
        <v>608348</v>
      </c>
      <c r="C5175" s="7" t="n">
        <v>168037</v>
      </c>
      <c r="D5175" s="7" t="n">
        <v>72761</v>
      </c>
      <c r="E5175" s="8" t="n">
        <v>38339</v>
      </c>
      <c r="F5175" s="7" t="n">
        <v>3</v>
      </c>
      <c r="G5175" s="7" t="inlineStr">
        <is>
          <t>The idea is great and the fingers are the perfect size and consistency for my 1 year old, but for me the recipe fell short in a couple areas. First, the taste wasn't that great. It smelled wonderful, but ended up with a strong soda taste. Second, I prefer making foods with fewer processed ingredients (sugar, flour) for my little one. I like the principle enough, though, that I am going to try to improve the recipe, maybe using molasses and baby cereal or whole wheat flour instead of sugar and white flour.</t>
        </is>
      </c>
    </row>
    <row r="5176">
      <c r="A5176" s="7" t="n">
        <v>105702</v>
      </c>
      <c r="B5176" s="7" t="n">
        <v>150818</v>
      </c>
      <c r="C5176" s="7" t="n">
        <v>81611</v>
      </c>
      <c r="D5176" s="7" t="n">
        <v>98446</v>
      </c>
      <c r="E5176" s="8" t="n">
        <v>38245</v>
      </c>
      <c r="F5176" s="7" t="n">
        <v>5</v>
      </c>
      <c r="G5176" s="7" t="inlineStr">
        <is>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is>
      </c>
    </row>
    <row r="5177">
      <c r="A5177" s="7" t="n">
        <v>123302</v>
      </c>
      <c r="B5177" s="7" t="n">
        <v>812122</v>
      </c>
      <c r="C5177" s="7" t="n">
        <v>452355</v>
      </c>
      <c r="D5177" s="7" t="n">
        <v>466289</v>
      </c>
      <c r="E5177" s="8" t="n">
        <v>41362</v>
      </c>
      <c r="F5177" s="7" t="n">
        <v>4</v>
      </c>
      <c r="G5177" s="7" t="inlineStr">
        <is>
          <t>This dish was easy to make.  After soaking the beans overnight and chopping the remaining ingredients, I liked that I only had to dump everything in the slow cooker in the morning and then go about my day (I did not boil the beans).  I used 4 Serrano peppers and would probably use 5 or 6 next time.  I cooked on high for over 11 hours.  Like other reviewers mentioned, it was way too watery even after 11 hours of cooking and looked more like soup.  We had to use the immersion blender to get it to a consistency that resembled another reviewers picture.  The flavor was nice and I did enjoy the yogurt stirred into my individual serving.  We served over basmati rice.  Made for Rookie Tag Spring 2013.</t>
        </is>
      </c>
    </row>
    <row r="5178">
      <c r="A5178" s="7" t="n">
        <v>97753</v>
      </c>
      <c r="B5178" s="7" t="n">
        <v>94160</v>
      </c>
      <c r="C5178" s="7" t="n">
        <v>345380</v>
      </c>
      <c r="D5178" s="7" t="n">
        <v>14396</v>
      </c>
      <c r="E5178" s="8" t="n">
        <v>40034</v>
      </c>
      <c r="F5178" s="7" t="n">
        <v>4</v>
      </c>
      <c r="G5178" s="7" t="inlineStr">
        <is>
          <t>I mainly liked this recipe because it was quick and easy to prepare.  It tasted good..was nothing special but it was definitely enjoyable.  I will probably make it again..thanks for sharing the recipe!</t>
        </is>
      </c>
    </row>
    <row r="5179">
      <c r="A5179" s="7" t="n">
        <v>50974</v>
      </c>
      <c r="B5179" s="7" t="n">
        <v>492709</v>
      </c>
      <c r="C5179" s="7" t="n">
        <v>355694</v>
      </c>
      <c r="D5179" s="7" t="n">
        <v>385996</v>
      </c>
      <c r="E5179" s="8" t="n">
        <v>40180</v>
      </c>
      <c r="F5179" s="7" t="n">
        <v>5</v>
      </c>
      <c r="G5179" s="7" t="inlineStr">
        <is>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is>
      </c>
    </row>
    <row r="5180">
      <c r="A5180" s="7" t="n">
        <v>63489</v>
      </c>
      <c r="B5180" s="7" t="n">
        <v>485627</v>
      </c>
      <c r="C5180" s="7" t="n">
        <v>26278</v>
      </c>
      <c r="D5180" s="7" t="n">
        <v>82395</v>
      </c>
      <c r="E5180" s="8" t="n">
        <v>38181</v>
      </c>
      <c r="F5180" s="7" t="n">
        <v>5</v>
      </c>
      <c r="G5180" s="7" t="inlineStr">
        <is>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is>
      </c>
    </row>
    <row r="5181">
      <c r="A5181" s="7" t="n">
        <v>30744</v>
      </c>
      <c r="B5181" s="7" t="n">
        <v>494177</v>
      </c>
      <c r="C5181" s="7" t="n">
        <v>954556</v>
      </c>
      <c r="D5181" s="7" t="n">
        <v>29251</v>
      </c>
      <c r="E5181" s="8" t="n">
        <v>39704</v>
      </c>
      <c r="F5181" s="7" t="n">
        <v>5</v>
      </c>
      <c r="G5181" s="7" t="inlineStr">
        <is>
          <t>We love burgers, but this one was outtasight!  We had company over and my friend went home with the recipe, as her husband couldn't stop raving about them!  My husband thought they were awesome too and so did I!  We will be grilling these burgers out all winter long! I turned one side of the grill on high and cooked on the opposite side using indirect heat until they were almost done, then put them directly on the heat to get them nice and brown.  Worked like a charm!  I just used plain chili powder as I didn't have the ancho available.  I used 1 minced jalapeno the first time around but may increase it for us next time to kick it up another notch and see how we like em. So good, can't wait to have another! Thanks for this recipe!</t>
        </is>
      </c>
    </row>
    <row r="5182">
      <c r="A5182" s="7" t="n">
        <v>49506</v>
      </c>
      <c r="B5182" s="7" t="n">
        <v>801362</v>
      </c>
      <c r="C5182" s="7" t="n">
        <v>169850</v>
      </c>
      <c r="D5182" s="7" t="n">
        <v>100014</v>
      </c>
      <c r="E5182" s="8" t="n">
        <v>38572</v>
      </c>
      <c r="F5182" s="7" t="n">
        <v>3</v>
      </c>
      <c r="G5182" s="7" t="inlineStr">
        <is>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is>
      </c>
    </row>
    <row r="5183">
      <c r="A5183" s="7" t="n">
        <v>97216</v>
      </c>
      <c r="B5183" s="7" t="n">
        <v>4434</v>
      </c>
      <c r="C5183" s="7" t="n">
        <v>131126</v>
      </c>
      <c r="D5183" s="7" t="n">
        <v>230965</v>
      </c>
      <c r="E5183" s="8" t="n">
        <v>39551</v>
      </c>
      <c r="F5183" s="7" t="n">
        <v>5</v>
      </c>
      <c r="G5183" s="7" t="inlineStr">
        <is>
          <t>This is a nice version of a cucumber salad.  It really would be perfect for a potluck or summer gathering.  I used far less salt and added a bit of dill.  Thank you for sharing your recipe!  Made for Spring '08 Pick A Chef.</t>
        </is>
      </c>
    </row>
    <row r="5184">
      <c r="A5184" t="n">
        <v>41789</v>
      </c>
      <c r="B5184" t="n">
        <v>991565</v>
      </c>
      <c r="C5184" t="n">
        <v>439685</v>
      </c>
      <c r="D5184" t="n">
        <v>118885</v>
      </c>
      <c r="E5184" s="1" t="n">
        <v>41107</v>
      </c>
      <c r="F5184" t="n">
        <v>4</v>
      </c>
      <c r="G5184" t="inlineStr">
        <is>
          <t>These were fun to make with my 5 year old. The kids loved them and couldn't stop asking for more. Used pecans instead of almonds.</t>
        </is>
      </c>
    </row>
    <row r="5185">
      <c r="A5185" s="7" t="n">
        <v>98474</v>
      </c>
      <c r="B5185" s="7" t="n">
        <v>849623</v>
      </c>
      <c r="C5185" s="7" t="n">
        <v>527607</v>
      </c>
      <c r="D5185" s="7" t="n">
        <v>357019</v>
      </c>
      <c r="E5185" s="8" t="n">
        <v>41870</v>
      </c>
      <c r="F5185" s="7" t="n">
        <v>5</v>
      </c>
      <c r="G5185" s="7" t="inlineStr">
        <is>
          <t>Outstanding dish.  It was snapped up by everyone and we all wanted more. Used the full 1/3 cup lemon</t>
        </is>
      </c>
    </row>
    <row r="5186">
      <c r="A5186" s="7" t="n">
        <v>38463</v>
      </c>
      <c r="B5186" s="7" t="n">
        <v>313395</v>
      </c>
      <c r="C5186" s="7" t="n">
        <v>504185</v>
      </c>
      <c r="D5186" s="7" t="n">
        <v>246989</v>
      </c>
      <c r="E5186" s="8" t="n">
        <v>40128</v>
      </c>
      <c r="F5186" s="7" t="n">
        <v>5</v>
      </c>
      <c r="G5186" s="7" t="inlineStr">
        <is>
          <t>Wowzersssss! everyone loved it ,there's none left , lol. This one will be in my favorites, ty for posting Parsley..So easy to make too. Anyone who likes peanut butter and chocolate, you must try this recipe, you won't regret it. I cooked mine for 1 hour at 325 degrees, in  black  bundt pan.</t>
        </is>
      </c>
    </row>
    <row r="5187">
      <c r="A5187" s="7" t="n">
        <v>14733</v>
      </c>
      <c r="B5187" s="7" t="n">
        <v>344202</v>
      </c>
      <c r="C5187" s="7" t="n">
        <v>318262</v>
      </c>
      <c r="D5187" s="7" t="n">
        <v>350359</v>
      </c>
      <c r="E5187" s="8" t="n">
        <v>41322</v>
      </c>
      <c r="F5187" s="7" t="n">
        <v>3</v>
      </c>
      <c r="G5187" s="7" t="inlineStr">
        <is>
          <t>I like the feta and herbs in this but it was a bit too acidic for me.</t>
        </is>
      </c>
    </row>
    <row r="5188">
      <c r="A5188" s="7" t="n">
        <v>2380</v>
      </c>
      <c r="B5188" s="7" t="n">
        <v>161065</v>
      </c>
      <c r="C5188" s="7" t="n">
        <v>470351</v>
      </c>
      <c r="D5188" s="7" t="n">
        <v>85201</v>
      </c>
      <c r="E5188" s="8" t="n">
        <v>40180</v>
      </c>
      <c r="F5188" s="7" t="n">
        <v>5</v>
      </c>
      <c r="G5188" s="7" t="inlineStr">
        <is>
          <t>Wonderful!  Made for new years eve and used fat free cream cheese and 2% fat shredded mexican blend cheese.  I omitted the bacon  and increased the worcestershire slightly.  We LOVED it!  They were the hit of my party and were gone in a flash!  Will definitely make again!</t>
        </is>
      </c>
    </row>
    <row r="5189" ht="409.5" customHeight="1">
      <c r="A5189" s="7" t="n">
        <v>123405</v>
      </c>
      <c r="B5189" s="7" t="n">
        <v>237043</v>
      </c>
      <c r="C5189" s="7" t="n">
        <v>156034</v>
      </c>
      <c r="D5189" s="7" t="n">
        <v>252445</v>
      </c>
      <c r="E5189" s="8" t="n">
        <v>39352</v>
      </c>
      <c r="F5189" s="7" t="n">
        <v>4</v>
      </c>
      <c r="G5189" s="9" t="inlineStr">
        <is>
          <t>FALL PAC 2007-These were really good and I really enjoyed them as did DH BUT the directions leave a bit to be desired.  I had a hard time deciding if the cheese was to go on top of the milk then the potatoes of if the potatoes went first, then the milk, then the cheese.  That was how I prepared it.  I put the potatoes in the buttered dish, topped with the milk and onion mixture, then the cheese._x000D_
_x000D_
It turned out very well and the smokiness of the cheese really added a great flavor to the potatoes.  I will be making this again._x000D_
_x000D_
Thanks VR...this is a great recipe.</t>
        </is>
      </c>
    </row>
    <row r="5190">
      <c r="A5190" s="7" t="n">
        <v>98269</v>
      </c>
      <c r="B5190" s="7" t="n">
        <v>628602</v>
      </c>
      <c r="C5190" s="7" t="n">
        <v>220403</v>
      </c>
      <c r="D5190" s="7" t="n">
        <v>125058</v>
      </c>
      <c r="E5190" s="8" t="n">
        <v>38997</v>
      </c>
      <c r="F5190" s="7" t="n">
        <v>5</v>
      </c>
      <c r="G5190" s="7" t="inlineStr">
        <is>
          <t>Oh, my!!  I loved this!!  Wonderful combination of flavors!  I halved the recipe for one serving and used scallions.  I will very happily be making this again!!  Thank you!!</t>
        </is>
      </c>
    </row>
    <row r="5191">
      <c r="A5191" s="7" t="n">
        <v>74526</v>
      </c>
      <c r="B5191" s="7" t="n">
        <v>1042078</v>
      </c>
      <c r="C5191" s="7" t="n">
        <v>204024</v>
      </c>
      <c r="D5191" s="7" t="n">
        <v>213975</v>
      </c>
      <c r="E5191" s="8" t="n">
        <v>39712</v>
      </c>
      <c r="F5191" s="7" t="n">
        <v>5</v>
      </c>
      <c r="G5191" s="7" t="inlineStr">
        <is>
          <t>Beautiful to look at, and delicious! Both tart and slightly sweet -- because of the sugared rim -- to the taste.  Made for Beverage Tag, Sept 2008.</t>
        </is>
      </c>
    </row>
    <row r="5192">
      <c r="A5192" s="7" t="n">
        <v>95558</v>
      </c>
      <c r="B5192" s="7" t="n">
        <v>239657</v>
      </c>
      <c r="C5192" s="7" t="n">
        <v>377076</v>
      </c>
      <c r="D5192" s="7" t="n">
        <v>194297</v>
      </c>
      <c r="E5192" s="8" t="n">
        <v>42696</v>
      </c>
      <c r="F5192" s="7" t="n">
        <v>5</v>
      </c>
      <c r="G5192" s="7" t="inlineStr">
        <is>
          <t>So delicious &amp;amp; so easy to make. My husband &amp;amp; I love this recipe so much, I have already made it twice in the last ten days. I only changed one thing; I used panko crumbs instead of bread crumbs. I used a cast iron skillet for both stove top and oven. Num-Num-Num ! Thank you for sharing this great recipe.</t>
        </is>
      </c>
    </row>
    <row r="5193">
      <c r="A5193" s="7" t="n">
        <v>24762</v>
      </c>
      <c r="B5193" s="7" t="n">
        <v>480378</v>
      </c>
      <c r="C5193" s="7" t="n">
        <v>34214</v>
      </c>
      <c r="D5193" s="7" t="n">
        <v>104231</v>
      </c>
      <c r="E5193" s="8" t="n">
        <v>38310</v>
      </c>
      <c r="F5193" s="7" t="n">
        <v>5</v>
      </c>
      <c r="G5193" s="7" t="inlineStr">
        <is>
          <t>WOW!!!!!!!!! Greeat! Needed a quick side dish. This was it. Didn't use buns. Perfect. Let tell you, the next time, it's the main meal.Buns and all. This replaces my favorite coney  sauce. Did I say, THIS IS MOST DEFINETLY A BIG KEEPER!!!</t>
        </is>
      </c>
    </row>
    <row r="5194">
      <c r="A5194" t="n">
        <v>115500</v>
      </c>
      <c r="B5194" t="n">
        <v>938581</v>
      </c>
      <c r="C5194" t="n">
        <v>2488787</v>
      </c>
      <c r="D5194" t="n">
        <v>82102</v>
      </c>
      <c r="E5194" s="1" t="n">
        <v>41239</v>
      </c>
      <c r="F5194" t="n">
        <v>3</v>
      </c>
      <c r="G5194" t="inlineStr">
        <is>
          <t>The chicken was very moist as described, however my husband and I both agree it was not our favorite.</t>
        </is>
      </c>
    </row>
    <row r="5195">
      <c r="A5195" s="7" t="n">
        <v>99984</v>
      </c>
      <c r="B5195" s="7" t="n">
        <v>192123</v>
      </c>
      <c r="C5195" s="7" t="n">
        <v>901097</v>
      </c>
      <c r="D5195" s="7" t="n">
        <v>190274</v>
      </c>
      <c r="E5195" s="8" t="n">
        <v>39865</v>
      </c>
      <c r="F5195" s="7" t="n">
        <v>5</v>
      </c>
      <c r="G5195" s="7" t="inlineStr">
        <is>
          <t>I made this recipe with my middle school Spanish students.  It's very much like the hot chocolate you get in Spain, but easy enough for kids to make.  We dipped churros from our local churreria in the hot chocolate, and for a moment I was back in Madrid!  Great recipe, thanks!</t>
        </is>
      </c>
    </row>
    <row r="5196">
      <c r="A5196" t="n">
        <v>17149</v>
      </c>
      <c r="B5196" t="n">
        <v>105423</v>
      </c>
      <c r="C5196" t="n">
        <v>1604084</v>
      </c>
      <c r="D5196" t="n">
        <v>109146</v>
      </c>
      <c r="E5196" s="1" t="n">
        <v>41036</v>
      </c>
      <c r="F5196" t="n">
        <v>5</v>
      </c>
      <c r="G5196" t="inlineStr">
        <is>
          <t>I just made this tonight.  I was out of cream cheese so I did it with butter only.  Boy was I happily surprised when a frozen bag of cauliflower turned into creamy mashed potatoes...  Thank you so much for sharing the recipe, it is a keeper!</t>
        </is>
      </c>
    </row>
    <row r="5197">
      <c r="A5197" s="7" t="n">
        <v>21964</v>
      </c>
      <c r="B5197" s="7" t="n">
        <v>1089226</v>
      </c>
      <c r="C5197" s="7" t="n">
        <v>1105991</v>
      </c>
      <c r="D5197" s="7" t="n">
        <v>212496</v>
      </c>
      <c r="E5197" s="8" t="n">
        <v>39957</v>
      </c>
      <c r="F5197" s="7" t="n">
        <v>5</v>
      </c>
      <c r="G5197" s="7" t="inlineStr">
        <is>
          <t>Thanks for posting this!  We LOVED it!  I only used the cake part because I needed a great chocolate cake for my little girl's 6th birthday.  She wanted a chocolate Little Mermaid cake.  It turned out so light and fluffy plus it was very moist and delicious!  What a great cake.  I used semi-sweet chocolate because that's what I had on hand.  It was just perfect.  Thanks, Syd!</t>
        </is>
      </c>
    </row>
    <row r="5198">
      <c r="A5198" s="7" t="n">
        <v>9970</v>
      </c>
      <c r="B5198" s="7" t="n">
        <v>785216</v>
      </c>
      <c r="C5198" s="7" t="n">
        <v>52282</v>
      </c>
      <c r="D5198" s="7" t="n">
        <v>81975</v>
      </c>
      <c r="E5198" s="8" t="n">
        <v>38022</v>
      </c>
      <c r="F5198" s="7" t="n">
        <v>3</v>
      </c>
      <c r="G5198" s="7" t="inlineStr">
        <is>
          <t>this is more like a casserole than an actual bread. it mixed up well and baked nicely with the ground beef i used. the flavor was a bit bland  for our taste. i think i would try this again with more spices and maybe black beans instead of black eyed peas.</t>
        </is>
      </c>
    </row>
    <row r="5199">
      <c r="A5199" t="n">
        <v>85414</v>
      </c>
      <c r="B5199" t="n">
        <v>326446</v>
      </c>
      <c r="C5199" t="n">
        <v>457907</v>
      </c>
      <c r="D5199" t="n">
        <v>187220</v>
      </c>
      <c r="E5199" s="1" t="n">
        <v>39902</v>
      </c>
      <c r="F5199" t="n">
        <v>5</v>
      </c>
      <c r="G5199" t="inlineStr">
        <is>
          <t>Very good and kid friendly!  I think I'll try a spicier kind next. The nacho flavor didn't give it quite enough zip.  Thanks for an easy recipe!</t>
        </is>
      </c>
    </row>
    <row r="5200" ht="409.5" customHeight="1">
      <c r="A5200" s="7" t="n">
        <v>66083</v>
      </c>
      <c r="B5200" s="7" t="n">
        <v>76488</v>
      </c>
      <c r="C5200" s="7" t="n">
        <v>612092</v>
      </c>
      <c r="D5200" s="7" t="n">
        <v>131044</v>
      </c>
      <c r="E5200" s="8" t="n">
        <v>39475</v>
      </c>
      <c r="F5200" s="7" t="n">
        <v>3</v>
      </c>
      <c r="G5200" s="9" t="inlineStr">
        <is>
          <t>I have been around tortillas  all my life from aunts to grandmother to mother and now me. There is nothing differnt, from one torilla to the next. I am from Mexico born anyway and grew up In Calif. _x000D_
I have never ate a store bought Torillas Nor will I ever. _x000D_
I was hopping for something a little differnt like Roasted tomatoe tortills._x000D_
I guess I was just a little disapointed.</t>
        </is>
      </c>
    </row>
    <row r="5201">
      <c r="A5201" s="7" t="n">
        <v>6865</v>
      </c>
      <c r="B5201" s="7" t="n">
        <v>276079</v>
      </c>
      <c r="C5201" s="7" t="n">
        <v>91392</v>
      </c>
      <c r="D5201" s="7" t="n">
        <v>110057</v>
      </c>
      <c r="E5201" s="8" t="n">
        <v>38974</v>
      </c>
      <c r="F5201" s="7" t="n">
        <v>3</v>
      </c>
      <c r="G5201" s="7" t="inlineStr">
        <is>
          <t>Very healthy, as written, but not very tasty.  I doubled the ccoa, as suggested by another reviewer, then tasted it when it was finished. Still not very tasty.  I used a trick from another recipe and tossed in a chunked up chocolate bar, which melted and I stirred it in.  Tastier, but killed the healthful factor.</t>
        </is>
      </c>
    </row>
    <row r="5202">
      <c r="A5202" s="7" t="n">
        <v>2960</v>
      </c>
      <c r="B5202" s="7" t="n">
        <v>270539</v>
      </c>
      <c r="C5202" s="7" t="n">
        <v>704950</v>
      </c>
      <c r="D5202" s="7" t="n">
        <v>159420</v>
      </c>
      <c r="E5202" s="8" t="n">
        <v>39749</v>
      </c>
      <c r="F5202" s="7" t="n">
        <v>5</v>
      </c>
      <c r="G5202" s="7" t="inlineStr">
        <is>
          <t>June 23, 2008: I used this to re-create the Little Debbie Oatmeal Creme Pie filling. I added 1 tsp vanilla to the mix then I started adding a little of the confectioner's sugar at a time. I stopped at 2 TBSP rather than the 1/4 cup. Then I added 1/2 cup more (for a total of 1 cup) of the marshmallow creme. I was very pleased with the result!!!! It was nice, creamy, and gooey like the Little Debbie creme filling. I put it in between two oatmeal cookies for a Little Debbie Oatmeal Creme Pie (see recipe#118749). This is a very versatile recipe, you could use it to fill all kinds of things from cupcakes to cake layers and more!!!! Love it!!!!!!!!!!!!!!!!!! UPDATE: I used this filling again to fill recipe#264621. Used the recipe as written this time for a more cream cheese flavored filling! I really like this recipe a lot and I like that it does not have raw egg in it. Wonderful!!</t>
        </is>
      </c>
    </row>
    <row r="5203">
      <c r="A5203" t="n">
        <v>69848</v>
      </c>
      <c r="B5203" t="n">
        <v>539772</v>
      </c>
      <c r="C5203" t="n">
        <v>169430</v>
      </c>
      <c r="D5203" t="n">
        <v>306323</v>
      </c>
      <c r="E5203" s="1" t="n">
        <v>40073</v>
      </c>
      <c r="F5203" t="n">
        <v>5</v>
      </c>
      <c r="G5203" t="inlineStr">
        <is>
          <t>Pure delight made with extreme dark 79% cocoa. I replaced the honey with 1 1/2 tsp of Splenda, used skim milk and salted Adams smooth pb (I think the salt gave a nice added touch). Mine was thick and chocolate rich. After reading the other reviews I heated the milk and peanut butter together whisking to blend the pb and milk. When it started to steam nicely I added the cocoa and kept whisking to melt and blend it well. When it was thick and smooth I took it off the heat and added the vanilla and Splenda and whisked that well. The pb leaves a swirl on the top that I quite like and tiny wee bits throughout the cup (if you stir like I do while drinking). Thanks for this lovely Fall and Winter treat Sharon, I've had my eye on it since Comfort Cafe in July, LOL.</t>
        </is>
      </c>
    </row>
    <row r="5204">
      <c r="A5204" s="7" t="n">
        <v>70020</v>
      </c>
      <c r="B5204" s="7" t="n">
        <v>1078021</v>
      </c>
      <c r="C5204" s="7" t="n">
        <v>2001799391</v>
      </c>
      <c r="D5204" s="7" t="n">
        <v>522925</v>
      </c>
      <c r="E5204" s="8" t="n">
        <v>43055</v>
      </c>
      <c r="F5204" s="7" t="n">
        <v>4</v>
      </c>
      <c r="G5204" s="7" t="inlineStr">
        <is>
          <t>I must have a sweet tooth because I found theses banana muffins not sweet enough. They were good though. My family really likes them. My mom was really happy to see the last banana gone.</t>
        </is>
      </c>
    </row>
    <row r="5205">
      <c r="A5205" s="7" t="n">
        <v>114967</v>
      </c>
      <c r="B5205" s="7" t="n">
        <v>228120</v>
      </c>
      <c r="C5205" s="7" t="n">
        <v>963934</v>
      </c>
      <c r="D5205" s="7" t="n">
        <v>277574</v>
      </c>
      <c r="E5205" s="8" t="n">
        <v>40334</v>
      </c>
      <c r="F5205" s="7" t="n">
        <v>5</v>
      </c>
      <c r="G5205" s="7" t="inlineStr">
        <is>
          <t>Sooo good, yummy and yes, easy to make.  Halved and served with my Greek-Style Potatoes with Lemon and Thyme and a green salad, it was a perfect early-summer meal.  In the interest of calories, next time I may try baking the eggplant slices (or at least drain them after frying).  But the lovely taste of good olive oil is essential, so never mind.  Thanks, food addict - this converted a non-eggplant lover.</t>
        </is>
      </c>
    </row>
    <row r="5206">
      <c r="A5206" s="7" t="n">
        <v>49006</v>
      </c>
      <c r="B5206" s="7" t="n">
        <v>361271</v>
      </c>
      <c r="C5206" s="7" t="n">
        <v>1354164</v>
      </c>
      <c r="D5206" s="7" t="n">
        <v>361281</v>
      </c>
      <c r="E5206" s="8" t="n">
        <v>40041</v>
      </c>
      <c r="F5206" s="7" t="n">
        <v>5</v>
      </c>
      <c r="G5206" s="7" t="inlineStr">
        <is>
          <t>I made a few changes... replaced most of the coriander with more cumin, used the juice and zest of one lemon, and used boneless/skinless thighs. Sliced it and made a pita sandwich with hummus and tzatziki. The results were very moist and good.</t>
        </is>
      </c>
    </row>
    <row r="5207">
      <c r="A5207" s="7" t="n">
        <v>86101</v>
      </c>
      <c r="B5207" s="7" t="n">
        <v>115266</v>
      </c>
      <c r="C5207" s="7" t="n">
        <v>157425</v>
      </c>
      <c r="D5207" s="7" t="n">
        <v>328668</v>
      </c>
      <c r="E5207" s="8" t="n">
        <v>39838</v>
      </c>
      <c r="F5207" s="7" t="n">
        <v>5</v>
      </c>
      <c r="G5207" s="7" t="inlineStr">
        <is>
          <t>My cold is still hanging on and this chicken soup tasted so good! I used chicken breast tenderloins that I cut into bite sized pieces, matchstick carrots, and dried parsley. I wont need to make my chicken soup and cook it so long when this easy to  make soup is just as good. The chicken was tender and moist, the rice cooked perfectly, and the broth tasted homemade. Thank you so much breezermom for sharing! Made and reviewed for Please Review My Recipe tag game.</t>
        </is>
      </c>
    </row>
    <row r="5208" ht="409.5" customHeight="1">
      <c r="A5208" t="n">
        <v>99278</v>
      </c>
      <c r="B5208" t="n">
        <v>962912</v>
      </c>
      <c r="C5208" t="n">
        <v>162826</v>
      </c>
      <c r="D5208" t="n">
        <v>113667</v>
      </c>
      <c r="E5208" s="1" t="n">
        <v>39855</v>
      </c>
      <c r="F5208" t="n">
        <v>5</v>
      </c>
      <c r="G5208" s="2" t="inlineStr">
        <is>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is>
      </c>
    </row>
    <row r="5209">
      <c r="A5209" t="n">
        <v>50432</v>
      </c>
      <c r="B5209" t="n">
        <v>407175</v>
      </c>
      <c r="C5209" t="n">
        <v>209747</v>
      </c>
      <c r="D5209" t="n">
        <v>110022</v>
      </c>
      <c r="E5209" s="1" t="n">
        <v>38610</v>
      </c>
      <c r="F5209" t="n">
        <v>4</v>
      </c>
      <c r="G5209" t="inlineStr">
        <is>
          <t xml:space="preserve">Mine was a little oily too but had good flavor. Also cooked alot faster than 5 minutes. I burned the first batch! ooppss. So watch them carefully! </t>
        </is>
      </c>
    </row>
    <row r="5210">
      <c r="A5210" s="7" t="n">
        <v>85963</v>
      </c>
      <c r="B5210" s="7" t="n">
        <v>691124</v>
      </c>
      <c r="C5210" s="7" t="n">
        <v>2001961564</v>
      </c>
      <c r="D5210" s="7" t="n">
        <v>431399</v>
      </c>
      <c r="E5210" s="8" t="n">
        <v>43129</v>
      </c>
      <c r="F5210" s="7" t="n">
        <v>0</v>
      </c>
      <c r="G5210" s="7" t="inlineStr">
        <is>
          <t>I just ate it as cookie dough and it was ok</t>
        </is>
      </c>
    </row>
    <row r="5211">
      <c r="A5211" s="7" t="n">
        <v>78506</v>
      </c>
      <c r="B5211" s="7" t="n">
        <v>614958</v>
      </c>
      <c r="C5211" s="7" t="n">
        <v>463435</v>
      </c>
      <c r="D5211" s="7" t="n">
        <v>286357</v>
      </c>
      <c r="E5211" s="8" t="n">
        <v>40248</v>
      </c>
      <c r="F5211" s="7" t="n">
        <v>4</v>
      </c>
      <c r="G5211" s="7" t="inlineStr">
        <is>
          <t>This was a very tasty chicken salad. I omitted the salad oil from the dressing, because the consistency was perfect after the addition of the orange juice and vinegar. I loved the cashews in the salad- actually added a pinch extra because they are one of my favorite nuts. I only wish the dressing would have picked up a bit more of an orange flavor. I think next time I will grate a little fresh orange zest into the mixture before I serve it. Thanks for posting this recipe Starry. Made and reviewed for the Feb.-Mar./Special Event 2010 Potluck Tag Game.</t>
        </is>
      </c>
    </row>
    <row r="5212">
      <c r="A5212" s="7" t="n">
        <v>97191</v>
      </c>
      <c r="B5212" s="7" t="n">
        <v>778457</v>
      </c>
      <c r="C5212" s="7" t="n">
        <v>1444644</v>
      </c>
      <c r="D5212" s="7" t="n">
        <v>108524</v>
      </c>
      <c r="E5212" s="8" t="n">
        <v>40209</v>
      </c>
      <c r="F5212" s="7" t="n">
        <v>5</v>
      </c>
      <c r="G5212" s="7" t="inlineStr">
        <is>
          <t>22 Minutes...that's how long it took for this to disappear. I used Myer's Rum as well, and mixed 1/2 cup finely ground walnuts into the cake itself...otherwise, I made it as directed...they loved it. Wonderful recipe!</t>
        </is>
      </c>
    </row>
    <row r="5213">
      <c r="A5213" s="7" t="n">
        <v>80245</v>
      </c>
      <c r="B5213" s="7" t="n">
        <v>250231</v>
      </c>
      <c r="C5213" s="7" t="n">
        <v>13483</v>
      </c>
      <c r="D5213" s="7" t="n">
        <v>92990</v>
      </c>
      <c r="E5213" s="8" t="n">
        <v>38957</v>
      </c>
      <c r="F5213" s="7" t="n">
        <v>4</v>
      </c>
      <c r="G5213" s="7" t="inlineStr">
        <is>
          <t>Great name for a good dish!!  Love the ease of preparation.  I used Swiss cheese and a lite syrup and it was great.  Was dinner for two for two nights.  Well worth doing agin.  Thanks Trisha</t>
        </is>
      </c>
    </row>
    <row r="5214">
      <c r="A5214" s="7" t="n">
        <v>89580</v>
      </c>
      <c r="B5214" s="7" t="n">
        <v>767687</v>
      </c>
      <c r="C5214" s="7" t="n">
        <v>6357</v>
      </c>
      <c r="D5214" s="7" t="n">
        <v>11251</v>
      </c>
      <c r="E5214" s="8" t="n">
        <v>37134</v>
      </c>
      <c r="F5214" s="7" t="n">
        <v>4</v>
      </c>
      <c r="G5214" s="7" t="inlineStr">
        <is>
          <t>Lovely, I love nuts n chocolate - u put me on the seventh heaven!</t>
        </is>
      </c>
    </row>
    <row r="5215">
      <c r="A5215" s="7" t="n">
        <v>61662</v>
      </c>
      <c r="B5215" s="7" t="n">
        <v>599967</v>
      </c>
      <c r="C5215" s="7" t="n">
        <v>95810</v>
      </c>
      <c r="D5215" s="7" t="n">
        <v>89932</v>
      </c>
      <c r="E5215" s="8" t="n">
        <v>39586</v>
      </c>
      <c r="F5215" s="7" t="n">
        <v>5</v>
      </c>
      <c r="G5215" s="7" t="inlineStr">
        <is>
          <t>This is a very good recipe for hamburger buns. My family loved them. Very easy to make and the instructions are well written. Mine did take longer than 10 minutes to bake. About 15 minutes total. I will definitely be making these again!</t>
        </is>
      </c>
    </row>
    <row r="5216">
      <c r="A5216" s="7" t="n">
        <v>22407</v>
      </c>
      <c r="B5216" s="7" t="n">
        <v>316718</v>
      </c>
      <c r="C5216" s="7" t="n">
        <v>230860</v>
      </c>
      <c r="D5216" s="7" t="n">
        <v>232888</v>
      </c>
      <c r="E5216" s="8" t="n">
        <v>39454</v>
      </c>
      <c r="F5216" s="7" t="n">
        <v>5</v>
      </c>
      <c r="G5216" s="7" t="inlineStr">
        <is>
          <t>This was my first taste of couscous and I thought it was fantastic!  I really liked the flavors.  I added quite a bit more lemon juice at least dbl what it called for as well as a bit more garlic.  I really loved the texture too!  Oh and we used chicken broth in ours.</t>
        </is>
      </c>
    </row>
    <row r="5217">
      <c r="A5217" s="7" t="n">
        <v>47972</v>
      </c>
      <c r="B5217" s="7" t="n">
        <v>1071550</v>
      </c>
      <c r="C5217" s="7" t="n">
        <v>11842</v>
      </c>
      <c r="D5217" s="7" t="n">
        <v>145573</v>
      </c>
      <c r="E5217" s="8" t="n">
        <v>38682</v>
      </c>
      <c r="F5217" s="7" t="n">
        <v>5</v>
      </c>
      <c r="G5217" s="7" t="inlineStr">
        <is>
          <t>Delicious, wonderful and easy. Can't wait for an occasion to make it again.</t>
        </is>
      </c>
    </row>
    <row r="5218">
      <c r="A5218" s="7" t="n">
        <v>48105</v>
      </c>
      <c r="B5218" s="7" t="n">
        <v>451355</v>
      </c>
      <c r="C5218" s="7" t="n">
        <v>489430</v>
      </c>
      <c r="D5218" s="7" t="n">
        <v>66068</v>
      </c>
      <c r="E5218" s="8" t="n">
        <v>40757</v>
      </c>
      <c r="F5218" s="7" t="n">
        <v>5</v>
      </c>
      <c r="G5218" s="7" t="inlineStr">
        <is>
          <t>These were a complete hit!  How Chewy!  If I can snag some away from my DH, I will take a photo of them! Okay, so I didn't have Red, White and Blue M &amp; M's, but I like the idea!!  I made the cookies pretty much as directed, except I added a handful of peanut butter chips I found in the cabinet.  I also used half quick oats and half old fashioned oats.  They are great!!  Thank you so much for sharing, I will be making this again!!</t>
        </is>
      </c>
    </row>
    <row r="5219">
      <c r="A5219" s="7" t="n">
        <v>101426</v>
      </c>
      <c r="B5219" s="7" t="n">
        <v>184275</v>
      </c>
      <c r="C5219" s="7" t="n">
        <v>336058</v>
      </c>
      <c r="D5219" s="7" t="n">
        <v>244695</v>
      </c>
      <c r="E5219" s="8" t="n">
        <v>39348</v>
      </c>
      <c r="F5219" s="7" t="n">
        <v>5</v>
      </c>
      <c r="G5219" s="7" t="inlineStr">
        <is>
          <t>Wonderful flavor!  I premade this including the sauce and then froze the sauce and cubes in a Seal-a-Meal type bag.  We took camping and boiled the bag, but not sure how long it took.  We had doubled the recipe too.  This had a little heat, but not too much.  Will make again.</t>
        </is>
      </c>
    </row>
    <row r="5220">
      <c r="A5220" s="7" t="n">
        <v>69152</v>
      </c>
      <c r="B5220" s="7" t="n">
        <v>204923</v>
      </c>
      <c r="C5220" s="7" t="n">
        <v>8688</v>
      </c>
      <c r="D5220" s="7" t="n">
        <v>78938</v>
      </c>
      <c r="E5220" s="8" t="n">
        <v>38966</v>
      </c>
      <c r="F5220" s="7" t="n">
        <v>5</v>
      </c>
      <c r="G5220" s="7" t="inlineStr">
        <is>
          <t>This is a wonderful way to dress up canned green beans.  The flavor is wonderful.  Simple to prepare for any night of the week!  I'm sure I will be making this often.  Thanks for posting, mcb22902!</t>
        </is>
      </c>
    </row>
    <row r="5221">
      <c r="A5221" s="7" t="n">
        <v>9683</v>
      </c>
      <c r="B5221" s="7" t="n">
        <v>840982</v>
      </c>
      <c r="C5221" s="7" t="n">
        <v>257968</v>
      </c>
      <c r="D5221" s="7" t="n">
        <v>37428</v>
      </c>
      <c r="E5221" s="8" t="n">
        <v>39410</v>
      </c>
      <c r="F5221" s="7" t="n">
        <v>0</v>
      </c>
      <c r="G5221" s="7" t="inlineStr">
        <is>
          <t>This didn't turn out like I expected.  It never set up that well and it kind of separated into two layers--fruit, sour cream, and flavor on the top and a pale pink jello on the bottom.  I stirred it all up and it tastes better. I think it was my fault, not the recipe's, so I'm not giving it any stars.  My guess is I added too much water.  I live in China and ice cube trays are really uncommon, so I subbed 2 cups of cold water for the 12 ice cubes.  However, I think that since there is sour cream in it, 1 1/2 cups would be better.  Another possibility is that I didn't stir it as much after adding the cold water because I didn't need to wait for the ice cubes to melt and it didn't get fully combined.  A final possibility is that I was in a hurry for it to set up, so I put it in the freezer for an hour or two of the chilling time and that changed something.  I might have to make this again sometime to see if I can get it to turn out better; if I do, I'll update this review.</t>
        </is>
      </c>
    </row>
    <row r="5222">
      <c r="A5222" s="7" t="n">
        <v>10118</v>
      </c>
      <c r="B5222" s="7" t="n">
        <v>477683</v>
      </c>
      <c r="C5222" s="7" t="n">
        <v>329769</v>
      </c>
      <c r="D5222" s="7" t="n">
        <v>373538</v>
      </c>
      <c r="E5222" s="8" t="n">
        <v>40936</v>
      </c>
      <c r="F5222" s="7" t="n">
        <v>5</v>
      </c>
      <c r="G5222" s="7" t="inlineStr">
        <is>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is>
      </c>
    </row>
    <row r="5223">
      <c r="A5223" s="7" t="n">
        <v>94240</v>
      </c>
      <c r="B5223" s="7" t="n">
        <v>964426</v>
      </c>
      <c r="C5223" s="7" t="n">
        <v>102058</v>
      </c>
      <c r="D5223" s="7" t="n">
        <v>290090</v>
      </c>
      <c r="E5223" s="8" t="n">
        <v>39629</v>
      </c>
      <c r="F5223" s="7" t="n">
        <v>4</v>
      </c>
      <c r="G5223" s="7" t="inlineStr">
        <is>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is>
      </c>
    </row>
    <row r="5224">
      <c r="A5224" s="7" t="n">
        <v>36066</v>
      </c>
      <c r="B5224" s="7" t="n">
        <v>53158</v>
      </c>
      <c r="C5224" s="7" t="n">
        <v>2000841859</v>
      </c>
      <c r="D5224" s="7" t="n">
        <v>505198</v>
      </c>
      <c r="E5224" s="8" t="n">
        <v>42457</v>
      </c>
      <c r="F5224" s="7" t="n">
        <v>5</v>
      </c>
      <c r="G5224" s="7" t="inlineStr">
        <is>
          <t>I more often bake bread so I was very skeptical about all the flour being wheat but this recipe is fantastic, and will replace my usual peanut butter recipe.</t>
        </is>
      </c>
    </row>
    <row r="5225">
      <c r="A5225" s="7" t="n">
        <v>77681</v>
      </c>
      <c r="B5225" s="7" t="n">
        <v>395416</v>
      </c>
      <c r="C5225" s="7" t="n">
        <v>185293</v>
      </c>
      <c r="D5225" s="7" t="n">
        <v>129996</v>
      </c>
      <c r="E5225" s="8" t="n">
        <v>39149</v>
      </c>
      <c r="F5225" s="7" t="n">
        <v>5</v>
      </c>
      <c r="G5225" s="7" t="inlineStr">
        <is>
          <t>Really good!  We've been eating a lot of tilapia lately and I love this version with the dijon mustard.  Its a great additional tangy flavor and such a simple recipe.  Thanks for a great new recipe for us!</t>
        </is>
      </c>
    </row>
    <row r="5226">
      <c r="A5226" s="7" t="n">
        <v>120278</v>
      </c>
      <c r="B5226" s="7" t="n">
        <v>785210</v>
      </c>
      <c r="C5226" s="7" t="n">
        <v>350240</v>
      </c>
      <c r="D5226" s="7" t="n">
        <v>14520</v>
      </c>
      <c r="E5226" s="8" t="n">
        <v>40236</v>
      </c>
      <c r="F5226" s="7" t="n">
        <v>5</v>
      </c>
      <c r="G5226" s="7" t="inlineStr">
        <is>
          <t>This was soooooo yummy and equally easy! I will never pass up chuck roast on sale - EVER - again.</t>
        </is>
      </c>
    </row>
    <row r="5227">
      <c r="A5227" s="7" t="n">
        <v>124159</v>
      </c>
      <c r="B5227" s="7" t="n">
        <v>834747</v>
      </c>
      <c r="C5227" s="7" t="n">
        <v>1803684521</v>
      </c>
      <c r="D5227" s="7" t="n">
        <v>62236</v>
      </c>
      <c r="E5227" s="8" t="n">
        <v>42269</v>
      </c>
      <c r="F5227" s="7" t="n">
        <v>2</v>
      </c>
      <c r="G5227" s="7" t="inlineStr">
        <is>
          <t>I thought this would be really good, but it just wasn&amp;#039;t sweet enough for me. I even used sweetened cocoa and extra sugar! I guess I just have a super sweet tooth.</t>
        </is>
      </c>
    </row>
    <row r="5228">
      <c r="A5228" s="7" t="n">
        <v>2902</v>
      </c>
      <c r="B5228" s="7" t="n">
        <v>646450</v>
      </c>
      <c r="C5228" s="7" t="n">
        <v>276189</v>
      </c>
      <c r="D5228" s="7" t="n">
        <v>23014</v>
      </c>
      <c r="E5228" s="8" t="n">
        <v>38722</v>
      </c>
      <c r="F5228" s="7" t="n">
        <v>4</v>
      </c>
      <c r="G5228" s="7" t="inlineStr">
        <is>
          <t>Easy to make and good to eat.  I added a little italian seasoning..they were definitely a great change from the norm and will make them again!</t>
        </is>
      </c>
    </row>
    <row r="5229" ht="409.5" customHeight="1">
      <c r="A5229" s="7" t="n">
        <v>18350</v>
      </c>
      <c r="B5229" s="7" t="n">
        <v>884596</v>
      </c>
      <c r="C5229" s="7" t="n">
        <v>256893</v>
      </c>
      <c r="D5229" s="7" t="n">
        <v>70303</v>
      </c>
      <c r="E5229" s="8" t="n">
        <v>39443</v>
      </c>
      <c r="F5229" s="7" t="n">
        <v>5</v>
      </c>
      <c r="G5229" s="9" t="inlineStr">
        <is>
          <t>Really satisfying on a cold night. I did make a couple of alterations - I used turkey sausage and added much more chicken broth than called for. I also forgot to buy picante sauce, so I used a tablespoon of hotsauce and a tablespoon of tomato paste to give it a little kick and a little color. 
All in all, it was exactly what I was looking for tonight, and I'm going to add it to my repertoire.</t>
        </is>
      </c>
    </row>
    <row r="5230">
      <c r="A5230" s="7" t="n">
        <v>82797</v>
      </c>
      <c r="B5230" s="7" t="n">
        <v>1003320</v>
      </c>
      <c r="C5230" s="7" t="n">
        <v>156861</v>
      </c>
      <c r="D5230" s="7" t="n">
        <v>74082</v>
      </c>
      <c r="E5230" s="8" t="n">
        <v>39791</v>
      </c>
      <c r="F5230" s="7" t="n">
        <v>0</v>
      </c>
      <c r="G5230" s="7" t="inlineStr">
        <is>
          <t>I used Guiness beer (dark). This is the BEST COFFEE CAKE I HAVE EVER HAD!!!!!!!!!!!</t>
        </is>
      </c>
    </row>
    <row r="5231">
      <c r="A5231" s="7" t="n">
        <v>69925</v>
      </c>
      <c r="B5231" s="7" t="n">
        <v>754071</v>
      </c>
      <c r="C5231" s="7" t="n">
        <v>17803</v>
      </c>
      <c r="D5231" s="7" t="n">
        <v>45008</v>
      </c>
      <c r="E5231" s="8" t="n">
        <v>38452</v>
      </c>
      <c r="F5231" s="7" t="n">
        <v>5</v>
      </c>
      <c r="G5231" s="7" t="inlineStr">
        <is>
          <t>The cinnamon really did wonders for the grapefruit.  I placed it on the second broil level from the top which made it about 4-6 inches away and it took about 6 minutes for the inside sugar to start to melt.  Which in turn made the grapefruit warm when you ate it.  I wonder if I put it on the top level if the sugar would have melted faster with out burning anything.</t>
        </is>
      </c>
    </row>
    <row r="5232">
      <c r="A5232" s="7" t="n">
        <v>53069</v>
      </c>
      <c r="B5232" s="7" t="n">
        <v>1094791</v>
      </c>
      <c r="C5232" s="7" t="n">
        <v>1688542</v>
      </c>
      <c r="D5232" s="7" t="n">
        <v>51736</v>
      </c>
      <c r="E5232" s="8" t="n">
        <v>41459</v>
      </c>
      <c r="F5232" s="7" t="n">
        <v>5</v>
      </c>
      <c r="G5232" s="7" t="inlineStr">
        <is>
          <t>These were amazing. My husband ate them standing up right at the stove. That&amp;#039;s probably one of the highest accolades he&amp;#039;s ever given. He also asked if I&amp;#039;d written the recipe down!</t>
        </is>
      </c>
    </row>
    <row r="5233">
      <c r="A5233" s="7" t="n">
        <v>25894</v>
      </c>
      <c r="B5233" s="7" t="n">
        <v>964903</v>
      </c>
      <c r="C5233" s="7" t="n">
        <v>88099</v>
      </c>
      <c r="D5233" s="7" t="n">
        <v>303735</v>
      </c>
      <c r="E5233" s="8" t="n">
        <v>39900</v>
      </c>
      <c r="F5233" s="7" t="n">
        <v>5</v>
      </c>
      <c r="G5233" s="7" t="inlineStr">
        <is>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is>
      </c>
    </row>
    <row r="5234">
      <c r="A5234" s="7" t="n">
        <v>51192</v>
      </c>
      <c r="B5234" s="7" t="n">
        <v>345515</v>
      </c>
      <c r="C5234" s="7" t="n">
        <v>1694146</v>
      </c>
      <c r="D5234" s="7" t="n">
        <v>9736</v>
      </c>
      <c r="E5234" s="8" t="n">
        <v>40451</v>
      </c>
      <c r="F5234" s="7" t="n">
        <v>5</v>
      </c>
      <c r="G5234" s="7" t="inlineStr">
        <is>
          <t>This was the first time I had grits (and I lived on the Gulf Coast of Mississippi for two years)!  They were fabulous.  I love the consistency of the undercooked casserole and the flavor of the correctly cooked casserole.  My husband arrived for dinner early so we had a casserole that was set on the outside and not on the inside.  Either way, it was delicious.  Can't wait to eat leftovers at lunch today!</t>
        </is>
      </c>
    </row>
    <row r="5235">
      <c r="A5235" s="7" t="n">
        <v>5696</v>
      </c>
      <c r="B5235" s="7" t="n">
        <v>69943</v>
      </c>
      <c r="C5235" s="7" t="n">
        <v>1802563993</v>
      </c>
      <c r="D5235" s="7" t="n">
        <v>296837</v>
      </c>
      <c r="E5235" s="8" t="n">
        <v>41706</v>
      </c>
      <c r="F5235" s="7" t="n">
        <v>0</v>
      </c>
      <c r="G5235" s="7" t="inlineStr">
        <is>
          <t>This bread is wonderful! Not so heavy , and makes wonderful sandwiches and toast</t>
        </is>
      </c>
    </row>
    <row r="5236">
      <c r="A5236" s="7" t="n">
        <v>60300</v>
      </c>
      <c r="B5236" s="7" t="n">
        <v>574402</v>
      </c>
      <c r="C5236" s="7" t="n">
        <v>1810847</v>
      </c>
      <c r="D5236" s="7" t="n">
        <v>13320</v>
      </c>
      <c r="E5236" s="8" t="n">
        <v>40612</v>
      </c>
      <c r="F5236" s="7" t="n">
        <v>5</v>
      </c>
      <c r="G5236" s="7" t="inlineStr">
        <is>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is>
      </c>
    </row>
    <row r="5237">
      <c r="A5237" s="7" t="n">
        <v>83418</v>
      </c>
      <c r="B5237" s="7" t="n">
        <v>984484</v>
      </c>
      <c r="C5237" s="7" t="n">
        <v>593159</v>
      </c>
      <c r="D5237" s="7" t="n">
        <v>9272</v>
      </c>
      <c r="E5237" s="8" t="n">
        <v>40282</v>
      </c>
      <c r="F5237" s="7" t="n">
        <v>5</v>
      </c>
      <c r="G5237" s="7" t="inlineStr">
        <is>
          <t>This was my 1st time canning salsa, and it turned out great!  I used a pressure cooker to can it.  We used our food processor to chop up the veggies, which cut down the prep time alot!  I'm planting my first garden this spring, just to make tons more salsa!  Thanks for the great recipe!</t>
        </is>
      </c>
    </row>
    <row r="5238">
      <c r="A5238" s="7" t="n">
        <v>61909</v>
      </c>
      <c r="B5238" s="7" t="n">
        <v>810295</v>
      </c>
      <c r="C5238" s="7" t="n">
        <v>56498</v>
      </c>
      <c r="D5238" s="7" t="n">
        <v>78897</v>
      </c>
      <c r="E5238" s="8" t="n">
        <v>38583</v>
      </c>
      <c r="F5238" s="7" t="n">
        <v>5</v>
      </c>
      <c r="G5238" s="7" t="inlineStr">
        <is>
          <t>I can't believe I waited so long to make this dish.  Talk about a very fast, easy and delicious dinner.  The only changes I made were I added some chopped onion to the ground beef and I mixed the green onions and cheese right into the batter of the cornbread but of course I put more cheese on top.  This will be a regular at my house.  Great recipe...a definite keeper.</t>
        </is>
      </c>
    </row>
    <row r="5239">
      <c r="A5239" s="7" t="n">
        <v>39309</v>
      </c>
      <c r="B5239" s="7" t="n">
        <v>974431</v>
      </c>
      <c r="C5239" s="7" t="n">
        <v>675683</v>
      </c>
      <c r="D5239" s="7" t="n">
        <v>42169</v>
      </c>
      <c r="E5239" s="8" t="n">
        <v>40101</v>
      </c>
      <c r="F5239" s="7" t="n">
        <v>5</v>
      </c>
      <c r="G5239" s="7" t="inlineStr">
        <is>
          <t>Amazing!!!!</t>
        </is>
      </c>
    </row>
    <row r="5240">
      <c r="A5240" t="n">
        <v>7023</v>
      </c>
      <c r="B5240" t="n">
        <v>1104037</v>
      </c>
      <c r="C5240" t="n">
        <v>371464</v>
      </c>
      <c r="D5240" t="n">
        <v>64446</v>
      </c>
      <c r="E5240" s="1" t="n">
        <v>39730</v>
      </c>
      <c r="F5240" t="n">
        <v>5</v>
      </c>
      <c r="G5240" t="inlineStr">
        <is>
          <t>Good...Made the dough in my bread machine, then transferred it to a baking sheet. Molded the loaf, added the rosemary to the top as recipe said and let it rise about 15-20 min. before baking as directed. Thanks for sharing the recipe.</t>
        </is>
      </c>
    </row>
    <row r="5241">
      <c r="A5241" s="7" t="n">
        <v>75301</v>
      </c>
      <c r="B5241" s="7" t="n">
        <v>655999</v>
      </c>
      <c r="C5241" s="7" t="n">
        <v>41874</v>
      </c>
      <c r="D5241" s="7" t="n">
        <v>27208</v>
      </c>
      <c r="E5241" s="8" t="n">
        <v>37453</v>
      </c>
      <c r="F5241" s="7" t="n">
        <v>4</v>
      </c>
      <c r="G5241" s="7" t="inlineStr">
        <is>
          <t>Just prepared this recipe last night.  Am enjoying a left-over roast beef sandwich as I type.  I used a 3.5 lb cross rib roast and a 0.7 oz pkg of italian seasoning, 0.9 oz pkg of brown gravy mix, and 1.0 oz pkg of ranch dressing mix.  Took me 7 hrs and 45 minutes in the crockpot.  Flavor was really great, gravy was outstanding.  I don't plan on adjusting the amounts of the mixes next time (unless I use a smaller roast) but I won't, as I did this time, put ALL of the mix on top of the roast.  I will put a good sprinkling on, but the rest will simply go down in the water beside the roast.</t>
        </is>
      </c>
    </row>
    <row r="5242">
      <c r="A5242" s="7" t="n">
        <v>6303</v>
      </c>
      <c r="B5242" s="7" t="n">
        <v>664800</v>
      </c>
      <c r="C5242" s="7" t="n">
        <v>2192609</v>
      </c>
      <c r="D5242" s="7" t="n">
        <v>494631</v>
      </c>
      <c r="E5242" s="8" t="n">
        <v>41317</v>
      </c>
      <c r="F5242" s="7" t="n">
        <v>5</v>
      </c>
      <c r="G5242" s="7" t="inlineStr">
        <is>
          <t>This is a wonderfully creative recipe and I enjoyed not only reading it but tasting it also!!!</t>
        </is>
      </c>
    </row>
    <row r="5243">
      <c r="A5243" s="7" t="n">
        <v>11450</v>
      </c>
      <c r="B5243" s="7" t="n">
        <v>396211</v>
      </c>
      <c r="C5243" s="7" t="n">
        <v>353579</v>
      </c>
      <c r="D5243" s="7" t="n">
        <v>90437</v>
      </c>
      <c r="E5243" s="8" t="n">
        <v>39454</v>
      </c>
      <c r="F5243" s="7" t="n">
        <v>5</v>
      </c>
      <c r="G5243" s="7" t="inlineStr">
        <is>
          <t>A rich and flavorful brownie. The combination of a crunchy crust, brownie and icing makes a nice contrast of textures to go with the great taste. I added a handful of chocolate chips with great success.  Thanks for sharing!</t>
        </is>
      </c>
    </row>
    <row r="5244">
      <c r="A5244" s="7" t="n">
        <v>11317</v>
      </c>
      <c r="B5244" s="7" t="n">
        <v>956612</v>
      </c>
      <c r="C5244" s="7" t="n">
        <v>912574</v>
      </c>
      <c r="D5244" s="7" t="n">
        <v>368078</v>
      </c>
      <c r="E5244" s="8" t="n">
        <v>40285</v>
      </c>
      <c r="F5244" s="7" t="n">
        <v>0</v>
      </c>
      <c r="G5244" s="7" t="inlineStr">
        <is>
          <t>Really good base - I added no-sugar minced sweet pickles, microwaved chopped onion and celery, a little allspice &amp; stevia instead of splenda. Good stuff and no-into-the-veins injection of regular sugared catsup. The taste is a little different, but after a little use it's not possible to return to the regular commercial suger-overloaded stuff - and it's great for my type II diabetes.</t>
        </is>
      </c>
    </row>
    <row r="5245">
      <c r="A5245" t="n">
        <v>100137</v>
      </c>
      <c r="B5245" t="n">
        <v>147355</v>
      </c>
      <c r="C5245" t="n">
        <v>43083</v>
      </c>
      <c r="D5245" t="n">
        <v>289444</v>
      </c>
      <c r="E5245" s="1" t="n">
        <v>39962</v>
      </c>
      <c r="F5245" t="n">
        <v>4</v>
      </c>
      <c r="G5245" t="inlineStr">
        <is>
          <t>MMM! I made this today and ate it in a low carb tortilla. The lemon juice and curry really add a punch to it that I enjoyed. Thanks:)</t>
        </is>
      </c>
    </row>
    <row r="5246">
      <c r="A5246" s="7" t="n">
        <v>59341</v>
      </c>
      <c r="B5246" s="7" t="n">
        <v>640873</v>
      </c>
      <c r="C5246" s="7" t="n">
        <v>742029</v>
      </c>
      <c r="D5246" s="7" t="n">
        <v>420384</v>
      </c>
      <c r="E5246" s="8" t="n">
        <v>41036</v>
      </c>
      <c r="F5246" s="7" t="n">
        <v>5</v>
      </c>
      <c r="G5246" s="7" t="inlineStr">
        <is>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is>
      </c>
    </row>
    <row r="5247">
      <c r="A5247" s="7" t="n">
        <v>11220</v>
      </c>
      <c r="B5247" s="7" t="n">
        <v>192930</v>
      </c>
      <c r="C5247" s="7" t="n">
        <v>477972</v>
      </c>
      <c r="D5247" s="7" t="n">
        <v>179485</v>
      </c>
      <c r="E5247" s="8" t="n">
        <v>39616</v>
      </c>
      <c r="F5247" s="7" t="n">
        <v>5</v>
      </c>
      <c r="G5247" s="7" t="inlineStr">
        <is>
          <t>Great tasting cookie! I love small batch baking and this made 12 with my small scoop. I followed the recipe as is (which is rare!) and I feel that cinnamon is a must. Thanks!</t>
        </is>
      </c>
    </row>
    <row r="5248">
      <c r="A5248" s="7" t="n">
        <v>30933</v>
      </c>
      <c r="B5248" s="7" t="n">
        <v>498629</v>
      </c>
      <c r="C5248" s="7" t="n">
        <v>307214</v>
      </c>
      <c r="D5248" s="7" t="n">
        <v>114793</v>
      </c>
      <c r="E5248" s="8" t="n">
        <v>40809</v>
      </c>
      <c r="F5248" s="7" t="n">
        <v>5</v>
      </c>
      <c r="G5248" s="7" t="inlineStr">
        <is>
          <t>Easily 10 STARS.  The aroma is amazing and the flavour is awesome.  This is my go-to recipe when I cook a ham.</t>
        </is>
      </c>
    </row>
    <row r="5249">
      <c r="A5249" s="7" t="n">
        <v>39989</v>
      </c>
      <c r="B5249" s="7" t="n">
        <v>465156</v>
      </c>
      <c r="C5249" s="7" t="n">
        <v>145352</v>
      </c>
      <c r="D5249" s="7" t="n">
        <v>21959</v>
      </c>
      <c r="E5249" s="8" t="n">
        <v>39510</v>
      </c>
      <c r="F5249" s="7" t="n">
        <v>5</v>
      </c>
      <c r="G5249" s="7" t="inlineStr">
        <is>
          <t>These turned out great! I used margarine instead of butter, but everything else the same. I had several small bags of M&amp;Ms left from a fundraiser, so I made these for the baseball team!!! Thanks for a great recipe!</t>
        </is>
      </c>
    </row>
    <row r="5250">
      <c r="A5250" t="n">
        <v>115501</v>
      </c>
      <c r="B5250" t="n">
        <v>682911</v>
      </c>
      <c r="C5250" t="n">
        <v>1803705142</v>
      </c>
      <c r="D5250" t="n">
        <v>21084</v>
      </c>
      <c r="E5250" s="1" t="n">
        <v>42029</v>
      </c>
      <c r="F5250" t="n">
        <v>0</v>
      </c>
      <c r="G5250" t="inlineStr">
        <is>
          <t>The &amp;quot;Bob&amp;quot; in the recipe title is Bob Talbert.  He was a columnist for the Detroit Free Press until his death.  He posted this recipe many years ago.</t>
        </is>
      </c>
    </row>
    <row r="5251">
      <c r="A5251" s="7" t="n">
        <v>35329</v>
      </c>
      <c r="B5251" s="7" t="n">
        <v>657387</v>
      </c>
      <c r="C5251" s="7" t="n">
        <v>2627517</v>
      </c>
      <c r="D5251" s="7" t="n">
        <v>27208</v>
      </c>
      <c r="E5251" s="8" t="n">
        <v>41285</v>
      </c>
      <c r="F5251" s="7" t="n">
        <v>0</v>
      </c>
      <c r="G5251" s="7" t="inlineStr">
        <is>
          <t>Made this recipe exactly as stated except with pork roast (instead of beef, since it was the cheaper option at the grocery store), rubbed the dry mixes on directly on the meat, and added another 1/2 cup of water. It came out very tender and juicy! It was so nice to come home after a long day at work to a wonderfully smelling house and dinner ready!  I served it with glazed carrots and Paula Dean's homemade garlic mashed potatoes, and I kept saying "Mmm mmm!" after every bite! My fianc? also loved it and kept eating until he complained of being full!</t>
        </is>
      </c>
    </row>
    <row r="5252">
      <c r="A5252" s="7" t="n">
        <v>16162</v>
      </c>
      <c r="B5252" s="7" t="n">
        <v>875374</v>
      </c>
      <c r="C5252" s="7" t="n">
        <v>461834</v>
      </c>
      <c r="D5252" s="7" t="n">
        <v>269136</v>
      </c>
      <c r="E5252" s="8" t="n">
        <v>39767</v>
      </c>
      <c r="F5252" s="7" t="n">
        <v>5</v>
      </c>
      <c r="G5252" s="7" t="inlineStr">
        <is>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is>
      </c>
    </row>
    <row r="5253">
      <c r="A5253" s="7" t="n">
        <v>31860</v>
      </c>
      <c r="B5253" s="7" t="n">
        <v>475401</v>
      </c>
      <c r="C5253" s="7" t="n">
        <v>4470</v>
      </c>
      <c r="D5253" s="7" t="n">
        <v>78265</v>
      </c>
      <c r="E5253" s="8" t="n">
        <v>39800</v>
      </c>
      <c r="F5253" s="7" t="n">
        <v>5</v>
      </c>
      <c r="G5253" s="7" t="inlineStr">
        <is>
          <t>This is an easy recipe with excellent flavor I rarely use ready prepared marinades but this is very good and I will try all their flavors Thanks Randall hope you like the picture. 17 dec 08  Made again this time with Zesty Herb  Mmmm good</t>
        </is>
      </c>
    </row>
    <row r="5254">
      <c r="A5254" s="7" t="n">
        <v>2047</v>
      </c>
      <c r="B5254" s="7" t="n">
        <v>77366</v>
      </c>
      <c r="C5254" s="7" t="n">
        <v>2000301851</v>
      </c>
      <c r="D5254" s="7" t="n">
        <v>202461</v>
      </c>
      <c r="E5254" s="8" t="n">
        <v>42189</v>
      </c>
      <c r="F5254" s="7" t="n">
        <v>0</v>
      </c>
      <c r="G5254" s="7" t="inlineStr">
        <is>
          <t>Basically this is marinating the chicken in sweet Italian Salad Dressing.  This is absolutely NOT the Boston Market recipe.</t>
        </is>
      </c>
    </row>
    <row r="5255">
      <c r="A5255" s="7" t="n">
        <v>125030</v>
      </c>
      <c r="B5255" s="7" t="n">
        <v>1108681</v>
      </c>
      <c r="C5255" s="7" t="n">
        <v>269331</v>
      </c>
      <c r="D5255" s="7" t="n">
        <v>273953</v>
      </c>
      <c r="E5255" s="8" t="n">
        <v>39963</v>
      </c>
      <c r="F5255" s="7" t="n">
        <v>5</v>
      </c>
      <c r="G5255" s="7" t="inlineStr">
        <is>
          <t>Wow this is almost better than banana bread; sooo moist and delicious!  I used butter flavored shortening and omitted the raisins.  I lightly mash the strawberries so there where some yummy strawberry chunks to bite into. 10 thumbs up!</t>
        </is>
      </c>
    </row>
    <row r="5256">
      <c r="A5256" s="7" t="n">
        <v>85895</v>
      </c>
      <c r="B5256" s="7" t="n">
        <v>351543</v>
      </c>
      <c r="C5256" s="7" t="n">
        <v>1480126</v>
      </c>
      <c r="D5256" s="7" t="n">
        <v>27470</v>
      </c>
      <c r="E5256" s="8" t="n">
        <v>42003</v>
      </c>
      <c r="F5256" s="7" t="n">
        <v>5</v>
      </c>
      <c r="G5256" s="7" t="inlineStr">
        <is>
          <t>Simple to make, semi-fast, and tasty</t>
        </is>
      </c>
    </row>
    <row r="5257">
      <c r="A5257" s="7" t="n">
        <v>26547</v>
      </c>
      <c r="B5257" s="7" t="n">
        <v>854496</v>
      </c>
      <c r="C5257" s="7" t="n">
        <v>398121</v>
      </c>
      <c r="D5257" s="7" t="n">
        <v>32386</v>
      </c>
      <c r="E5257" s="8" t="n">
        <v>39733</v>
      </c>
      <c r="F5257" s="7" t="n">
        <v>3</v>
      </c>
      <c r="G5257" s="7" t="inlineStr">
        <is>
          <t>Pretty good for a one time try.</t>
        </is>
      </c>
    </row>
    <row r="5258">
      <c r="A5258" s="7" t="n">
        <v>110910</v>
      </c>
      <c r="B5258" s="7" t="n">
        <v>309359</v>
      </c>
      <c r="C5258" s="7" t="n">
        <v>158086</v>
      </c>
      <c r="D5258" s="7" t="n">
        <v>22691</v>
      </c>
      <c r="E5258" s="8" t="n">
        <v>38795</v>
      </c>
      <c r="F5258" s="7" t="n">
        <v>5</v>
      </c>
      <c r="G5258" s="7" t="inlineStr">
        <is>
          <t>Mine turned out just like the pictures....It doesn't get any easier than this recipe....A real keeper...</t>
        </is>
      </c>
    </row>
    <row r="5259">
      <c r="A5259" s="7" t="n">
        <v>92758</v>
      </c>
      <c r="B5259" s="7" t="n">
        <v>711876</v>
      </c>
      <c r="C5259" s="7" t="n">
        <v>199697</v>
      </c>
      <c r="D5259" s="7" t="n">
        <v>248015</v>
      </c>
      <c r="E5259" s="8" t="n">
        <v>39697</v>
      </c>
      <c r="F5259" s="7" t="n">
        <v>3</v>
      </c>
      <c r="G5259" s="7" t="inlineStr">
        <is>
          <t>A reluctant three stars for this pesto.  I used a fully packed 2C basil - right out of the garden.  Used a smidge extra pine nuts all other ingredients to recipe list.  DH and I both agree tooo strong on the basil front - coming from a tried and true basil lover.  Am thinking better measurement might be less basil - or less densly packed .... after all - with these ingredients what's not to like so I'm thinking it must have been just tooo much basil packed into my 2 C measure.  Recommend lightly packing basil to just about 2C measure....Maybe should do the Alton Brown measure by weight with the basil next time...</t>
        </is>
      </c>
    </row>
    <row r="5260">
      <c r="A5260" s="7" t="n">
        <v>53730</v>
      </c>
      <c r="B5260" s="7" t="n">
        <v>875286</v>
      </c>
      <c r="C5260" s="7" t="n">
        <v>357071</v>
      </c>
      <c r="D5260" s="7" t="n">
        <v>136241</v>
      </c>
      <c r="E5260" s="8" t="n">
        <v>41223</v>
      </c>
      <c r="F5260" s="7" t="n">
        <v>5</v>
      </c>
      <c r="G5260" s="7" t="inlineStr">
        <is>
          <t>These were excellent i used shredded mozzerrla, pepperoni and fresh mushrooms. Thanks</t>
        </is>
      </c>
    </row>
    <row r="5261">
      <c r="A5261" s="7" t="n">
        <v>866</v>
      </c>
      <c r="B5261" s="7" t="n">
        <v>397179</v>
      </c>
      <c r="C5261" s="7" t="n">
        <v>2000233908</v>
      </c>
      <c r="D5261" s="7" t="n">
        <v>233189</v>
      </c>
      <c r="E5261" s="8" t="n">
        <v>42153</v>
      </c>
      <c r="F5261" s="7" t="n">
        <v>0</v>
      </c>
      <c r="G5261" s="7" t="inlineStr">
        <is>
          <t>This recipe is incorrect. I use to work at canes so I would personally know!</t>
        </is>
      </c>
    </row>
    <row r="5262">
      <c r="A5262" s="7" t="n">
        <v>11733</v>
      </c>
      <c r="B5262" s="7" t="n">
        <v>314403</v>
      </c>
      <c r="C5262" s="7" t="n">
        <v>55017</v>
      </c>
      <c r="D5262" s="7" t="n">
        <v>180809</v>
      </c>
      <c r="E5262" s="8" t="n">
        <v>38941</v>
      </c>
      <c r="F5262" s="7" t="n">
        <v>2</v>
      </c>
      <c r="G5262" s="7" t="inlineStr">
        <is>
          <t>I followed the directions exactly, but this recipe was just...ok.  The burgers would have been more tolerable if they were only 1/2 inch thick.  They had the consistency of a bean burrito and 1 inch thick of it was just too much.  Definetley needed toppings.  Mayo is good on it, I added a little hot sauce to try and salvage these things.  Won't make them again.</t>
        </is>
      </c>
    </row>
    <row r="5263">
      <c r="A5263" t="n">
        <v>52079</v>
      </c>
      <c r="B5263" t="n">
        <v>938018</v>
      </c>
      <c r="C5263" t="n">
        <v>440159</v>
      </c>
      <c r="D5263" t="n">
        <v>82102</v>
      </c>
      <c r="E5263" s="1" t="n">
        <v>39419</v>
      </c>
      <c r="F5263" t="n">
        <v>5</v>
      </c>
      <c r="G5263" t="inlineStr">
        <is>
          <t>Absolutely delicious.  This is definitely going to be the way I make a chicken dinner in my home now going forward.  I've tried a few other chicken recipes on this site but this is easily the best.  I honestly couldn't stop eating it!  We served this with pecan long grain rice and french snips, but the sides just paled in comparison to the rich taste and moistness of this chicken.  We prepared as suggested, but used a mix of shredded cheeses instead rather than just parmesean.  The next time we make this I'm going to make extra of the garlic/butter mixture and store in the fridge for ease next time.  We'll be making this a lot. Simply fantastic, thank you for sharing!</t>
        </is>
      </c>
    </row>
    <row r="5264">
      <c r="A5264" s="7" t="n">
        <v>6438</v>
      </c>
      <c r="B5264" s="7" t="n">
        <v>1019595</v>
      </c>
      <c r="C5264" s="7" t="n">
        <v>648093</v>
      </c>
      <c r="D5264" s="7" t="n">
        <v>100481</v>
      </c>
      <c r="E5264" s="8" t="n">
        <v>40804</v>
      </c>
      <c r="F5264" s="7" t="n">
        <v>5</v>
      </c>
      <c r="G5264" s="7" t="inlineStr">
        <is>
          <t>This is our go-to sandwich spread. I use this quite often to make french bread sandwiches for my family. As a matter of fact, they call it Big Sandwich when they ask for it. I use it as it is given in the recipe, although I only use it on one side of the bread. I use plain mayo on the other and I get more sandwiches out of one recipe. Thank you so much for sharing.</t>
        </is>
      </c>
    </row>
    <row r="5265">
      <c r="A5265" s="7" t="n">
        <v>20754</v>
      </c>
      <c r="B5265" s="7" t="n">
        <v>187004</v>
      </c>
      <c r="C5265" s="7" t="n">
        <v>486725</v>
      </c>
      <c r="D5265" s="7" t="n">
        <v>100156</v>
      </c>
      <c r="E5265" s="8" t="n">
        <v>39568</v>
      </c>
      <c r="F5265" s="7" t="n">
        <v>4</v>
      </c>
      <c r="G5265" s="7" t="inlineStr">
        <is>
          <t>The possibilities are endless here! I was constrained by what I already had in the house. I made three versions, one with cherry preserves, one with frozen wild blueberries, and one with bananas (and coffee yogurt). They were all good, but the cherry was our favorite, it tasted kind of like pie! I think another reviewer's suggestion of using pie filling is a great idea. I used a one to one ratio with the ricotta and yogurt, so you could really taste the ricotta. It was great!</t>
        </is>
      </c>
    </row>
    <row r="5266">
      <c r="A5266" s="7" t="n">
        <v>78450</v>
      </c>
      <c r="B5266" s="7" t="n">
        <v>102992</v>
      </c>
      <c r="C5266" s="7" t="n">
        <v>828340</v>
      </c>
      <c r="D5266" s="7" t="n">
        <v>164371</v>
      </c>
      <c r="E5266" s="8" t="n">
        <v>39618</v>
      </c>
      <c r="F5266" s="7" t="n">
        <v>5</v>
      </c>
      <c r="G5266" s="7" t="inlineStr">
        <is>
          <t>Made this with extra garlic and 1/2T dried oregano. It was so sticky out of the machine that I must have added about another 3/4 to 1 cup flour while kneading it into a ball! Each rise was EXCELLENT! I let it rise again in the pan cuz we like a thicker crust. I poked it about a hundred times with a fork, baked it for 6 minutes then loaded it with toppings from Chicken Ranch Pizza #32008 and returned it to the oven on 375F for 19 minutes. YUM! YUM! YUM! Fantastic recipe! Thanks for posting!</t>
        </is>
      </c>
    </row>
    <row r="5267">
      <c r="A5267" s="7" t="n">
        <v>30651</v>
      </c>
      <c r="B5267" s="7" t="n">
        <v>466165</v>
      </c>
      <c r="C5267" s="7" t="n">
        <v>297913</v>
      </c>
      <c r="D5267" s="7" t="n">
        <v>17118</v>
      </c>
      <c r="E5267" s="8" t="n">
        <v>41731</v>
      </c>
      <c r="F5267" s="7" t="n">
        <v>4</v>
      </c>
      <c r="G5267" s="7" t="inlineStr">
        <is>
          <t>Good.  Didn&amp;#039;t want to have to wash the blender so just whisked.  Added some chives and cheddar on top..</t>
        </is>
      </c>
    </row>
    <row r="5268">
      <c r="A5268" s="7" t="n">
        <v>63949</v>
      </c>
      <c r="B5268" s="7" t="n">
        <v>1075724</v>
      </c>
      <c r="C5268" s="7" t="n">
        <v>1221043</v>
      </c>
      <c r="D5268" s="7" t="n">
        <v>62130</v>
      </c>
      <c r="E5268" s="8" t="n">
        <v>42361</v>
      </c>
      <c r="F5268" s="7" t="n">
        <v>5</v>
      </c>
      <c r="G5268" s="7" t="inlineStr">
        <is>
          <t>Added 1/2 teaspoon salt to this recipe and 1/8 cup additional butter.  Used both vanilla and almond extract.  Baked 350 for 12 minutes.  Cookies were perfect, with light brown edges.  Sprinkled with colored sugar before baking.  Half the work of rolled cookies, perfect for Christmas.</t>
        </is>
      </c>
    </row>
    <row r="5269">
      <c r="A5269" s="7" t="n">
        <v>38981</v>
      </c>
      <c r="B5269" s="7" t="n">
        <v>247643</v>
      </c>
      <c r="C5269" s="7" t="n">
        <v>145125</v>
      </c>
      <c r="D5269" s="7" t="n">
        <v>215414</v>
      </c>
      <c r="E5269" s="8" t="n">
        <v>39415</v>
      </c>
      <c r="F5269" s="7" t="n">
        <v>5</v>
      </c>
      <c r="G5269" s="7" t="inlineStr">
        <is>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is>
      </c>
    </row>
    <row r="5270">
      <c r="A5270" s="7" t="n">
        <v>118023</v>
      </c>
      <c r="B5270" s="7" t="n">
        <v>135306</v>
      </c>
      <c r="C5270" s="7" t="n">
        <v>47341</v>
      </c>
      <c r="D5270" s="7" t="n">
        <v>60942</v>
      </c>
      <c r="E5270" s="8" t="n">
        <v>37771</v>
      </c>
      <c r="F5270" s="7" t="n">
        <v>5</v>
      </c>
      <c r="G5270" s="7" t="inlineStr">
        <is>
          <t>my boys and i love this!  it tastes just like an orange julius and it simple and quick to fix.  i find that it serves 3 or 4.  i do add the chopped and peeled orange, also.  it makes a great afterschool snack.</t>
        </is>
      </c>
    </row>
    <row r="5271">
      <c r="A5271" s="7" t="n">
        <v>72258</v>
      </c>
      <c r="B5271" s="7" t="n">
        <v>656869</v>
      </c>
      <c r="C5271" s="7" t="n">
        <v>854453</v>
      </c>
      <c r="D5271" s="7" t="n">
        <v>27208</v>
      </c>
      <c r="E5271" s="8" t="n">
        <v>39818</v>
      </c>
      <c r="F5271" s="7" t="n">
        <v>5</v>
      </c>
      <c r="G5271" s="7" t="inlineStr">
        <is>
          <t>This recipe was so easy and so flavorful!  I made this recipe exactly as posted.  I used a 3 lb. tri-tip roast.  I did not think the meat was too salty using the full amount of all three mixes.  However, the gravy made by the water was salty.</t>
        </is>
      </c>
    </row>
    <row r="5272">
      <c r="A5272" s="7" t="n">
        <v>43228</v>
      </c>
      <c r="B5272" s="7" t="n">
        <v>800009</v>
      </c>
      <c r="C5272" s="7" t="n">
        <v>196198</v>
      </c>
      <c r="D5272" s="7" t="n">
        <v>90246</v>
      </c>
      <c r="E5272" s="8" t="n">
        <v>39143</v>
      </c>
      <c r="F5272" s="7" t="n">
        <v>5</v>
      </c>
      <c r="G5272" s="7" t="inlineStr">
        <is>
          <t>I've made this quite often for guests but I leave off the praline topping and just serve it with maple syrup.  Do not substitute any other kind of bread...you must use french bread for this to be good.  This reminds me of a cross between creme brulee and custard.  I love it!</t>
        </is>
      </c>
    </row>
    <row r="5273">
      <c r="A5273" s="7" t="n">
        <v>29046</v>
      </c>
      <c r="B5273" s="7" t="n">
        <v>1018580</v>
      </c>
      <c r="C5273" s="7" t="n">
        <v>1260758</v>
      </c>
      <c r="D5273" s="7" t="n">
        <v>345614</v>
      </c>
      <c r="E5273" s="8" t="n">
        <v>39975</v>
      </c>
      <c r="F5273" s="7" t="n">
        <v>5</v>
      </c>
      <c r="G5273" s="7" t="inlineStr">
        <is>
          <t>This was very tasty over the lime-cilantro rice I threw together, and a very easy dish, too! That's a win-win!!</t>
        </is>
      </c>
    </row>
    <row r="5274">
      <c r="A5274" s="7" t="n">
        <v>90833</v>
      </c>
      <c r="B5274" s="7" t="n">
        <v>44883</v>
      </c>
      <c r="C5274" s="7" t="n">
        <v>169850</v>
      </c>
      <c r="D5274" s="7" t="n">
        <v>57908</v>
      </c>
      <c r="E5274" s="8" t="n">
        <v>39513</v>
      </c>
      <c r="F5274" s="7" t="n">
        <v>5</v>
      </c>
      <c r="G5274" s="7" t="inlineStr">
        <is>
          <t>Madhur Jaffrey's Indian Cooking is one of my favourite cookbooks. I was so happy to see this recipe posted here &amp; read the reviews as the recipe isn't a curry I would normally try. I'm so glad I did, as we absolutely loved it!!  We used skinned chicken legs &amp; followed the recipe as is.  The lemon &amp; cilantro sauce was so refreshing.  For the leftovers, I separated the remaining chicken from the bone &amp; mixed it with the sauce and basmati rice.  My husband loved it the next day for lunch. Thank you for posting this recipe!!</t>
        </is>
      </c>
    </row>
    <row r="5275">
      <c r="A5275" s="7" t="n">
        <v>39550</v>
      </c>
      <c r="B5275" s="7" t="n">
        <v>189974</v>
      </c>
      <c r="C5275" s="7" t="n">
        <v>485109</v>
      </c>
      <c r="D5275" s="7" t="n">
        <v>342437</v>
      </c>
      <c r="E5275" s="8" t="n">
        <v>39987</v>
      </c>
      <c r="F5275" s="7" t="n">
        <v>5</v>
      </c>
      <c r="G5275" s="7" t="inlineStr">
        <is>
          <t>Wow! What an awesome recipe! I had the same problem as Acadia though- I hand mixed the ingredients and couldn't wait long enough for it to get thoroughly frozen again! An amazingly easy, yet delicious treat! Thanks breezermom!</t>
        </is>
      </c>
    </row>
    <row r="5276">
      <c r="A5276" s="7" t="n">
        <v>105028</v>
      </c>
      <c r="B5276" s="7" t="n">
        <v>758821</v>
      </c>
      <c r="C5276" s="7" t="n">
        <v>37779</v>
      </c>
      <c r="D5276" s="7" t="n">
        <v>177740</v>
      </c>
      <c r="E5276" s="8" t="n">
        <v>39216</v>
      </c>
      <c r="F5276" s="7" t="n">
        <v>4</v>
      </c>
      <c r="G5276" s="7" t="inlineStr">
        <is>
          <t>I have always loved the combination of ham and pineapple. These sandwiches were extremely easy to make. They were quite sweet, so next time, I will decrease the sugar to maybe 3/4 cup. Thanks for sharing this recipe.</t>
        </is>
      </c>
    </row>
    <row r="5277">
      <c r="A5277" s="7" t="n">
        <v>105052</v>
      </c>
      <c r="B5277" s="7" t="n">
        <v>542275</v>
      </c>
      <c r="C5277" s="7" t="n">
        <v>30716</v>
      </c>
      <c r="D5277" s="7" t="n">
        <v>22153</v>
      </c>
      <c r="E5277" s="8" t="n">
        <v>37333</v>
      </c>
      <c r="F5277" s="7" t="n">
        <v>5</v>
      </c>
      <c r="G5277" s="7" t="inlineStr">
        <is>
          <t>Very very good! Worth more than 5 stars. Soooooo easy too!</t>
        </is>
      </c>
    </row>
    <row r="5278">
      <c r="A5278" s="7" t="n">
        <v>83055</v>
      </c>
      <c r="B5278" s="7" t="n">
        <v>687511</v>
      </c>
      <c r="C5278" s="7" t="n">
        <v>36187</v>
      </c>
      <c r="D5278" s="7" t="n">
        <v>98761</v>
      </c>
      <c r="E5278" s="8" t="n">
        <v>38441</v>
      </c>
      <c r="F5278" s="7" t="n">
        <v>4</v>
      </c>
      <c r="G5278" s="7" t="inlineStr">
        <is>
          <t xml:space="preserve">These were good but I would have preferred a bit more sweetness.  I made them as a side dish and taste-tested one drizzled with syrup which added the sweetness that I was looking for.  Ease of preparation is what I look for in a recipe......this fit the bill perfectly.  Thanks for sharing.  </t>
        </is>
      </c>
    </row>
    <row r="5279">
      <c r="A5279" s="7" t="n">
        <v>71584</v>
      </c>
      <c r="B5279" s="7" t="n">
        <v>802975</v>
      </c>
      <c r="C5279" s="7" t="n">
        <v>2742440</v>
      </c>
      <c r="D5279" s="7" t="n">
        <v>495590</v>
      </c>
      <c r="E5279" s="8" t="n">
        <v>41351</v>
      </c>
      <c r="F5279" s="7" t="n">
        <v>0</v>
      </c>
      <c r="G5279" s="7" t="inlineStr">
        <is>
          <t>This sounds perfect for our Sunday brunches!</t>
        </is>
      </c>
    </row>
    <row r="5280">
      <c r="A5280" s="7" t="n">
        <v>42405</v>
      </c>
      <c r="B5280" s="7" t="n">
        <v>539809</v>
      </c>
      <c r="C5280" s="7" t="n">
        <v>476053</v>
      </c>
      <c r="D5280" s="7" t="n">
        <v>215919</v>
      </c>
      <c r="E5280" s="8" t="n">
        <v>40354</v>
      </c>
      <c r="F5280" s="7" t="n">
        <v>1</v>
      </c>
      <c r="G5280" s="7" t="inlineStr">
        <is>
          <t>I very much wanted to like these but they were a major disaster at our party. I followed the recipe and didn't change anything but it came out tasting really weird and nasty (not like crab rangoon) so I probably won't be making these again.</t>
        </is>
      </c>
    </row>
    <row r="5281">
      <c r="A5281" s="7" t="n">
        <v>44990</v>
      </c>
      <c r="B5281" s="7" t="n">
        <v>747722</v>
      </c>
      <c r="C5281" s="7" t="n">
        <v>544754</v>
      </c>
      <c r="D5281" s="7" t="n">
        <v>49200</v>
      </c>
      <c r="E5281" s="8" t="n">
        <v>39799</v>
      </c>
      <c r="F5281" s="7" t="n">
        <v>4</v>
      </c>
      <c r="G5281" s="7" t="inlineStr">
        <is>
          <t>Made this tonight for a snack while waiting for the BF to come home with dinner. I halved the recipe to 2-3 servings, and cooked it on 350 without adjusting the cooking time, yet still didn't find it crispy enough for me. Next time I will bake at 450 for 45 minutes like others have suggested. I didn't have any paprika on hand so I subbed chili powder. I also doubled the garlic powder and parm cheese (I like 'em cheesy and garlicky). Next time will definitely add a bit more of both for extra flavor! Definitely easy to make and you can tweak to your liking! Thank you for the recipe!</t>
        </is>
      </c>
    </row>
    <row r="5282">
      <c r="A5282" s="7" t="n">
        <v>116288</v>
      </c>
      <c r="B5282" s="7" t="n">
        <v>424759</v>
      </c>
      <c r="C5282" s="7" t="n">
        <v>481092</v>
      </c>
      <c r="D5282" s="7" t="n">
        <v>219473</v>
      </c>
      <c r="E5282" s="8" t="n">
        <v>39717</v>
      </c>
      <c r="F5282" s="7" t="n">
        <v>4</v>
      </c>
      <c r="G5282" s="7" t="inlineStr">
        <is>
          <t>This was good, just not as good as a restaurant.  But for a simple solution to that it is good.  Somewhat on the salty side.</t>
        </is>
      </c>
    </row>
    <row r="5283">
      <c r="A5283" s="7" t="n">
        <v>103984</v>
      </c>
      <c r="B5283" s="7" t="n">
        <v>1101201</v>
      </c>
      <c r="C5283" s="7" t="n">
        <v>290392</v>
      </c>
      <c r="D5283" s="7" t="n">
        <v>117641</v>
      </c>
      <c r="E5283" s="8" t="n">
        <v>38895</v>
      </c>
      <c r="F5283" s="7" t="n">
        <v>5</v>
      </c>
      <c r="G5283" s="7" t="inlineStr">
        <is>
          <t>The Hubby LOVED LOVED LOVED this recipe!!! There was not a morsel left. I will make this again for sure. Thanks for the nice easy recipe.</t>
        </is>
      </c>
    </row>
    <row r="5284">
      <c r="A5284" s="7" t="n">
        <v>100259</v>
      </c>
      <c r="B5284" s="7" t="n">
        <v>104120</v>
      </c>
      <c r="C5284" s="7" t="n">
        <v>119552</v>
      </c>
      <c r="D5284" s="7" t="n">
        <v>364148</v>
      </c>
      <c r="E5284" s="8" t="n">
        <v>41731</v>
      </c>
      <c r="F5284" s="7" t="n">
        <v>5</v>
      </c>
      <c r="G5284" s="7" t="inlineStr">
        <is>
          <t>Firstly this meatloaf is very tasty!  My 8 year old nephew was tricked by this cake!  He gave up sweets for Lent and was quite mad at me when I told him that I accidentally made cake for dinner.  We all had a good laugh after saying &amp;quot;April Fool&amp;#039;s&amp;quot;; he even cleaned his plate!  I reduced the garlic to 1/2 a clove, the onions to 1/4 cup grated, and a couple dashes of Worchestershire sauce because of dietary restrictions, and the taste was still excellent.  I also subbed 4 slices of crustless white bread soaked in the milk for the breadcrumbs.  I will use this recipe for regular meatloaf, too. Thanks!</t>
        </is>
      </c>
    </row>
    <row r="5285">
      <c r="A5285" s="7" t="n">
        <v>112486</v>
      </c>
      <c r="B5285" s="7" t="n">
        <v>1024381</v>
      </c>
      <c r="C5285" s="7" t="n">
        <v>1802743625</v>
      </c>
      <c r="D5285" s="7" t="n">
        <v>111777</v>
      </c>
      <c r="E5285" s="8" t="n">
        <v>41774</v>
      </c>
      <c r="F5285" s="7" t="n">
        <v>5</v>
      </c>
      <c r="G5285" s="7" t="inlineStr">
        <is>
          <t>The best chicken pot pie I have found on the net. I made this for my husband&amp;#039;s bday and since, he asks me when I am making it again. The only thing I did change was when I cooked my chicken in the skillet for the pie, I put poultry seasoning and a pinch if sage to add so more flavor. Thank you for your recipe. It is now one of our favs!</t>
        </is>
      </c>
    </row>
    <row r="5286">
      <c r="A5286" s="7" t="n">
        <v>62524</v>
      </c>
      <c r="B5286" s="7" t="n">
        <v>715563</v>
      </c>
      <c r="C5286" s="7" t="n">
        <v>95044</v>
      </c>
      <c r="D5286" s="7" t="n">
        <v>112875</v>
      </c>
      <c r="E5286" s="8" t="n">
        <v>38514</v>
      </c>
      <c r="F5286" s="7" t="n">
        <v>5</v>
      </c>
      <c r="G5286" s="7" t="inlineStr">
        <is>
          <t>This salad is truly wonderful tasting - and you're right - it gets better the longer it sits.  I didn't have any luck finding the Queen Anne or Royal Anne cherries, so I used Bing cherries and the salad turned purple after a day or so.  I also added three bananas instead of one.  The flavor of this salad is just awesome. I recommend it highly.</t>
        </is>
      </c>
    </row>
    <row r="5287">
      <c r="A5287" s="7" t="n">
        <v>112617</v>
      </c>
      <c r="B5287" s="7" t="n">
        <v>977170</v>
      </c>
      <c r="C5287" s="7" t="n">
        <v>35106</v>
      </c>
      <c r="D5287" s="7" t="n">
        <v>46796</v>
      </c>
      <c r="E5287" s="8" t="n">
        <v>37769</v>
      </c>
      <c r="F5287" s="7" t="n">
        <v>5</v>
      </c>
      <c r="G5287" s="7" t="inlineStr">
        <is>
          <t>Delicious! I love that it's a healthier alternative to the deep fried kind. I don't know if it was my mistake, but I think the sauce had too much pepper though.</t>
        </is>
      </c>
    </row>
    <row r="5288">
      <c r="A5288" s="7" t="n">
        <v>108678</v>
      </c>
      <c r="B5288" s="7" t="n">
        <v>421546</v>
      </c>
      <c r="C5288" s="7" t="n">
        <v>92816</v>
      </c>
      <c r="D5288" s="7" t="n">
        <v>206967</v>
      </c>
      <c r="E5288" s="8" t="n">
        <v>40586</v>
      </c>
      <c r="F5288" s="7" t="n">
        <v>0</v>
      </c>
      <c r="G5288" s="7" t="inlineStr">
        <is>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is>
      </c>
    </row>
    <row r="5289">
      <c r="A5289" s="7" t="n">
        <v>32349</v>
      </c>
      <c r="B5289" s="7" t="n">
        <v>338511</v>
      </c>
      <c r="C5289" s="7" t="n">
        <v>428885</v>
      </c>
      <c r="D5289" s="7" t="n">
        <v>275749</v>
      </c>
      <c r="E5289" s="8" t="n">
        <v>39468</v>
      </c>
      <c r="F5289" s="7" t="n">
        <v>5</v>
      </c>
      <c r="G5289" s="7" t="inlineStr">
        <is>
          <t>These were outstanding, healthy, and absolutely the freshest taste of these sugar snap peas, I could of just eaten the whole bowl. So refreshing, the lemon just married so well with these snap peas I almost could never make it any other way then this. I followed this exactly except since I only had 1 lb of peas. so I reduced the butter. Beautiful dish to serve, and beautiful to devour. Thank you so much, Antifreesz, just wonderful!</t>
        </is>
      </c>
    </row>
    <row r="5290">
      <c r="A5290" s="7" t="n">
        <v>96985</v>
      </c>
      <c r="B5290" s="7" t="n">
        <v>305117</v>
      </c>
      <c r="C5290" s="7" t="n">
        <v>296809</v>
      </c>
      <c r="D5290" s="7" t="n">
        <v>95376</v>
      </c>
      <c r="E5290" s="8" t="n">
        <v>38920</v>
      </c>
      <c r="F5290" s="7" t="n">
        <v>5</v>
      </c>
      <c r="G5290" s="7" t="inlineStr">
        <is>
          <t>From Iceland where salmon abounds - 5 stars &amp; I wish there were more for this gem of a recipe. We love salmon &amp; usually grill it or poach &amp; serve w/a sauce. This was a tasty surprise for us. I made it just as written &amp; oven-roasted it. It was lovely to look at &amp; even better to eat! Thx for posting this winner!</t>
        </is>
      </c>
    </row>
    <row r="5291">
      <c r="A5291" s="7" t="n">
        <v>24505</v>
      </c>
      <c r="B5291" s="7" t="n">
        <v>748744</v>
      </c>
      <c r="C5291" s="7" t="n">
        <v>1072672</v>
      </c>
      <c r="D5291" s="7" t="n">
        <v>80963</v>
      </c>
      <c r="E5291" s="8" t="n">
        <v>39795</v>
      </c>
      <c r="F5291" s="7" t="n">
        <v>5</v>
      </c>
      <c r="G5291" s="7" t="inlineStr">
        <is>
          <t>Having tried MANY cornbread recipes in the past, this one tops them all. It's moist and flavorful and has a great texture/weight to it....and it's healthy! I did a couple of "tweaks" which might have made it a bit more sweet, to address some earlier reviewers' comments, due to shortage of supplies. I was short on honey, so I made it up with a high-quality maple syrup. Also, because I'm a non-dairy ingester, I used unsweetened Almond Milk, Vanilla flavored, that I had on hand. I think both these things really enhanced the flavors, cuz it's heaven in your mouth!</t>
        </is>
      </c>
    </row>
    <row r="5292">
      <c r="A5292" s="7" t="n">
        <v>10935</v>
      </c>
      <c r="B5292" s="7" t="n">
        <v>78227</v>
      </c>
      <c r="C5292" s="7" t="n">
        <v>679953</v>
      </c>
      <c r="D5292" s="7" t="n">
        <v>484053</v>
      </c>
      <c r="E5292" s="8" t="n">
        <v>41443</v>
      </c>
      <c r="F5292" s="7" t="n">
        <v>5</v>
      </c>
      <c r="G5292" s="7" t="inlineStr">
        <is>
          <t>A Great burger..though I omitted the beet, and made 4 of them.  Definately needed the napkins, and a knife,but well worth it. Made for a nice Jumbo burger.  Kids enjoyed too.  Using egg on a burger was a nice change, I usually dont. Made and reviewed for Rookie Tag.</t>
        </is>
      </c>
    </row>
    <row r="5293">
      <c r="A5293" s="7" t="n">
        <v>117883</v>
      </c>
      <c r="B5293" s="7" t="n">
        <v>9846</v>
      </c>
      <c r="C5293" s="7" t="n">
        <v>407283</v>
      </c>
      <c r="D5293" s="7" t="n">
        <v>382460</v>
      </c>
      <c r="E5293" s="8" t="n">
        <v>40170</v>
      </c>
      <c r="F5293" s="7" t="n">
        <v>2</v>
      </c>
      <c r="G5293" s="7" t="inlineStr">
        <is>
          <t>I have to say a day later, that these did turn out to be tasty, but I had a heck of a time making them.  My arms got tired so I don't think I stretched them enough and working with the liquid part was a sticky mess.</t>
        </is>
      </c>
    </row>
    <row r="5294">
      <c r="A5294" s="7" t="n">
        <v>38073</v>
      </c>
      <c r="B5294" s="7" t="n">
        <v>1128896</v>
      </c>
      <c r="C5294" s="7" t="n">
        <v>1738801</v>
      </c>
      <c r="D5294" s="7" t="n">
        <v>165049</v>
      </c>
      <c r="E5294" s="8" t="n">
        <v>41310</v>
      </c>
      <c r="F5294" s="7" t="n">
        <v>5</v>
      </c>
      <c r="G5294" s="7" t="inlineStr">
        <is>
          <t>We really liked this sauce. I used Recipe #131018 to make the pulled pork, then added this sauce to the drained meat and onions for the last 6 hours of cooking.  I am a wimp though, and cut the red pepper flakes to 1/4 tsp, which turned out to be just right for us.</t>
        </is>
      </c>
    </row>
    <row r="5295">
      <c r="A5295" s="7" t="n">
        <v>113638</v>
      </c>
      <c r="B5295" s="7" t="n">
        <v>486278</v>
      </c>
      <c r="C5295" s="7" t="n">
        <v>436458</v>
      </c>
      <c r="D5295" s="7" t="n">
        <v>112796</v>
      </c>
      <c r="E5295" s="8" t="n">
        <v>39222</v>
      </c>
      <c r="F5295" s="7" t="n">
        <v>5</v>
      </c>
      <c r="G5295" s="7" t="inlineStr">
        <is>
          <t>Yum Yum Yum!  Everyone at our cookout raved about the dipping sauce.  This recipe may look intimidating to a beginner due to the many ingredients and steps but it is super easy!  I did change the veggies to suit our tastes (red, orange, green bell peppers, mushrooms, red potatoes, red onions, zucchini and a few chunks of pineapple.  Super recipe!!  Thanks!</t>
        </is>
      </c>
    </row>
    <row r="5296" ht="285" customHeight="1">
      <c r="A5296" s="7" t="n">
        <v>52731</v>
      </c>
      <c r="B5296" s="7" t="n">
        <v>850250</v>
      </c>
      <c r="C5296" s="7" t="n">
        <v>65197</v>
      </c>
      <c r="D5296" s="7" t="n">
        <v>57340</v>
      </c>
      <c r="E5296" s="8" t="n">
        <v>38434</v>
      </c>
      <c r="F5296" s="7" t="n">
        <v>5</v>
      </c>
      <c r="G5296" s="9" t="inlineStr">
        <is>
          <t>I love the combo.  I did change the salt to equal parts of pepper, garlic and salt._x000D_
I used it like a dry rub on 'tri tip' roast before grilling!_x000D_
Great!!</t>
        </is>
      </c>
    </row>
    <row r="5297" ht="409.5" customHeight="1">
      <c r="A5297" s="7" t="n">
        <v>85636</v>
      </c>
      <c r="B5297" s="7" t="n">
        <v>1031663</v>
      </c>
      <c r="C5297" s="7" t="n">
        <v>115758</v>
      </c>
      <c r="D5297" s="7" t="n">
        <v>95907</v>
      </c>
      <c r="E5297" s="8" t="n">
        <v>39721</v>
      </c>
      <c r="F5297" s="7" t="n">
        <v>5</v>
      </c>
      <c r="G5297" s="9" t="inlineStr">
        <is>
          <t>After roasting my seeds I crushed them in my pestle and mortar for a more rustic paste, as per other reviewers I too used 3 Tbsp vinegar._x000D_
It smells devine and I cant wait to give it a go...I'll be back to edit my review after I've my first curry. :)</t>
        </is>
      </c>
    </row>
    <row r="5298">
      <c r="A5298" s="7" t="n">
        <v>31799</v>
      </c>
      <c r="B5298" s="7" t="n">
        <v>399828</v>
      </c>
      <c r="C5298" s="7" t="n">
        <v>523993</v>
      </c>
      <c r="D5298" s="7" t="n">
        <v>89298</v>
      </c>
      <c r="E5298" s="8" t="n">
        <v>39275</v>
      </c>
      <c r="F5298" s="7" t="n">
        <v>5</v>
      </c>
      <c r="G5298" s="7" t="inlineStr">
        <is>
          <t>Wow! Fantastic Pate! I used wheat germ in place of bread crumbs (I always do...), but otherwise followed the recipe exactly. It was fantastic. Thanks!</t>
        </is>
      </c>
    </row>
    <row r="5299" ht="409.5" customHeight="1">
      <c r="A5299" s="7" t="n">
        <v>45576</v>
      </c>
      <c r="B5299" s="7" t="n">
        <v>893950</v>
      </c>
      <c r="C5299" s="7" t="n">
        <v>58104</v>
      </c>
      <c r="D5299" s="7" t="n">
        <v>333403</v>
      </c>
      <c r="E5299" s="8" t="n">
        <v>39841</v>
      </c>
      <c r="F5299" s="7" t="n">
        <v>5</v>
      </c>
      <c r="G5299" s="9" t="inlineStr">
        <is>
          <t>This was very interesting. I served it over smart balance spread on whole wheat toast. I made 1/2 the amount. This would be nice sprinkled on hot chocolate topped with whipped cream. Or dip a martini glass rim with it for chocolate martini`s. _x000D_
Made for comfort cafe! Thanks!</t>
        </is>
      </c>
    </row>
    <row r="5300">
      <c r="A5300" s="7" t="n">
        <v>62234</v>
      </c>
      <c r="B5300" s="7" t="n">
        <v>698630</v>
      </c>
      <c r="C5300" s="7" t="n">
        <v>174096</v>
      </c>
      <c r="D5300" s="7" t="n">
        <v>394518</v>
      </c>
      <c r="E5300" s="8" t="n">
        <v>40108</v>
      </c>
      <c r="F5300" s="7" t="n">
        <v>5</v>
      </c>
      <c r="G5300" s="7" t="inlineStr">
        <is>
          <t>Great - the spices on the fries were a great touch, and the avocado dip really made this dish!  Thanks for sharing!</t>
        </is>
      </c>
    </row>
    <row r="5301" ht="409.5" customHeight="1">
      <c r="A5301" s="7" t="n">
        <v>100672</v>
      </c>
      <c r="B5301" s="7" t="n">
        <v>1059322</v>
      </c>
      <c r="C5301" s="7" t="n">
        <v>962690</v>
      </c>
      <c r="D5301" s="7" t="n">
        <v>395126</v>
      </c>
      <c r="E5301" s="8" t="n">
        <v>40112</v>
      </c>
      <c r="F5301" s="7" t="n">
        <v>4</v>
      </c>
      <c r="G5301" s="9" t="inlineStr">
        <is>
          <t>I used a regualr onion and tripled the relish mix and used about 1 1/2 pounds of tenderloin. I also added a bit of water to the apple onion mix._x000D_
Took longer then stated to cook the relish._x000D_
We enjoyed this._x000D_
Made for New Kids on The Block</t>
        </is>
      </c>
    </row>
    <row r="5302">
      <c r="A5302" s="7" t="n">
        <v>109387</v>
      </c>
      <c r="B5302" s="7" t="n">
        <v>973946</v>
      </c>
      <c r="C5302" s="7" t="n">
        <v>305664</v>
      </c>
      <c r="D5302" s="7" t="n">
        <v>101141</v>
      </c>
      <c r="E5302" s="8" t="n">
        <v>39184</v>
      </c>
      <c r="F5302" s="7" t="n">
        <v>4</v>
      </c>
      <c r="G5302" s="7" t="inlineStr">
        <is>
          <t>This is so fun! We used a bag of frozen mixed berries (You can buy a huge bag of it at Sam's) some strawberry yogurt and regular Sierra Mist. It's a fun way for us to get some more fruit. Perfect with some popcorn on a TV night!</t>
        </is>
      </c>
    </row>
    <row r="5303">
      <c r="A5303" s="7" t="n">
        <v>94013</v>
      </c>
      <c r="B5303" s="7" t="n">
        <v>116986</v>
      </c>
      <c r="C5303" s="7" t="n">
        <v>499661</v>
      </c>
      <c r="D5303" s="7" t="n">
        <v>20960</v>
      </c>
      <c r="E5303" s="8" t="n">
        <v>39903</v>
      </c>
      <c r="F5303" s="7" t="n">
        <v>4</v>
      </c>
      <c r="G5303" s="7" t="inlineStr">
        <is>
          <t>Very good, I have always preferred to make wings in the oven.  Family really enjoyed them.  The only thing I may do next time is add some garlic power to the seasoning, and then allow to sit in the refrigerator overnight.  Then prepare the recipe as called for.</t>
        </is>
      </c>
    </row>
    <row r="5304" ht="409.5" customHeight="1">
      <c r="A5304" s="7" t="n">
        <v>63452</v>
      </c>
      <c r="B5304" s="7" t="n">
        <v>463576</v>
      </c>
      <c r="C5304" s="7" t="n">
        <v>56463</v>
      </c>
      <c r="D5304" s="7" t="n">
        <v>49567</v>
      </c>
      <c r="E5304" s="8" t="n">
        <v>38209</v>
      </c>
      <c r="F5304" s="7" t="n">
        <v>5</v>
      </c>
      <c r="G5304" s="9" t="inlineStr">
        <is>
          <t>We couldn't wait for it to cool, ate it in an hour after mixing it together! What a flavorful, great blend of flavors and textures. I don't know why I am surprised since it's Nurse Di and black-eyed peas, a great combination! I added some chopped celery and a little more sugar as we are wimps when it comes to tangy stuff. Oh-h-h what a nice lunch with some fresh sliced peaches for dessert._x000D_
Thanks, Carole in Orlando</t>
        </is>
      </c>
    </row>
    <row r="5305">
      <c r="A5305" s="7" t="n">
        <v>82297</v>
      </c>
      <c r="B5305" s="7" t="n">
        <v>149240</v>
      </c>
      <c r="C5305" s="7" t="n">
        <v>482376</v>
      </c>
      <c r="D5305" s="7" t="n">
        <v>455393</v>
      </c>
      <c r="E5305" s="8" t="n">
        <v>42218</v>
      </c>
      <c r="F5305" s="7" t="n">
        <v>5</v>
      </c>
      <c r="G5305" s="7" t="inlineStr">
        <is>
          <t>We cooked this up for our lunch yesterday. Oh my gosh, it was fabulous! We all loved the crispiness of the potatoes, the taste of the parma ham and onions and the delicious cheese melted on top. This is a winner!! I&amp;#039;m going to tuck this into my Best of 2015 file. Thank you!</t>
        </is>
      </c>
    </row>
    <row r="5306">
      <c r="A5306" s="7" t="n">
        <v>3828</v>
      </c>
      <c r="B5306" s="7" t="n">
        <v>731211</v>
      </c>
      <c r="C5306" s="7" t="n">
        <v>2312</v>
      </c>
      <c r="D5306" s="7" t="n">
        <v>43581</v>
      </c>
      <c r="E5306" s="8" t="n">
        <v>37908</v>
      </c>
      <c r="F5306" s="7" t="n">
        <v>2</v>
      </c>
      <c r="G5306" s="7" t="inlineStr">
        <is>
          <t>Ok, hate to say this but it just didn't set.  I should have been suspicious that there is no thickening agent, but I don't know anything about pies -- I guess it could just be my bad pie-making.  It tasted good, but over ice cream not under it.  needs some cornstarch or flour...</t>
        </is>
      </c>
    </row>
    <row r="5307" ht="330" customHeight="1">
      <c r="A5307" s="7" t="n">
        <v>107595</v>
      </c>
      <c r="B5307" s="7" t="n">
        <v>1000118</v>
      </c>
      <c r="C5307" s="7" t="n">
        <v>289272</v>
      </c>
      <c r="D5307" s="7" t="n">
        <v>164825</v>
      </c>
      <c r="E5307" s="8" t="n">
        <v>38828</v>
      </c>
      <c r="F5307" s="7" t="n">
        <v>5</v>
      </c>
      <c r="G5307" s="9" t="inlineStr">
        <is>
          <t>Very, Very Good.  I was stationed in Iran and my bosses' wife was Armenian and I had her version of it and this was pretty close.  Thanks for a nice meal._x000D_
_x000D_
Jim</t>
        </is>
      </c>
    </row>
    <row r="5308">
      <c r="A5308" s="7" t="n">
        <v>67114</v>
      </c>
      <c r="B5308" s="7" t="n">
        <v>136696</v>
      </c>
      <c r="C5308" s="7" t="n">
        <v>519708</v>
      </c>
      <c r="D5308" s="7" t="n">
        <v>44888</v>
      </c>
      <c r="E5308" s="8" t="n">
        <v>39698</v>
      </c>
      <c r="F5308" s="7" t="n">
        <v>5</v>
      </c>
      <c r="G5308" s="7" t="inlineStr">
        <is>
          <t>I used the same glaze on chicken breasts.  I'm sure it would be better on wings but it was still VERY good.  Definitely a keeper!</t>
        </is>
      </c>
    </row>
    <row r="5309">
      <c r="A5309" s="7" t="n">
        <v>88347</v>
      </c>
      <c r="B5309" s="7" t="n">
        <v>64266</v>
      </c>
      <c r="C5309" s="7" t="n">
        <v>96177</v>
      </c>
      <c r="D5309" s="7" t="n">
        <v>372141</v>
      </c>
      <c r="E5309" s="8" t="n">
        <v>40094</v>
      </c>
      <c r="F5309" s="7" t="n">
        <v>5</v>
      </c>
      <c r="G5309" s="7" t="inlineStr">
        <is>
          <t>The honey gave this a nice flavor, not too sweet. I used vodka. Nice drink barefoot. I tagged this drink for Pink 09 tag.</t>
        </is>
      </c>
    </row>
    <row r="5310">
      <c r="A5310" s="7" t="n">
        <v>45072</v>
      </c>
      <c r="B5310" s="7" t="n">
        <v>317542</v>
      </c>
      <c r="C5310" s="7" t="n">
        <v>321912</v>
      </c>
      <c r="D5310" s="7" t="n">
        <v>51968</v>
      </c>
      <c r="E5310" s="8" t="n">
        <v>38867</v>
      </c>
      <c r="F5310" s="7" t="n">
        <v>4</v>
      </c>
      <c r="G5310" s="7" t="inlineStr">
        <is>
          <t>This is a great recipe.  I used Splenda brown sugar and it tasted like the real thing!  Will certainly make again and again!  Thanks!</t>
        </is>
      </c>
    </row>
    <row r="5311">
      <c r="A5311" s="7" t="n">
        <v>96473</v>
      </c>
      <c r="B5311" s="7" t="n">
        <v>927748</v>
      </c>
      <c r="C5311" s="7" t="n">
        <v>225096</v>
      </c>
      <c r="D5311" s="7" t="n">
        <v>128588</v>
      </c>
      <c r="E5311" s="8" t="n">
        <v>39026</v>
      </c>
      <c r="F5311" s="7" t="n">
        <v>5</v>
      </c>
      <c r="G5311" s="7" t="inlineStr">
        <is>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is>
      </c>
    </row>
    <row r="5312">
      <c r="A5312" s="7" t="n">
        <v>37526</v>
      </c>
      <c r="B5312" s="7" t="n">
        <v>813113</v>
      </c>
      <c r="C5312" s="7" t="n">
        <v>222864</v>
      </c>
      <c r="D5312" s="7" t="n">
        <v>10837</v>
      </c>
      <c r="E5312" s="8" t="n">
        <v>38578</v>
      </c>
      <c r="F5312" s="7" t="n">
        <v>5</v>
      </c>
      <c r="G5312" s="7" t="inlineStr">
        <is>
          <t xml:space="preserve">My family &amp; I enjoyed this simple, easy recipe.I used tomatoes I froze because I had so many last month.The taste was FANSTASTIC and the consistency was fine.I made a 2nd batch &amp; added mushrooms &amp; sausage, which was thinner-moisture in mushrooms mebbe?-but a lil tomato paste fixed that.I intend to put up more using unfrozen fresh tomatoes-my garden is cranking them out this year-I imagine that batch will taste just as good. I HIGHLY RECCOMMEND. </t>
        </is>
      </c>
    </row>
    <row r="5313">
      <c r="A5313" s="7" t="n">
        <v>98357</v>
      </c>
      <c r="B5313" s="7" t="n">
        <v>768270</v>
      </c>
      <c r="C5313" s="7" t="n">
        <v>424680</v>
      </c>
      <c r="D5313" s="7" t="n">
        <v>460022</v>
      </c>
      <c r="E5313" s="8" t="n">
        <v>40764</v>
      </c>
      <c r="F5313" s="7" t="n">
        <v>5</v>
      </c>
      <c r="G5313" s="7" t="inlineStr">
        <is>
          <t>I dear friend of mine was able, within the week, to get for me some wasabi seaweed caviar (She's great when it comes to hunting down unusual ingredients for me!) &amp; so I was able to make this most unusual recipe pretty much as given! I'm not that big on caviar of any kind, but the idea of the recipe intrigued me, &amp; so I made one for her &amp; one for myself! She thought it was outstanding, &amp; I thought it was, yes, pretty good! And so, bowing to my friend's effort &amp; enthusiasm, I've let her rate your recipe ~ A solid 5 stars! Thanks for sharing it! [Made &amp; reviewed in Zaar Chef Alphabet Soup tag]</t>
        </is>
      </c>
    </row>
    <row r="5314">
      <c r="A5314" s="7" t="n">
        <v>14822</v>
      </c>
      <c r="B5314" s="7" t="n">
        <v>448526</v>
      </c>
      <c r="C5314" s="7" t="n">
        <v>1409093</v>
      </c>
      <c r="D5314" s="7" t="n">
        <v>77085</v>
      </c>
      <c r="E5314" s="8" t="n">
        <v>40253</v>
      </c>
      <c r="F5314" s="7" t="n">
        <v>4</v>
      </c>
      <c r="G5314" s="7" t="inlineStr">
        <is>
          <t>I won't say it's breathtaking, but it's nice and quite easy to do and very filling. I've made it a couple of times and my husband likes it a lot. So thanks for sharing.</t>
        </is>
      </c>
    </row>
    <row r="5315">
      <c r="A5315" s="7" t="n">
        <v>112708</v>
      </c>
      <c r="B5315" s="7" t="n">
        <v>567667</v>
      </c>
      <c r="C5315" s="7" t="n">
        <v>953275</v>
      </c>
      <c r="D5315" s="7" t="n">
        <v>429993</v>
      </c>
      <c r="E5315" s="8" t="n">
        <v>41028</v>
      </c>
      <c r="F5315" s="7" t="n">
        <v>5</v>
      </c>
      <c r="G5315" s="7" t="inlineStr">
        <is>
          <t>This soup was a serious treat!  I splurged on some authentic Cheshire cheese and followed the recipe to a T, just subbing brown rice flour and veg stock to make it gluten-free &amp; veg.  The flavours remind me of a true swiss cheese fondue, only as a soup this is creamy yet light, and the cheshire cheese is flavourful without being overpowering.  I agree it could serve 3 for a light meal, but for a dinner portion it's going to make a hearty meal for 2.  Very easy to make, I think it benefited from sitting a while. Thanks Elmotoo...!</t>
        </is>
      </c>
    </row>
    <row r="5316">
      <c r="A5316" s="7" t="n">
        <v>59784</v>
      </c>
      <c r="B5316" s="7" t="n">
        <v>235791</v>
      </c>
      <c r="C5316" s="7" t="n">
        <v>418988</v>
      </c>
      <c r="D5316" s="7" t="n">
        <v>155392</v>
      </c>
      <c r="E5316" s="8" t="n">
        <v>39089</v>
      </c>
      <c r="F5316" s="7" t="n">
        <v>5</v>
      </c>
      <c r="G5316" s="7" t="inlineStr">
        <is>
          <t>Very tasty!  I tripled the recipe to glaze about two-dozen donuts and had plenty left over.  I prepared the glaze in a saucepan in advance and kept it over low heat so it was ready when I needed it.  I topped with sprinkles while the glaze was still warm and they ended up sticking a lot better than the last glaze I used.  Thanks!</t>
        </is>
      </c>
    </row>
    <row r="5317">
      <c r="A5317" s="7" t="n">
        <v>74835</v>
      </c>
      <c r="B5317" s="7" t="n">
        <v>251651</v>
      </c>
      <c r="C5317" s="7" t="n">
        <v>566751</v>
      </c>
      <c r="D5317" s="7" t="n">
        <v>110397</v>
      </c>
      <c r="E5317" s="8" t="n">
        <v>39916</v>
      </c>
      <c r="F5317" s="7" t="n">
        <v>5</v>
      </c>
      <c r="G5317" s="7" t="inlineStr">
        <is>
          <t>This was very good.  I used a baked pastry shell instead of the graham cracker crust.  I could have whipped the filling longer, it didn't fill the crust as high as I had hoped - but it was incredibly fluffy.  Reminded me of the fluffy 3-Musketeers filling.  Yum!</t>
        </is>
      </c>
    </row>
    <row r="5318">
      <c r="A5318" s="7" t="n">
        <v>23389</v>
      </c>
      <c r="B5318" s="7" t="n">
        <v>439928</v>
      </c>
      <c r="C5318" s="7" t="n">
        <v>373178</v>
      </c>
      <c r="D5318" s="7" t="n">
        <v>70758</v>
      </c>
      <c r="E5318" s="8" t="n">
        <v>39396</v>
      </c>
      <c r="F5318" s="7" t="n">
        <v>5</v>
      </c>
      <c r="G5318" s="7" t="inlineStr">
        <is>
          <t>This is very good miso soup.  I used veggie broth instead of dashi broth and it came out just fine. I agree with previous posters, this soup really needs the miso. Thank you for the recipe!</t>
        </is>
      </c>
    </row>
    <row r="5319">
      <c r="A5319" s="7" t="n">
        <v>101406</v>
      </c>
      <c r="B5319" s="7" t="n">
        <v>1004500</v>
      </c>
      <c r="C5319" s="7" t="n">
        <v>169850</v>
      </c>
      <c r="D5319" s="7" t="n">
        <v>61610</v>
      </c>
      <c r="E5319" s="8" t="n">
        <v>38730</v>
      </c>
      <c r="F5319" s="7" t="n">
        <v>5</v>
      </c>
      <c r="G5319" s="7" t="inlineStr">
        <is>
          <t>I love drinking this, it's so refreshing in addition to it's detoxing benefits. It's now apart of my daily morning rush hour communte, I can't leave the house without my lemon/honey drink! Thank you, I've seen a huge difference.</t>
        </is>
      </c>
    </row>
    <row r="5320">
      <c r="A5320" s="7" t="n">
        <v>52221</v>
      </c>
      <c r="B5320" s="7" t="n">
        <v>460864</v>
      </c>
      <c r="C5320" s="7" t="n">
        <v>807768</v>
      </c>
      <c r="D5320" s="7" t="n">
        <v>23873</v>
      </c>
      <c r="E5320" s="8" t="n">
        <v>39556</v>
      </c>
      <c r="F5320" s="7" t="n">
        <v>5</v>
      </c>
      <c r="G5320" s="7" t="inlineStr">
        <is>
          <t>Excellent meal! The pork turned out great, very juicy and tender.  The sauce isn't overwhelming and tastes great.  We cut a pork tenderloin into 6 pieces and followed the recipe.  Great meal, easy and quick to prepare.</t>
        </is>
      </c>
    </row>
    <row r="5321">
      <c r="A5321" s="7" t="n">
        <v>105657</v>
      </c>
      <c r="B5321" s="7" t="n">
        <v>942078</v>
      </c>
      <c r="C5321" s="7" t="n">
        <v>2859875</v>
      </c>
      <c r="D5321" s="7" t="n">
        <v>471731</v>
      </c>
      <c r="E5321" s="8" t="n">
        <v>41436</v>
      </c>
      <c r="F5321" s="7" t="n">
        <v>4</v>
      </c>
      <c r="G5321" s="7" t="inlineStr">
        <is>
          <t>Pretty good, didn&amp;#039;t get me excited until I added sriracha. Delish!</t>
        </is>
      </c>
    </row>
    <row r="5322">
      <c r="A5322" s="7" t="n">
        <v>124141</v>
      </c>
      <c r="B5322" s="7" t="n">
        <v>882042</v>
      </c>
      <c r="C5322" s="7" t="n">
        <v>104295</v>
      </c>
      <c r="D5322" s="7" t="n">
        <v>121019</v>
      </c>
      <c r="E5322" s="8" t="n">
        <v>39950</v>
      </c>
      <c r="F5322" s="7" t="n">
        <v>5</v>
      </c>
      <c r="G5322" s="7" t="inlineStr">
        <is>
          <t>I am so suprised that this does not have 100+ 5 star reviews.  Its' fabulous!!!!  I could have done with a few more cherries but that said, for the calories, it's divine.  We'll be making this a lot this summer.  Thanks!!</t>
        </is>
      </c>
    </row>
    <row r="5323">
      <c r="A5323" s="7" t="n">
        <v>12444</v>
      </c>
      <c r="B5323" s="7" t="n">
        <v>413375</v>
      </c>
      <c r="C5323" s="7" t="n">
        <v>56824</v>
      </c>
      <c r="D5323" s="7" t="n">
        <v>37984</v>
      </c>
      <c r="E5323" s="8" t="n">
        <v>37550</v>
      </c>
      <c r="F5323" s="7" t="n">
        <v>5</v>
      </c>
      <c r="G5323" s="7" t="inlineStr">
        <is>
          <t>Oh, yes. It goes well into a 11 x 7 baking dish.</t>
        </is>
      </c>
    </row>
    <row r="5324" ht="300" customHeight="1">
      <c r="A5324" s="7" t="n">
        <v>100680</v>
      </c>
      <c r="B5324" s="7" t="n">
        <v>52931</v>
      </c>
      <c r="C5324" s="7" t="n">
        <v>156691</v>
      </c>
      <c r="D5324" s="7" t="n">
        <v>157746</v>
      </c>
      <c r="E5324" s="8" t="n">
        <v>39245</v>
      </c>
      <c r="F5324" s="7" t="n">
        <v>5</v>
      </c>
      <c r="G5324" s="9" t="inlineStr">
        <is>
          <t>My sons call this Taco Meatloaf.   I omit the garlic, enough flavor from the spices._x000D_
I bake it in my Baparoma (Artisan French baking) non-stick pan.</t>
        </is>
      </c>
    </row>
    <row r="5325">
      <c r="A5325" s="7" t="n">
        <v>22749</v>
      </c>
      <c r="B5325" s="7" t="n">
        <v>15907</v>
      </c>
      <c r="C5325" s="7" t="n">
        <v>498271</v>
      </c>
      <c r="D5325" s="7" t="n">
        <v>360404</v>
      </c>
      <c r="E5325" s="8" t="n">
        <v>41542</v>
      </c>
      <c r="F5325" s="7" t="n">
        <v>5</v>
      </c>
      <c r="G5325" s="7" t="inlineStr">
        <is>
          <t>Yummy way to prepare Brussels sprouts!  I love them anyway and really enjoyed this version.  I did add some salt and pepper to the sauce, otherwise made as directed.  I liked the tangy sweet/sour/salty coating this put on the sprouts.  Thanks for sharing the recipe!</t>
        </is>
      </c>
    </row>
    <row r="5326">
      <c r="A5326" s="7" t="n">
        <v>43008</v>
      </c>
      <c r="B5326" s="7" t="n">
        <v>1098198</v>
      </c>
      <c r="C5326" s="7" t="n">
        <v>422893</v>
      </c>
      <c r="D5326" s="7" t="n">
        <v>225991</v>
      </c>
      <c r="E5326" s="8" t="n">
        <v>39545</v>
      </c>
      <c r="F5326" s="7" t="n">
        <v>3</v>
      </c>
      <c r="G5326" s="7" t="inlineStr">
        <is>
          <t>This was nice but I think for my tastes the tequila was a little overpowering. I ended up adding more cider to it which was more to my liking. Thanks LW!</t>
        </is>
      </c>
    </row>
    <row r="5327">
      <c r="A5327" s="7" t="n">
        <v>35088</v>
      </c>
      <c r="B5327" s="7" t="n">
        <v>171316</v>
      </c>
      <c r="C5327" s="7" t="n">
        <v>326787</v>
      </c>
      <c r="D5327" s="7" t="n">
        <v>226673</v>
      </c>
      <c r="E5327" s="8" t="n">
        <v>39433</v>
      </c>
      <c r="F5327" s="7" t="n">
        <v>4</v>
      </c>
      <c r="G5327" s="7" t="inlineStr">
        <is>
          <t>I made this tonight for our evening meal and we both agree that they were very good. I was forced to use the little small hash brown cubes because my store was out of regular hash browns, but they worked just fine. It actually made enough for 6 cups so I added an extra egg and I used some evaporated milk in place of the cream. Served with hot biscuits and cream gravy, yum, yum.... It's a nice change to serve breakfast food as an evening meal.</t>
        </is>
      </c>
    </row>
    <row r="5328" ht="409.5" customHeight="1">
      <c r="A5328" s="7" t="n">
        <v>56143</v>
      </c>
      <c r="B5328" s="7" t="n">
        <v>643212</v>
      </c>
      <c r="C5328" s="7" t="n">
        <v>463435</v>
      </c>
      <c r="D5328" s="7" t="n">
        <v>277234</v>
      </c>
      <c r="E5328" s="8" t="n">
        <v>39706</v>
      </c>
      <c r="F5328" s="7" t="n">
        <v>5</v>
      </c>
      <c r="G5328" s="9" t="inlineStr">
        <is>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Thanks for sharing this wonderful recipe.
Made for Fall PAC 2008</t>
        </is>
      </c>
    </row>
    <row r="5329" ht="409.5" customHeight="1">
      <c r="A5329" s="7" t="n">
        <v>88368</v>
      </c>
      <c r="B5329" s="7" t="n">
        <v>776725</v>
      </c>
      <c r="C5329" s="7" t="n">
        <v>429112</v>
      </c>
      <c r="D5329" s="7" t="n">
        <v>12353</v>
      </c>
      <c r="E5329" s="8" t="n">
        <v>39097</v>
      </c>
      <c r="F5329" s="7" t="n">
        <v>4</v>
      </c>
      <c r="G5329" s="9" t="inlineStr">
        <is>
          <t>The white sauce was very easy and
turned out so well!  I served it
over gf noodles with turkey breast
and green and red peppers and onions
stir-fried in olive oil. I added
some salt for flavoring and substituted vegetable glycerin
for the honey for a yeast-free diet.
Loved it!</t>
        </is>
      </c>
    </row>
    <row r="5330">
      <c r="A5330" s="7" t="n">
        <v>50899</v>
      </c>
      <c r="B5330" s="7" t="n">
        <v>71016</v>
      </c>
      <c r="C5330" s="7" t="n">
        <v>278578</v>
      </c>
      <c r="D5330" s="7" t="n">
        <v>58598</v>
      </c>
      <c r="E5330" s="8" t="n">
        <v>39482</v>
      </c>
      <c r="F5330" s="7" t="n">
        <v>5</v>
      </c>
      <c r="G5330" s="7" t="inlineStr">
        <is>
          <t>wow this dish was really great, honey adds just the right amount of flavor, thank you!</t>
        </is>
      </c>
    </row>
    <row r="5331">
      <c r="A5331" t="n">
        <v>39602</v>
      </c>
      <c r="B5331" t="n">
        <v>380007</v>
      </c>
      <c r="C5331" t="n">
        <v>2513978</v>
      </c>
      <c r="D5331" t="n">
        <v>19725</v>
      </c>
      <c r="E5331" s="1" t="n">
        <v>41233</v>
      </c>
      <c r="F5331" t="n">
        <v>0</v>
      </c>
      <c r="G5331" t="inlineStr">
        <is>
          <t>Great recipe! &lt;br/&gt;&lt;br/&gt;I turned it up a bit with a little sea salt, microbrew beer and vermont maple syrup in the marinade for the evening.  &lt;br/&gt;&lt;br/&gt;Skied a pow day at Alta, Utah and came home to cook it in the over for the instructed first 3 hours that night. Then I pulled the roux and reduced it on the stove top adding more BBQ sauce, and a little bread crumbs to thicken up the roux. &lt;br/&gt;&lt;br/&gt;After 5 games of pool and couple episodes of Intervention my bud and I went silent until there was nothing left. Everyone needs a little tenderness in their lives. &lt;br/&gt;&lt;br/&gt;Both kids recovered in rehab and it was a truly spiritual meal that was nurtured with love and attention. &lt;br/&gt;&lt;br/&gt;How simple life can be.</t>
        </is>
      </c>
    </row>
    <row r="5332">
      <c r="A5332" s="7" t="n">
        <v>36007</v>
      </c>
      <c r="B5332" s="7" t="n">
        <v>467235</v>
      </c>
      <c r="C5332" s="7" t="n">
        <v>703062</v>
      </c>
      <c r="D5332" s="7" t="n">
        <v>42719</v>
      </c>
      <c r="E5332" s="8" t="n">
        <v>40216</v>
      </c>
      <c r="F5332" s="7" t="n">
        <v>5</v>
      </c>
      <c r="G5332" s="7" t="inlineStr">
        <is>
          <t>I am making this for the second time, because it was so good and easy. As I was making it this time I thought next I'm going to make some fried bacon, crummbled. Either adding it to the potatoes or as a garnish. I really like this recipe, thanks...</t>
        </is>
      </c>
    </row>
    <row r="5333">
      <c r="A5333" s="7" t="n">
        <v>92798</v>
      </c>
      <c r="B5333" s="7" t="n">
        <v>127833</v>
      </c>
      <c r="C5333" s="7" t="n">
        <v>474881</v>
      </c>
      <c r="D5333" s="7" t="n">
        <v>93743</v>
      </c>
      <c r="E5333" s="8" t="n">
        <v>39485</v>
      </c>
      <c r="F5333" s="7" t="n">
        <v>5</v>
      </c>
      <c r="G5333" s="7" t="inlineStr">
        <is>
          <t>This is one of the best! I added about 1/3 more Whipping cream to mine, came out very tasty! Thank you SOO Much for this excellent recipie!</t>
        </is>
      </c>
    </row>
    <row r="5334">
      <c r="A5334" s="7" t="n">
        <v>121823</v>
      </c>
      <c r="B5334" s="7" t="n">
        <v>147254</v>
      </c>
      <c r="C5334" s="7" t="n">
        <v>936601</v>
      </c>
      <c r="D5334" s="7" t="n">
        <v>223660</v>
      </c>
      <c r="E5334" s="8" t="n">
        <v>39840</v>
      </c>
      <c r="F5334" s="7" t="n">
        <v>5</v>
      </c>
      <c r="G5334" s="7" t="inlineStr">
        <is>
          <t>YUM!!!!  Made these for dessert.  I only made half the recipe so I wouldn't have as many left over.  I had NONE!!!!  DH loved these!  I will make the full recipe next time  - which will be very soon! Thanks for the great treat!  Made for Potluck Tag</t>
        </is>
      </c>
    </row>
    <row r="5335">
      <c r="A5335" s="7" t="n">
        <v>3653</v>
      </c>
      <c r="B5335" s="7" t="n">
        <v>820074</v>
      </c>
      <c r="C5335" s="7" t="n">
        <v>255338</v>
      </c>
      <c r="D5335" s="7" t="n">
        <v>289031</v>
      </c>
      <c r="E5335" s="8" t="n">
        <v>39506</v>
      </c>
      <c r="F5335" s="7" t="n">
        <v>5</v>
      </c>
      <c r="G5335" s="7" t="inlineStr">
        <is>
          <t>Try adding 1 tablespoon of pandan essence ( get the 'butterfly brand' from Indonesia ) as well as the pandan extract for a more fragrant cake. That will also give it the traditional green colour. Very delicious cake indeed. Thank you for posting.</t>
        </is>
      </c>
    </row>
    <row r="5336">
      <c r="A5336" s="7" t="n">
        <v>84550</v>
      </c>
      <c r="B5336" s="7" t="n">
        <v>431238</v>
      </c>
      <c r="C5336" s="7" t="n">
        <v>2202649</v>
      </c>
      <c r="D5336" s="7" t="n">
        <v>495124</v>
      </c>
      <c r="E5336" s="8" t="n">
        <v>41329</v>
      </c>
      <c r="F5336" s="7" t="n">
        <v>5</v>
      </c>
      <c r="G5336" s="7" t="inlineStr">
        <is>
          <t>Delicious recipe - I can't wait to make it again!!</t>
        </is>
      </c>
    </row>
    <row r="5337">
      <c r="A5337" s="7" t="n">
        <v>52280</v>
      </c>
      <c r="B5337" s="7" t="n">
        <v>1049224</v>
      </c>
      <c r="C5337" s="7" t="n">
        <v>838118</v>
      </c>
      <c r="D5337" s="7" t="n">
        <v>102274</v>
      </c>
      <c r="E5337" s="8" t="n">
        <v>40500</v>
      </c>
      <c r="F5337" s="7" t="n">
        <v>5</v>
      </c>
      <c r="G5337" s="7" t="inlineStr">
        <is>
          <t>This soup is wonderful!!! I have made it a couple of times. Thanks for the great recipe!</t>
        </is>
      </c>
    </row>
    <row r="5338">
      <c r="A5338" s="7" t="n">
        <v>106455</v>
      </c>
      <c r="B5338" s="7" t="n">
        <v>970730</v>
      </c>
      <c r="C5338" s="7" t="n">
        <v>60260</v>
      </c>
      <c r="D5338" s="7" t="n">
        <v>53879</v>
      </c>
      <c r="E5338" s="8" t="n">
        <v>37745</v>
      </c>
      <c r="F5338" s="7" t="n">
        <v>4</v>
      </c>
      <c r="G5338" s="7" t="inlineStr">
        <is>
          <t>We enjoyed this recipe last night and feel it's something different to make with ground beef.  I made everything as is but only made it with 1 pound of ground beef and omitted the 2 med. onions.  There is only 4 of us and there were leftovers.  The flavor was really good and I'm sure we'll make it again.  We think the bamboo shoots and waterchestnuts are what make the dish but our kids would disagree! :)</t>
        </is>
      </c>
    </row>
    <row r="5339">
      <c r="A5339" s="7" t="n">
        <v>103622</v>
      </c>
      <c r="B5339" s="7" t="n">
        <v>131426</v>
      </c>
      <c r="C5339" s="7" t="n">
        <v>261510</v>
      </c>
      <c r="D5339" s="7" t="n">
        <v>76540</v>
      </c>
      <c r="E5339" s="8" t="n">
        <v>39219</v>
      </c>
      <c r="F5339" s="7" t="n">
        <v>5</v>
      </c>
      <c r="G5339" s="7" t="inlineStr">
        <is>
          <t>My sisters and I grew up on these!  We've always used a powdered sugar/water mixture to dip them in.  I will have to try the cinnamon/sugar mixture for my children since they LOVE cinnamon..Thanks!</t>
        </is>
      </c>
    </row>
    <row r="5340">
      <c r="A5340" t="n">
        <v>117770</v>
      </c>
      <c r="B5340" t="n">
        <v>839008</v>
      </c>
      <c r="C5340" t="n">
        <v>62043</v>
      </c>
      <c r="D5340" t="n">
        <v>50126</v>
      </c>
      <c r="E5340" s="1" t="n">
        <v>37759</v>
      </c>
      <c r="F5340" t="n">
        <v>5</v>
      </c>
      <c r="G5340" t="inlineStr">
        <is>
          <t xml:space="preserve">Great Challah! The dough didn't rise as much as I would have liked but I think thats somehow my fault... Everyone loved them anyway. I mixed toasted sesame seeds into the egg wash before glazing. They were really nice and made exactly 4 medium sized loaves, just as you said. Thanks Caryn! </t>
        </is>
      </c>
    </row>
    <row r="5341">
      <c r="A5341" s="7" t="n">
        <v>10973</v>
      </c>
      <c r="B5341" s="7" t="n">
        <v>942074</v>
      </c>
      <c r="C5341" s="7" t="n">
        <v>953275</v>
      </c>
      <c r="D5341" s="7" t="n">
        <v>471731</v>
      </c>
      <c r="E5341" s="8" t="n">
        <v>40974</v>
      </c>
      <c r="F5341" s="7" t="n">
        <v>5</v>
      </c>
      <c r="G5341" s="7" t="inlineStr">
        <is>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is>
      </c>
    </row>
    <row r="5342">
      <c r="A5342" s="7" t="n">
        <v>40093</v>
      </c>
      <c r="B5342" s="7" t="n">
        <v>929623</v>
      </c>
      <c r="C5342" s="7" t="n">
        <v>523986</v>
      </c>
      <c r="D5342" s="7" t="n">
        <v>182674</v>
      </c>
      <c r="E5342" s="8" t="n">
        <v>39370</v>
      </c>
      <c r="F5342" s="7" t="n">
        <v>4</v>
      </c>
      <c r="G5342" s="7" t="inlineStr">
        <is>
          <t>Wasn't difficult to make a all, went off on a day hike while it cooked and it was such a nice meal to have when returning. Will definitely make this one again in the future.</t>
        </is>
      </c>
    </row>
    <row r="5343">
      <c r="A5343" s="7" t="n">
        <v>107269</v>
      </c>
      <c r="B5343" s="7" t="n">
        <v>976321</v>
      </c>
      <c r="C5343" s="7" t="n">
        <v>95743</v>
      </c>
      <c r="D5343" s="7" t="n">
        <v>90084</v>
      </c>
      <c r="E5343" s="8" t="n">
        <v>38714</v>
      </c>
      <c r="F5343" s="7" t="n">
        <v>5</v>
      </c>
      <c r="G5343" s="7" t="inlineStr">
        <is>
          <t>Wow.  I took advantage of the other reviewers' comments and used smoked gouda, adding some over the mushroom layer as well as mixed into the potatoes.  I did prepare mine in the morning, covered it with plastic wrap and left it at room temperature until it was baked about 5 hours later.  Apparently that was too long as the baking powder didn't activate and the potatoes never really "puffed."  No matter, no one knew any differently, it was still gorgeous and the taste and texture was out-of-this-world good. My recommendation is to make more than you think you'll need because this is going to be one popular dish.</t>
        </is>
      </c>
    </row>
    <row r="5344">
      <c r="A5344" s="7" t="n">
        <v>38070</v>
      </c>
      <c r="B5344" s="7" t="n">
        <v>148473</v>
      </c>
      <c r="C5344" s="7" t="n">
        <v>209747</v>
      </c>
      <c r="D5344" s="7" t="n">
        <v>129255</v>
      </c>
      <c r="E5344" s="8" t="n">
        <v>38737</v>
      </c>
      <c r="F5344" s="7" t="n">
        <v>5</v>
      </c>
      <c r="G5344" s="7" t="inlineStr">
        <is>
          <t xml:space="preserve">Great man pleasin' breakfast. I didnt take a picture bc as Evelyn said it kind of had a murky color- and I thought your picture was really good. I used leftover boiled potatoes which made it really fast and I used 2 green onions cuz hubby doesnt really like regular onions. Sprinkled some cheddar cheese on top and let it melt. Thanks for a good breakfast recipe! </t>
        </is>
      </c>
    </row>
    <row r="5345">
      <c r="A5345" s="7" t="n">
        <v>604</v>
      </c>
      <c r="B5345" s="7" t="n">
        <v>455846</v>
      </c>
      <c r="C5345" s="7" t="n">
        <v>52448</v>
      </c>
      <c r="D5345" s="7" t="n">
        <v>336069</v>
      </c>
      <c r="E5345" s="8" t="n">
        <v>39926</v>
      </c>
      <c r="F5345" s="7" t="n">
        <v>5</v>
      </c>
      <c r="G5345" s="7" t="inlineStr">
        <is>
          <t>Delicious, easy and a very flexible recipe. Did not have matzo meal and used plain flour, it came out fine and I liked the use of herbs in the kugel. Thanks for posting</t>
        </is>
      </c>
    </row>
    <row r="5346">
      <c r="A5346" s="7" t="n">
        <v>51068</v>
      </c>
      <c r="B5346" s="7" t="n">
        <v>197814</v>
      </c>
      <c r="C5346" s="7" t="n">
        <v>620435</v>
      </c>
      <c r="D5346" s="7" t="n">
        <v>44343</v>
      </c>
      <c r="E5346" s="8" t="n">
        <v>40911</v>
      </c>
      <c r="F5346" s="7" t="n">
        <v>5</v>
      </c>
      <c r="G5346" s="7" t="inlineStr">
        <is>
          <t>This was very good and fairly easy to make.  I made it as a Birthday Cake and didn't frost the outside so as to keep it less sweet.  It was very good and the presentation was excellent.  Thanks for sharing.</t>
        </is>
      </c>
    </row>
    <row r="5347">
      <c r="A5347" s="7" t="n">
        <v>95749</v>
      </c>
      <c r="B5347" s="7" t="n">
        <v>488095</v>
      </c>
      <c r="C5347" s="7" t="n">
        <v>4291</v>
      </c>
      <c r="D5347" s="7" t="n">
        <v>9715</v>
      </c>
      <c r="E5347" s="8" t="n">
        <v>38756</v>
      </c>
      <c r="F5347" s="7" t="n">
        <v>5</v>
      </c>
      <c r="G5347" s="7" t="inlineStr">
        <is>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is>
      </c>
    </row>
    <row r="5348">
      <c r="A5348" s="7" t="n">
        <v>55683</v>
      </c>
      <c r="B5348" s="7" t="n">
        <v>448357</v>
      </c>
      <c r="C5348" s="7" t="n">
        <v>182010</v>
      </c>
      <c r="D5348" s="7" t="n">
        <v>140771</v>
      </c>
      <c r="E5348" s="8" t="n">
        <v>38645</v>
      </c>
      <c r="F5348" s="7" t="n">
        <v>5</v>
      </c>
      <c r="G5348" s="7" t="inlineStr">
        <is>
          <t>I used boneless sirloin and marinated overnite--cooked it on the grill--great aroma, great flavor!  Thanks, Lori!</t>
        </is>
      </c>
    </row>
    <row r="5349">
      <c r="A5349" s="7" t="n">
        <v>59621</v>
      </c>
      <c r="B5349" s="7" t="n">
        <v>549482</v>
      </c>
      <c r="C5349" s="7" t="n">
        <v>338232</v>
      </c>
      <c r="D5349" s="7" t="n">
        <v>66589</v>
      </c>
      <c r="E5349" s="8" t="n">
        <v>39209</v>
      </c>
      <c r="F5349" s="7" t="n">
        <v>3</v>
      </c>
      <c r="G5349" s="7" t="inlineStr">
        <is>
          <t>The cookies were quite good, but the dough was very dry and hard to work with.  It kept falling apart.</t>
        </is>
      </c>
    </row>
    <row r="5350">
      <c r="A5350" s="7" t="n">
        <v>58044</v>
      </c>
      <c r="B5350" s="7" t="n">
        <v>496646</v>
      </c>
      <c r="C5350" s="7" t="n">
        <v>2001907968</v>
      </c>
      <c r="D5350" s="7" t="n">
        <v>20606</v>
      </c>
      <c r="E5350" s="8" t="n">
        <v>43102</v>
      </c>
      <c r="F5350" s="7" t="n">
        <v>0</v>
      </c>
      <c r="G5350" s="7" t="inlineStr">
        <is>
          <t>I’m new to cooking. When it states to boil in covered pot for 3 hours, is that high heat or just barely bubbling heat?</t>
        </is>
      </c>
    </row>
    <row r="5351">
      <c r="A5351" t="n">
        <v>876</v>
      </c>
      <c r="B5351" t="n">
        <v>566799</v>
      </c>
      <c r="C5351" t="n">
        <v>366672</v>
      </c>
      <c r="D5351" t="n">
        <v>173691</v>
      </c>
      <c r="E5351" s="1" t="n">
        <v>39488</v>
      </c>
      <c r="F5351" t="n">
        <v>5</v>
      </c>
      <c r="G5351" t="inlineStr">
        <is>
          <t>Absolutely flawless recipe.. I followed your instructions to a T. Dough was absolutely of the right consitency and texture, not at all elastic. The nutmeg in the filling to me, was the "tastebud sensation". Thank you for sharing this fine recipe.</t>
        </is>
      </c>
    </row>
    <row r="5352">
      <c r="A5352" s="7" t="n">
        <v>103929</v>
      </c>
      <c r="B5352" s="7" t="n">
        <v>424035</v>
      </c>
      <c r="C5352" s="7" t="n">
        <v>482933</v>
      </c>
      <c r="D5352" s="7" t="n">
        <v>304615</v>
      </c>
      <c r="E5352" s="8" t="n">
        <v>39922</v>
      </c>
      <c r="F5352" s="7" t="n">
        <v>5</v>
      </c>
      <c r="G5352" s="7" t="inlineStr">
        <is>
          <t>Delicious!  Reminds me of the creamed peas that my mother  makes except subtly sweeter.   Made it during the cool of the morning--appreciate make ahead recipes when the temps escalate!  Used fat free half and half, and because I only had 2 carrots and some leftover peas I added the peas to it.  I drained them thoroughly in a colander then put them back into a warm pan so they dried off nicely.  Thanks for posting, Syd.  Made for PRMR.</t>
        </is>
      </c>
    </row>
    <row r="5353">
      <c r="A5353" s="7" t="n">
        <v>1309</v>
      </c>
      <c r="B5353" s="7" t="n">
        <v>744324</v>
      </c>
      <c r="C5353" s="7" t="n">
        <v>2000048014</v>
      </c>
      <c r="D5353" s="7" t="n">
        <v>48635</v>
      </c>
      <c r="E5353" s="8" t="n">
        <v>42088</v>
      </c>
      <c r="F5353" s="7" t="n">
        <v>5</v>
      </c>
      <c r="G5353" s="7" t="inlineStr">
        <is>
          <t>Best from scratch recipie ever! I used homemade yogurt for some of the milk to make buttermilk pancakes, replaced butter for oil, and used half whole wheat flour. You would never know I snuck some nutrition into these. Even my husband loved them and he generally like boxed mixes. Absolutely wonderful. I will definitely make these again!</t>
        </is>
      </c>
    </row>
    <row r="5354" ht="409.5" customHeight="1">
      <c r="A5354" s="7" t="n">
        <v>47553</v>
      </c>
      <c r="B5354" s="7" t="n">
        <v>775864</v>
      </c>
      <c r="C5354" s="7" t="n">
        <v>78808</v>
      </c>
      <c r="D5354" s="7" t="n">
        <v>91467</v>
      </c>
      <c r="E5354" s="8" t="n">
        <v>38404</v>
      </c>
      <c r="F5354" s="7" t="n">
        <v>5</v>
      </c>
      <c r="G5354" s="9" t="inlineStr">
        <is>
          <t>These were terrific!!  They only took about 14 to 15 minutes in my oven until they were done perfectly.  Next time I think I would try adding just a little more of the ground almonds -- I think the 1/2 cup of almonds ground to a fine powder must be a final measurement after grinding, so next time I'll make sure there is a little more of the ground almonds in the mix.  We thoroughly enjoyed these.  Thanks so much for posting this delicious recipe!!_x000D_
Dianne</t>
        </is>
      </c>
    </row>
    <row r="5355">
      <c r="A5355" s="7" t="n">
        <v>70348</v>
      </c>
      <c r="B5355" s="7" t="n">
        <v>1126066</v>
      </c>
      <c r="C5355" s="7" t="n">
        <v>2001505125</v>
      </c>
      <c r="D5355" s="7" t="n">
        <v>392356</v>
      </c>
      <c r="E5355" s="8" t="n">
        <v>42849</v>
      </c>
      <c r="F5355" s="7" t="n">
        <v>2</v>
      </c>
      <c r="G5355" s="7" t="inlineStr">
        <is>
          <t>I cooked it at 400 degrees for 15 minutes and ended up with burnt bacon. So I would recommend checking it between 10-12 minutes.</t>
        </is>
      </c>
    </row>
    <row r="5356">
      <c r="A5356" s="7" t="n">
        <v>126674</v>
      </c>
      <c r="B5356" s="7" t="n">
        <v>148686</v>
      </c>
      <c r="C5356" s="7" t="n">
        <v>17803</v>
      </c>
      <c r="D5356" s="7" t="n">
        <v>69195</v>
      </c>
      <c r="E5356" s="8" t="n">
        <v>37862</v>
      </c>
      <c r="F5356" s="7" t="n">
        <v>5</v>
      </c>
      <c r="G5356" s="7" t="inlineStr">
        <is>
          <t>Easy to prepare and good tasting.  I wish I had the cilantro it called for because I know that would have made it even better.  I think I'll buy some dried cilantro so I can have it on hand.  Thanks for sharing.</t>
        </is>
      </c>
    </row>
    <row r="5357" ht="409.5" customHeight="1">
      <c r="A5357" s="7" t="n">
        <v>107556</v>
      </c>
      <c r="B5357" s="7" t="n">
        <v>665931</v>
      </c>
      <c r="C5357" s="7" t="n">
        <v>137302</v>
      </c>
      <c r="D5357" s="7" t="n">
        <v>114076</v>
      </c>
      <c r="E5357" s="8" t="n">
        <v>40275</v>
      </c>
      <c r="F5357" s="7" t="n">
        <v>4</v>
      </c>
      <c r="G5357" s="9" t="inlineStr">
        <is>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is>
      </c>
    </row>
    <row r="5358">
      <c r="A5358" s="7" t="n">
        <v>29063</v>
      </c>
      <c r="B5358" s="7" t="n">
        <v>87071</v>
      </c>
      <c r="C5358" s="7" t="n">
        <v>32772</v>
      </c>
      <c r="D5358" s="7" t="n">
        <v>73933</v>
      </c>
      <c r="E5358" s="8" t="n">
        <v>37920</v>
      </c>
      <c r="F5358" s="7" t="n">
        <v>0</v>
      </c>
      <c r="G5358" s="7" t="inlineStr">
        <is>
          <t>This worked great. To had some fingernails, I placed candy corn in the fingers when the ice was almost set. I reclosed the glove and finished freezing. The glove I used was a clear disposable one because a household clove is coated in the inside.</t>
        </is>
      </c>
    </row>
    <row r="5359">
      <c r="A5359" s="7" t="n">
        <v>110636</v>
      </c>
      <c r="B5359" s="7" t="n">
        <v>877800</v>
      </c>
      <c r="C5359" s="7" t="n">
        <v>527607</v>
      </c>
      <c r="D5359" s="7" t="n">
        <v>212683</v>
      </c>
      <c r="E5359" s="8" t="n">
        <v>40110</v>
      </c>
      <c r="F5359" s="7" t="n">
        <v>5</v>
      </c>
      <c r="G5359" s="7" t="inlineStr">
        <is>
          <t>Fabulous light and tasty fritters.  I served them with a dollop of sour cream and devoured them all.</t>
        </is>
      </c>
    </row>
    <row r="5360">
      <c r="A5360" s="7" t="n">
        <v>80411</v>
      </c>
      <c r="B5360" s="7" t="n">
        <v>774253</v>
      </c>
      <c r="C5360" s="7" t="n">
        <v>723989</v>
      </c>
      <c r="D5360" s="7" t="n">
        <v>128956</v>
      </c>
      <c r="E5360" s="8" t="n">
        <v>41349</v>
      </c>
      <c r="F5360" s="7" t="n">
        <v>5</v>
      </c>
      <c r="G5360" s="7" t="inlineStr">
        <is>
          <t>Since cabbage is on sale this week for St. Patrick&amp;#039;s Day, I picked up an extra to make this soup. I&amp;#039;m glad I did! This soup is so tasty and quick to make. I made exactly as written, however I added some shelled edamame for extra protein and fiber. Thanks for posting!</t>
        </is>
      </c>
    </row>
    <row r="5361">
      <c r="A5361" s="7" t="n">
        <v>91278</v>
      </c>
      <c r="B5361" s="7" t="n">
        <v>10341</v>
      </c>
      <c r="C5361" s="7" t="n">
        <v>104295</v>
      </c>
      <c r="D5361" s="7" t="n">
        <v>209021</v>
      </c>
      <c r="E5361" s="8" t="n">
        <v>40007</v>
      </c>
      <c r="F5361" s="7" t="n">
        <v>5</v>
      </c>
      <c r="G5361" s="7" t="inlineStr">
        <is>
          <t>YUMMY!  This was super easy to make using a pillsbury pie crust.  I used canned lemon juice, just added about 2 tbsp.  My 9 year old said it tasted like a bluberry pop tart, which is high praise indeed!</t>
        </is>
      </c>
    </row>
    <row r="5362">
      <c r="A5362" s="7" t="n">
        <v>51186</v>
      </c>
      <c r="B5362" s="7" t="n">
        <v>906078</v>
      </c>
      <c r="C5362" s="7" t="n">
        <v>1101557</v>
      </c>
      <c r="D5362" s="7" t="n">
        <v>242952</v>
      </c>
      <c r="E5362" s="8" t="n">
        <v>39811</v>
      </c>
      <c r="F5362" s="7" t="n">
        <v>4</v>
      </c>
      <c r="G5362" s="7" t="inlineStr">
        <is>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is>
      </c>
    </row>
    <row r="5363" ht="315" customHeight="1">
      <c r="A5363" t="n">
        <v>3780</v>
      </c>
      <c r="B5363" t="n">
        <v>344848</v>
      </c>
      <c r="C5363" t="n">
        <v>428637</v>
      </c>
      <c r="D5363" t="n">
        <v>75061</v>
      </c>
      <c r="E5363" s="1" t="n">
        <v>39905</v>
      </c>
      <c r="F5363" t="n">
        <v>5</v>
      </c>
      <c r="G5363" s="2" t="inlineStr">
        <is>
          <t>Awesome bread! I used butter in place of shortening. Next time(tomorrow) i am going to add some roasted garlic cloves YUM!
Thanks Marie for the EASY recipe!!</t>
        </is>
      </c>
    </row>
    <row r="5364" ht="409.5" customHeight="1">
      <c r="A5364" s="7" t="n">
        <v>86386</v>
      </c>
      <c r="B5364" s="7" t="n">
        <v>598310</v>
      </c>
      <c r="C5364" s="7" t="n">
        <v>573325</v>
      </c>
      <c r="D5364" s="7" t="n">
        <v>370139</v>
      </c>
      <c r="E5364" s="8" t="n">
        <v>40030</v>
      </c>
      <c r="F5364" s="7" t="n">
        <v>5</v>
      </c>
      <c r="G5364" s="9" t="inlineStr">
        <is>
          <t>This recipe is very easy and quick to put together and yields EXCELLENT results. The scones come out tall, fluffy and very tasty. Surprisingly they dont taste strongly of pumpkin, but good. :)
THANKS SO MUCH for sharing this winner with us, daisygrl64! Ill surely make this again, maybe adding some cinnamon or vanilla for extra flavour.
Made and reviewed for Bevy Tag August 09.</t>
        </is>
      </c>
    </row>
    <row r="5365">
      <c r="A5365" s="7" t="n">
        <v>21736</v>
      </c>
      <c r="B5365" s="7" t="n">
        <v>793520</v>
      </c>
      <c r="C5365" s="7" t="n">
        <v>1927428</v>
      </c>
      <c r="D5365" s="7" t="n">
        <v>23131</v>
      </c>
      <c r="E5365" s="8" t="n">
        <v>40702</v>
      </c>
      <c r="F5365" s="7" t="n">
        <v>3</v>
      </c>
      <c r="G5365" s="7" t="inlineStr">
        <is>
          <t>This variation is too bland for my family so I made the following changes and everyone loves it..&lt;br/&gt;6 Lg potatoes, peeled, cubed, and boiled 16 minutes&lt;br/&gt;4 c. cheddar cheese or mexican 4 cheese&lt;br/&gt;1 (10-3/4 oz can ) Condensed Cream of Chicken Soup, undiluted&lt;br/&gt;1 c. Sour Cream&lt;br/&gt;1/4 C. melted butter&lt;br/&gt;8 green onions, sliced/chopped&lt;br/&gt;4 slices cooked bacon, cooked and crumbled&lt;br/&gt;salt and pepper to taste&lt;br/&gt;&lt;br/&gt;Bake at 350* in a 13X9" pan for 45 minutes. Let stand for 10 minutes before serving. Feeds 10 to 15 people.&lt;br/&gt;&lt;br/&gt;I sometimes chop up left over chicken and add it to this dish. You will love the results.</t>
        </is>
      </c>
    </row>
    <row r="5366" ht="375" customHeight="1">
      <c r="A5366" s="7" t="n">
        <v>94227</v>
      </c>
      <c r="B5366" s="7" t="n">
        <v>164323</v>
      </c>
      <c r="C5366" s="7" t="n">
        <v>527607</v>
      </c>
      <c r="D5366" s="7" t="n">
        <v>202429</v>
      </c>
      <c r="E5366" s="8" t="n">
        <v>40217</v>
      </c>
      <c r="F5366" s="7" t="n">
        <v>5</v>
      </c>
      <c r="G5366" s="9" t="inlineStr">
        <is>
          <t>excellent! i really enjoyed this simple dish, the one mistake i made was to have the heat to low at first for a quick browning, next time it will look prettier lol.
made for best of 2009 tag</t>
        </is>
      </c>
    </row>
    <row r="5367">
      <c r="A5367" s="7" t="n">
        <v>119561</v>
      </c>
      <c r="B5367" s="7" t="n">
        <v>690101</v>
      </c>
      <c r="C5367" s="7" t="n">
        <v>152393</v>
      </c>
      <c r="D5367" s="7" t="n">
        <v>70522</v>
      </c>
      <c r="E5367" s="8" t="n">
        <v>38431</v>
      </c>
      <c r="F5367" s="7" t="n">
        <v>3</v>
      </c>
      <c r="G5367" s="7" t="inlineStr">
        <is>
          <t>Since St. Patrick's Day was a work day I felt it was the perfect time to try this one out.  I had 2 corned beef, total weight about 6 lbs.  I used a few carrots, onions, both seasoning packets and put cabbage on top. (No room for potatoes so I boiled them on the stove).  Since I had so much beef, I took your suggestion and cooked it on high for the 8-9  hours I was at work.  The beef had a different flavor that both DH and I liked, but both DD's said they preferred it cooked without the beer.  None of us liked the cabbage very much.  I think all in all that we will leave out the beer and make it the traditional way in the future.  This was an interesting and easy way to cook it, though.  Thanks for submitting.</t>
        </is>
      </c>
    </row>
    <row r="5368">
      <c r="A5368" s="7" t="n">
        <v>25227</v>
      </c>
      <c r="B5368" s="7" t="n">
        <v>324365</v>
      </c>
      <c r="C5368" s="7" t="n">
        <v>574733</v>
      </c>
      <c r="D5368" s="7" t="n">
        <v>199548</v>
      </c>
      <c r="E5368" s="8" t="n">
        <v>39335</v>
      </c>
      <c r="F5368" s="7" t="n">
        <v>5</v>
      </c>
      <c r="G5368" s="7" t="inlineStr">
        <is>
          <t>wow! every time i make this, people go wild. it is absolutely wonderful the next day as well. so thank you so much, pink cherry blossom, for a new recipe for my repertoire.</t>
        </is>
      </c>
    </row>
    <row r="5369">
      <c r="A5369" s="7" t="n">
        <v>93337</v>
      </c>
      <c r="B5369" s="7" t="n">
        <v>136754</v>
      </c>
      <c r="C5369" s="7" t="n">
        <v>1561959</v>
      </c>
      <c r="D5369" s="7" t="n">
        <v>44888</v>
      </c>
      <c r="E5369" s="8" t="n">
        <v>40233</v>
      </c>
      <c r="F5369" s="7" t="n">
        <v>5</v>
      </c>
      <c r="G5369" s="7" t="inlineStr">
        <is>
          <t>This is perfect to make at the last minute since there's no marinating involved ... and the flavors are awesome!</t>
        </is>
      </c>
    </row>
    <row r="5370">
      <c r="A5370" s="7" t="n">
        <v>69380</v>
      </c>
      <c r="B5370" s="7" t="n">
        <v>744165</v>
      </c>
      <c r="C5370" s="7" t="n">
        <v>332670</v>
      </c>
      <c r="D5370" s="7" t="n">
        <v>48635</v>
      </c>
      <c r="E5370" s="8" t="n">
        <v>39286</v>
      </c>
      <c r="F5370" s="7" t="n">
        <v>5</v>
      </c>
      <c r="G5370" s="7" t="inlineStr">
        <is>
          <t>Thank you so much Sackville for this recipe. It is so good. It tastes like hotcakes that are made in Japan. Very fluffy and very just has a great taste. It is so much better than pancake mix.</t>
        </is>
      </c>
    </row>
    <row r="5371">
      <c r="A5371" t="n">
        <v>119067</v>
      </c>
      <c r="B5371" t="n">
        <v>748979</v>
      </c>
      <c r="C5371" t="n">
        <v>2066263</v>
      </c>
      <c r="D5371" t="n">
        <v>286346</v>
      </c>
      <c r="E5371" s="1" t="n">
        <v>40974</v>
      </c>
      <c r="F5371" t="n">
        <v>5</v>
      </c>
      <c r="G5371" t="inlineStr">
        <is>
          <t>Yum yum :D I cooked the potatoes like home fries on the stove, then put them in a 220 degree oven to keep warm while I was sauteing the veggies and cooking the eggs. Like many other reviewers, I didnt have and tomato, so it was a bit dry, but I just added some salsa, and it was perfect(: Next time however, I would use a bit more mushroom, and more eggs. I has a lot of veggies, and not that much egg. Thats not a problem, because I'll certanly eat the leftover veggies later(: Thanks Starrynews! Made for Veggie Swap #44</t>
        </is>
      </c>
    </row>
    <row r="5372">
      <c r="A5372" s="7" t="n">
        <v>63506</v>
      </c>
      <c r="B5372" s="7" t="n">
        <v>476914</v>
      </c>
      <c r="C5372" s="7" t="n">
        <v>107479</v>
      </c>
      <c r="D5372" s="7" t="n">
        <v>25793</v>
      </c>
      <c r="E5372" s="8" t="n">
        <v>37904</v>
      </c>
      <c r="F5372" s="7" t="n">
        <v>4</v>
      </c>
      <c r="G5372" s="7" t="inlineStr">
        <is>
          <t>This was a very good recipe, but I wasn't thinking "WOW" while eating it.  My toddler didn't care for it, but that isn't saying much since kids at this age can be very picky.  It was simple to make.</t>
        </is>
      </c>
    </row>
    <row r="5373">
      <c r="A5373" s="7" t="n">
        <v>13498</v>
      </c>
      <c r="B5373" s="7" t="n">
        <v>403052</v>
      </c>
      <c r="C5373" s="7" t="n">
        <v>674484</v>
      </c>
      <c r="D5373" s="7" t="n">
        <v>330717</v>
      </c>
      <c r="E5373" s="8" t="n">
        <v>40012</v>
      </c>
      <c r="F5373" s="7" t="n">
        <v>5</v>
      </c>
      <c r="G5373" s="7" t="inlineStr">
        <is>
          <t>I wanted to make a blueberry sauce to pour over an angel food cake that I bought.  What a great sauce this is with so many uses.  I look forward to trying it on French toast, crepes, pancakes etc.  Yummmmmm!</t>
        </is>
      </c>
    </row>
    <row r="5374">
      <c r="A5374" s="7" t="n">
        <v>72222</v>
      </c>
      <c r="B5374" s="7" t="n">
        <v>127424</v>
      </c>
      <c r="C5374" s="7" t="n">
        <v>247405</v>
      </c>
      <c r="D5374" s="7" t="n">
        <v>353331</v>
      </c>
      <c r="E5374" s="8" t="n">
        <v>39908</v>
      </c>
      <c r="F5374" s="7" t="n">
        <v>5</v>
      </c>
      <c r="G5374" s="7" t="inlineStr">
        <is>
          <t>Tangy, flavorful, simple.  A great way to start the day.  I added walnuts and flax seeds.  Added it to plain instant oatmeal.</t>
        </is>
      </c>
    </row>
    <row r="5375">
      <c r="A5375" s="7" t="n">
        <v>70805</v>
      </c>
      <c r="B5375" s="7" t="n">
        <v>657901</v>
      </c>
      <c r="C5375" s="7" t="n">
        <v>1155210</v>
      </c>
      <c r="D5375" s="7" t="n">
        <v>71214</v>
      </c>
      <c r="E5375" s="8" t="n">
        <v>39920</v>
      </c>
      <c r="F5375" s="7" t="n">
        <v>5</v>
      </c>
      <c r="G5375" s="7" t="inlineStr">
        <is>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is>
      </c>
    </row>
    <row r="5376">
      <c r="A5376" s="7" t="n">
        <v>115823</v>
      </c>
      <c r="B5376" s="7" t="n">
        <v>663780</v>
      </c>
      <c r="C5376" s="7" t="n">
        <v>67728</v>
      </c>
      <c r="D5376" s="7" t="n">
        <v>329890</v>
      </c>
      <c r="E5376" s="8" t="n">
        <v>40288</v>
      </c>
      <c r="F5376" s="7" t="n">
        <v>5</v>
      </c>
      <c r="G5376" s="7" t="inlineStr">
        <is>
          <t>This was lovely, and so easy to make, too! I got kind of distracted trying to multi-task too much, so I accidentally let my ricotta drain in the cheesecloth for a little over an hour. It was a little drier than I think it was supposed to be, so I'll have to make it again and pay more attention to the time so it will be a bit more moist. What great fresh flavor, though. I think I might take my ricotta and use it on some homemade pizza with chicken, fresh basil and chopped roasted tomatoes. Great basic recipe, thanks for posting! Made for PAC Spring '10 :)</t>
        </is>
      </c>
    </row>
    <row r="5377">
      <c r="A5377" s="7" t="n">
        <v>36191</v>
      </c>
      <c r="B5377" s="7" t="n">
        <v>511670</v>
      </c>
      <c r="C5377" s="7" t="n">
        <v>130819</v>
      </c>
      <c r="D5377" s="7" t="n">
        <v>133427</v>
      </c>
      <c r="E5377" s="8" t="n">
        <v>40011</v>
      </c>
      <c r="F5377" s="7" t="n">
        <v>5</v>
      </c>
      <c r="G5377" s="7" t="inlineStr">
        <is>
          <t>Asian goes over big time here - so no big surprise that we all loved this delicious Coleslaw with the great combination of ingredients that make up the dressing. Loved the addition of the peanuts which gives it an unexpected crunch. This will be seeing repeats for those family back yard cookouts during the  summer months.  Thank you for sharing - really enjoyed this one!</t>
        </is>
      </c>
    </row>
    <row r="5378">
      <c r="A5378" t="n">
        <v>1331</v>
      </c>
      <c r="B5378" t="n">
        <v>639741</v>
      </c>
      <c r="C5378" t="n">
        <v>373992</v>
      </c>
      <c r="D5378" t="n">
        <v>91639</v>
      </c>
      <c r="E5378" s="1" t="n">
        <v>39109</v>
      </c>
      <c r="F5378" t="n">
        <v>2</v>
      </c>
      <c r="G5378" t="inlineStr">
        <is>
          <t>This was pretty easy to make but it really didn't have enough flavor for me. It was peppery hot but just no flavor. Cabbage doesn't have much flavor I guess, so it might have been my expectations. Thank you for posting, Leslie!</t>
        </is>
      </c>
    </row>
    <row r="5379">
      <c r="A5379" s="7" t="n">
        <v>73518</v>
      </c>
      <c r="B5379" s="7" t="n">
        <v>297667</v>
      </c>
      <c r="C5379" s="7" t="n">
        <v>209747</v>
      </c>
      <c r="D5379" s="7" t="n">
        <v>173284</v>
      </c>
      <c r="E5379" s="8" t="n">
        <v>38891</v>
      </c>
      <c r="F5379" s="7" t="n">
        <v>5</v>
      </c>
      <c r="G5379" s="7" t="inlineStr">
        <is>
          <t xml:space="preserve">Light, fluffy and delicious! Served with Warm Double Strawberry Sauce Recipe #122067. Fantastic! Thanks Kate! </t>
        </is>
      </c>
    </row>
    <row r="5380">
      <c r="A5380" s="7" t="n">
        <v>71092</v>
      </c>
      <c r="B5380" s="7" t="n">
        <v>59245</v>
      </c>
      <c r="C5380" s="7" t="n">
        <v>57500</v>
      </c>
      <c r="D5380" s="7" t="n">
        <v>295813</v>
      </c>
      <c r="E5380" s="8" t="n">
        <v>39881</v>
      </c>
      <c r="F5380" s="7" t="n">
        <v>5</v>
      </c>
      <c r="G5380" s="7" t="inlineStr">
        <is>
          <t>These were simple and delicious. I used Ghirardelli 60% Cacao Bittersweet Chocolate Chips and unbleached white flour, cut the oil in half and doubled the size of the cookies. Mmmm... Thanks for sharing. I will definitely make these again.</t>
        </is>
      </c>
    </row>
    <row r="5381">
      <c r="A5381" s="7" t="n">
        <v>109993</v>
      </c>
      <c r="B5381" s="7" t="n">
        <v>642655</v>
      </c>
      <c r="C5381" s="7" t="n">
        <v>57222</v>
      </c>
      <c r="D5381" s="7" t="n">
        <v>35988</v>
      </c>
      <c r="E5381" s="8" t="n">
        <v>39823</v>
      </c>
      <c r="F5381" s="7" t="n">
        <v>4</v>
      </c>
      <c r="G5381" s="7" t="inlineStr">
        <is>
          <t>Delightful soup! Really easy to make too - always a nice bonus! I used 1 litre of chicken broth and 300 g of frozen, chopped spinach (which I added frozen along with the broth and the tomatoes). My soup didn't need any extra salt or pepper, guess the broth I used was salty enough! I also skipped the parmesan. Next time I'll add a sprinkling of red pepper flakes! Thank you very much for a great recipe!</t>
        </is>
      </c>
    </row>
    <row r="5382">
      <c r="A5382" s="7" t="n">
        <v>118811</v>
      </c>
      <c r="B5382" s="7" t="n">
        <v>450972</v>
      </c>
      <c r="C5382" s="7" t="n">
        <v>2002264892</v>
      </c>
      <c r="D5382" s="7" t="n">
        <v>342686</v>
      </c>
      <c r="E5382" s="8" t="n">
        <v>43346</v>
      </c>
      <c r="F5382" s="7" t="n">
        <v>5</v>
      </c>
      <c r="G5382" s="7" t="inlineStr">
        <is>
          <t>I've been making this recipe for over 41 years (That's the age of my eldest son). I have been looking for it since I lost it eons ago. Thank goodness, I did remember how to make it.</t>
        </is>
      </c>
    </row>
    <row r="5383">
      <c r="A5383" s="7" t="n">
        <v>72445</v>
      </c>
      <c r="B5383" s="7" t="n">
        <v>693160</v>
      </c>
      <c r="C5383" s="7" t="n">
        <v>182809</v>
      </c>
      <c r="D5383" s="7" t="n">
        <v>97521</v>
      </c>
      <c r="E5383" s="8" t="n">
        <v>38587</v>
      </c>
      <c r="F5383" s="7" t="n">
        <v>5</v>
      </c>
      <c r="G5383" s="7" t="inlineStr">
        <is>
          <t>This was a MarieAlice "make a dessert" night....and it lived up to all the other reviews. I made it late this afternoon and it was still warm when I served it. I planned to serve with a good vanilla ice cream so I skipped the topping and just sprinkled with cinnamon-sugar. The combo of the bananas and blueberries was just wonderful. Plan to have some with coffee tomorrow morning. This was really a full 9x13 pan so I made six medium muffins with the extra. This is for sure going into my Make Again cookbook!</t>
        </is>
      </c>
    </row>
    <row r="5384" ht="409.5" customHeight="1">
      <c r="A5384" t="n">
        <v>35911</v>
      </c>
      <c r="B5384" t="n">
        <v>367086</v>
      </c>
      <c r="C5384" t="n">
        <v>934755</v>
      </c>
      <c r="D5384" t="n">
        <v>22015</v>
      </c>
      <c r="E5384" s="1" t="n">
        <v>39950</v>
      </c>
      <c r="F5384" t="n">
        <v>5</v>
      </c>
      <c r="G5384" s="2" t="inlineStr">
        <is>
          <t>This fudge is fantastic.  I caught my DH sneaking it in the middle of the night.  _x000D_
I used semi sweet chips since they were what I had on hand, and left out the nuts, since I don't like them in fudge.  Turned out great</t>
        </is>
      </c>
    </row>
    <row r="5385">
      <c r="A5385" s="7" t="n">
        <v>8488</v>
      </c>
      <c r="B5385" s="7" t="n">
        <v>984175</v>
      </c>
      <c r="C5385" s="7" t="n">
        <v>7093</v>
      </c>
      <c r="D5385" s="7" t="n">
        <v>9272</v>
      </c>
      <c r="E5385" s="8" t="n">
        <v>37184</v>
      </c>
      <c r="F5385" s="7" t="n">
        <v>5</v>
      </c>
      <c r="G5385" s="7" t="inlineStr">
        <is>
          <t>Thank you so much for this recipe. I had been searching for the perfect salsa and this fills the bill! Linda C. from Kansas</t>
        </is>
      </c>
    </row>
    <row r="5386">
      <c r="A5386" s="7" t="n">
        <v>88524</v>
      </c>
      <c r="B5386" s="7" t="n">
        <v>1089301</v>
      </c>
      <c r="C5386" s="7" t="n">
        <v>104295</v>
      </c>
      <c r="D5386" s="7" t="n">
        <v>307090</v>
      </c>
      <c r="E5386" s="8" t="n">
        <v>39841</v>
      </c>
      <c r="F5386" s="7" t="n">
        <v>4</v>
      </c>
      <c r="G5386" s="7" t="inlineStr">
        <is>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is>
      </c>
    </row>
    <row r="5387">
      <c r="A5387" s="7" t="n">
        <v>76151</v>
      </c>
      <c r="B5387" s="7" t="n">
        <v>16187</v>
      </c>
      <c r="C5387" s="7" t="n">
        <v>390058</v>
      </c>
      <c r="D5387" s="7" t="n">
        <v>19467</v>
      </c>
      <c r="E5387" s="8" t="n">
        <v>39128</v>
      </c>
      <c r="F5387" s="7" t="n">
        <v>5</v>
      </c>
      <c r="G5387" s="7" t="inlineStr">
        <is>
          <t>I've had this same recipe for a number of years and absolutely love it.  It's always a great hit for family gatherings and when I serve it to guests, I always get rave reviews.  You can't go wrong with this one!</t>
        </is>
      </c>
    </row>
    <row r="5388">
      <c r="A5388" s="7" t="n">
        <v>83515</v>
      </c>
      <c r="B5388" s="7" t="n">
        <v>1126613</v>
      </c>
      <c r="C5388" s="7" t="n">
        <v>1179225</v>
      </c>
      <c r="D5388" s="7" t="n">
        <v>240291</v>
      </c>
      <c r="E5388" s="8" t="n">
        <v>41228</v>
      </c>
      <c r="F5388" s="7" t="n">
        <v>4</v>
      </c>
      <c r="G5388" s="7" t="inlineStr">
        <is>
          <t>This was something new and different for us. I wish I would have had peanuts to top it off. Thanks for posting the recipe.</t>
        </is>
      </c>
    </row>
    <row r="5389">
      <c r="A5389" s="7" t="n">
        <v>35229</v>
      </c>
      <c r="B5389" s="7" t="n">
        <v>672797</v>
      </c>
      <c r="C5389" s="7" t="n">
        <v>339260</v>
      </c>
      <c r="D5389" s="7" t="n">
        <v>290621</v>
      </c>
      <c r="E5389" s="8" t="n">
        <v>39929</v>
      </c>
      <c r="F5389" s="7" t="n">
        <v>4</v>
      </c>
      <c r="G5389" s="7" t="inlineStr">
        <is>
          <t>Great snack to make for a night of watching movies.  I left the pecans out because I was going to share this with my in-laws and my FIL can't have nuts.  The maple flavor was a tad to strong for me.  I think next time I will replace the maple extract with vanilla.  Made for April, 2009 Bevy Tag.</t>
        </is>
      </c>
    </row>
    <row r="5390">
      <c r="A5390" s="7" t="n">
        <v>15238</v>
      </c>
      <c r="B5390" s="7" t="n">
        <v>426854</v>
      </c>
      <c r="C5390" s="7" t="n">
        <v>153598</v>
      </c>
      <c r="D5390" s="7" t="n">
        <v>204235</v>
      </c>
      <c r="E5390" s="8" t="n">
        <v>40384</v>
      </c>
      <c r="F5390" s="7" t="n">
        <v>5</v>
      </c>
      <c r="G5390" s="7" t="inlineStr">
        <is>
          <t>This is one of my favorite ways to cook pork now. I use apple juice instead of the soy sauce. We don't eat soy. But it turns out well.</t>
        </is>
      </c>
    </row>
    <row r="5391">
      <c r="A5391" s="7" t="n">
        <v>108017</v>
      </c>
      <c r="B5391" s="7" t="n">
        <v>468273</v>
      </c>
      <c r="C5391" s="7" t="n">
        <v>485302</v>
      </c>
      <c r="D5391" s="7" t="n">
        <v>138173</v>
      </c>
      <c r="E5391" s="8" t="n">
        <v>39627</v>
      </c>
      <c r="F5391" s="7" t="n">
        <v>5</v>
      </c>
      <c r="G5391" s="7" t="inlineStr">
        <is>
          <t>These were great! Even my friend who doesn't generally like onions took second helpings!</t>
        </is>
      </c>
    </row>
    <row r="5392">
      <c r="A5392" s="7" t="n">
        <v>125181</v>
      </c>
      <c r="B5392" s="7" t="n">
        <v>673784</v>
      </c>
      <c r="C5392" s="7" t="n">
        <v>310178</v>
      </c>
      <c r="D5392" s="7" t="n">
        <v>151343</v>
      </c>
      <c r="E5392" s="8" t="n">
        <v>41241</v>
      </c>
      <c r="F5392" s="7" t="n">
        <v>5</v>
      </c>
      <c r="G5392" s="7" t="inlineStr">
        <is>
          <t>Really good and easy to make. The husband even had a second helping, which makes this a definite "do-again", since it is very unusual for him to have seconds of vegetables. That alone makes this recipe a winner!</t>
        </is>
      </c>
    </row>
    <row r="5393">
      <c r="A5393" s="7" t="n">
        <v>47753</v>
      </c>
      <c r="B5393" s="7" t="n">
        <v>1058167</v>
      </c>
      <c r="C5393" s="7" t="n">
        <v>743937</v>
      </c>
      <c r="D5393" s="7" t="n">
        <v>277752</v>
      </c>
      <c r="E5393" s="8" t="n">
        <v>39594</v>
      </c>
      <c r="F5393" s="7" t="n">
        <v>5</v>
      </c>
      <c r="G5393" s="7" t="inlineStr">
        <is>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is>
      </c>
    </row>
    <row r="5394">
      <c r="A5394" s="7" t="n">
        <v>537</v>
      </c>
      <c r="B5394" s="7" t="n">
        <v>57334</v>
      </c>
      <c r="C5394" s="7" t="n">
        <v>726142</v>
      </c>
      <c r="D5394" s="7" t="n">
        <v>13610</v>
      </c>
      <c r="E5394" s="8" t="n">
        <v>40912</v>
      </c>
      <c r="F5394" s="7" t="n">
        <v>4</v>
      </c>
      <c r="G5394" s="7" t="inlineStr">
        <is>
          <t>This is a great chili recipe. My son, who doesn't like spicy foods, didn't think it was too spicy. I used medium salsa instead of hot or mild. I also substituted the salt for 1 can V8 juice, and added a drained can of corn (which lends a nice touch of color). I will make this again.</t>
        </is>
      </c>
    </row>
    <row r="5395">
      <c r="A5395" s="7" t="n">
        <v>1583</v>
      </c>
      <c r="B5395" s="7" t="n">
        <v>78874</v>
      </c>
      <c r="C5395" s="7" t="n">
        <v>242729</v>
      </c>
      <c r="D5395" s="7" t="n">
        <v>177580</v>
      </c>
      <c r="E5395" s="8" t="n">
        <v>39679</v>
      </c>
      <c r="F5395" s="7" t="n">
        <v>4</v>
      </c>
      <c r="G5395" s="7" t="inlineStr">
        <is>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is>
      </c>
    </row>
    <row r="5396">
      <c r="A5396" s="7" t="n">
        <v>77725</v>
      </c>
      <c r="B5396" s="7" t="n">
        <v>655793</v>
      </c>
      <c r="C5396" s="7" t="n">
        <v>1427114</v>
      </c>
      <c r="D5396" s="7" t="n">
        <v>297085</v>
      </c>
      <c r="E5396" s="8" t="n">
        <v>40112</v>
      </c>
      <c r="F5396" s="7" t="n">
        <v>1</v>
      </c>
      <c r="G5396" s="7" t="inlineStr">
        <is>
          <t>I wasted $40 making this and all I got was muffins that tasted weird...</t>
        </is>
      </c>
    </row>
    <row r="5397">
      <c r="A5397" s="7" t="n">
        <v>16215</v>
      </c>
      <c r="B5397" s="7" t="n">
        <v>220499</v>
      </c>
      <c r="C5397" s="7" t="n">
        <v>52448</v>
      </c>
      <c r="D5397" s="7" t="n">
        <v>148097</v>
      </c>
      <c r="E5397" s="8" t="n">
        <v>38925</v>
      </c>
      <c r="F5397" s="7" t="n">
        <v>5</v>
      </c>
      <c r="G5397" s="7" t="inlineStr">
        <is>
          <t>Delicious! The only thing I did different was using fresh garlic. Served them with grilled chicken and a salad.</t>
        </is>
      </c>
    </row>
    <row r="5398">
      <c r="A5398" s="7" t="n">
        <v>97502</v>
      </c>
      <c r="B5398" s="7" t="n">
        <v>441229</v>
      </c>
      <c r="C5398" s="7" t="n">
        <v>266635</v>
      </c>
      <c r="D5398" s="7" t="n">
        <v>403438</v>
      </c>
      <c r="E5398" s="8" t="n">
        <v>41274</v>
      </c>
      <c r="F5398" s="7" t="n">
        <v>5</v>
      </c>
      <c r="G5398" s="7" t="inlineStr">
        <is>
          <t>Great party dip!  This is very similar to the dip I always make with one exception - the mushroom soup.  The soup does make the dip more creamy without taking away from the taste and heat of the cheese dip.  The only change I made was to leave out the ground beef--I felt the hot sausage was enough meat to suit our tastes.  I will definitely use this method next time I make cheese dip.  Thanks for the tip!  Made for PRMR, December, 2012.</t>
        </is>
      </c>
    </row>
    <row r="5399">
      <c r="A5399" s="7" t="n">
        <v>126115</v>
      </c>
      <c r="B5399" s="7" t="n">
        <v>1050311</v>
      </c>
      <c r="C5399" s="7" t="n">
        <v>1803738399</v>
      </c>
      <c r="D5399" s="7" t="n">
        <v>53878</v>
      </c>
      <c r="E5399" s="8" t="n">
        <v>42037</v>
      </c>
      <c r="F5399" s="7" t="n">
        <v>0</v>
      </c>
      <c r="G5399" s="7" t="inlineStr">
        <is>
          <t>I used cream cheese, smoked salmon, bacon, green onions and seasonings...OMG!  These were great!  It&amp;#039;s the perfect recipe to adapt to so many cuisines.  Now I&amp;#039;m thinking... Chinese bar-b-que pork, a dash of hoisin sauce, green onions might be my next try.</t>
        </is>
      </c>
    </row>
    <row r="5400">
      <c r="A5400" s="7" t="n">
        <v>18522</v>
      </c>
      <c r="B5400" s="7" t="n">
        <v>454667</v>
      </c>
      <c r="C5400" s="7" t="n">
        <v>39835</v>
      </c>
      <c r="D5400" s="7" t="n">
        <v>343170</v>
      </c>
      <c r="E5400" s="8" t="n">
        <v>40268</v>
      </c>
      <c r="F5400" s="7" t="n">
        <v>4</v>
      </c>
      <c r="G5400" s="7" t="inlineStr">
        <is>
          <t>Very good and different spinach salad which we enjoyed! I halved the recipe and made a few changes by using sunflower seeds instead of peanuts and skipped the chutney. Very good with pork chops!Thanks for sharing!</t>
        </is>
      </c>
    </row>
    <row r="5401">
      <c r="A5401" s="7" t="n">
        <v>35257</v>
      </c>
      <c r="B5401" s="7" t="n">
        <v>804527</v>
      </c>
      <c r="C5401" s="7" t="n">
        <v>16582</v>
      </c>
      <c r="D5401" s="7" t="n">
        <v>59243</v>
      </c>
      <c r="E5401" s="8" t="n">
        <v>37746</v>
      </c>
      <c r="F5401" s="7" t="n">
        <v>4</v>
      </c>
      <c r="G5401" s="7" t="inlineStr">
        <is>
          <t>The electric went out during the baking part, but it was still wonderful Mosgeo</t>
        </is>
      </c>
    </row>
    <row r="5402">
      <c r="A5402" s="7" t="n">
        <v>68275</v>
      </c>
      <c r="B5402" s="7" t="n">
        <v>18942</v>
      </c>
      <c r="C5402" s="7" t="n">
        <v>593927</v>
      </c>
      <c r="D5402" s="7" t="n">
        <v>274981</v>
      </c>
      <c r="E5402" s="8" t="n">
        <v>41108</v>
      </c>
      <c r="F5402" s="7" t="n">
        <v>5</v>
      </c>
      <c r="G5402" s="7" t="inlineStr">
        <is>
          <t>5 stars. DH and DD said this is good. Ditto to Katanashrp authentic and flavourful. I made ours on the BBQ. This recipe is a gem that should receive more reviews. I had some trouble with the garlic sauce becoming thickening but the taste was yummy!! I used extra virgin olive oil, Balkan yogurt, sea salt, to taste, freshly ground black pepper, to taste, canola oil to be soy free, Hellman's olive oil mayonnaise to be soy free, plus the rest of the ingredients. I would make this again and try the toum sauce again too it was that tasty.</t>
        </is>
      </c>
    </row>
    <row r="5403">
      <c r="A5403" s="7" t="n">
        <v>112528</v>
      </c>
      <c r="B5403" s="7" t="n">
        <v>136729</v>
      </c>
      <c r="C5403" s="7" t="n">
        <v>250238</v>
      </c>
      <c r="D5403" s="7" t="n">
        <v>44888</v>
      </c>
      <c r="E5403" s="8" t="n">
        <v>39985</v>
      </c>
      <c r="F5403" s="7" t="n">
        <v>5</v>
      </c>
      <c r="G5403" s="7" t="inlineStr">
        <is>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is>
      </c>
    </row>
    <row r="5404" ht="409.5" customHeight="1">
      <c r="A5404" s="7" t="n">
        <v>28961</v>
      </c>
      <c r="B5404" s="7" t="n">
        <v>157868</v>
      </c>
      <c r="C5404" s="7" t="n">
        <v>230258</v>
      </c>
      <c r="D5404" s="7" t="n">
        <v>167281</v>
      </c>
      <c r="E5404" s="8" t="n">
        <v>38847</v>
      </c>
      <c r="F5404" s="7" t="n">
        <v>5</v>
      </c>
      <c r="G5404" s="9" t="inlineStr">
        <is>
          <t>I have been making this for a long time whenever I go camping! This is just as poplular as smores in my house!(or trailer, I guess!) We call them "bush pies"._x000D_
Can't wait to make them when I go camping again, after all the season is almost here!</t>
        </is>
      </c>
    </row>
    <row r="5405">
      <c r="A5405" s="7" t="n">
        <v>19606</v>
      </c>
      <c r="B5405" s="7" t="n">
        <v>539869</v>
      </c>
      <c r="C5405" s="7" t="n">
        <v>254614</v>
      </c>
      <c r="D5405" s="7" t="n">
        <v>292344</v>
      </c>
      <c r="E5405" s="8" t="n">
        <v>39525</v>
      </c>
      <c r="F5405" s="7" t="n">
        <v>5</v>
      </c>
      <c r="G5405" s="7" t="inlineStr">
        <is>
          <t>Made these tonight! I would say to dry the oysters by patting with paper towels, then season. I also dusted the bacon with lemon pepper. I also use thick sliced bacon and it took a little longer to cook. I removed the bacon on a few of them for DH since he can't have the bacon but he had the flavor! Thanks for posting!</t>
        </is>
      </c>
    </row>
    <row r="5406">
      <c r="A5406" s="7" t="n">
        <v>79978</v>
      </c>
      <c r="B5406" s="7" t="n">
        <v>806319</v>
      </c>
      <c r="C5406" s="7" t="n">
        <v>133174</v>
      </c>
      <c r="D5406" s="7" t="n">
        <v>92595</v>
      </c>
      <c r="E5406" s="8" t="n">
        <v>38474</v>
      </c>
      <c r="F5406" s="7" t="n">
        <v>5</v>
      </c>
      <c r="G5406" s="7" t="inlineStr">
        <is>
          <t>Very good and healthy too!  Can't get better than that.  I reduced the recipe by half.  The recipe then called for 1/2 can chopped tomatoes and 1 (10 oz) can tomatoes and green chilies.  I didn't have the tomatoes and green chilies and didn't want to use 1/2 can of tomatoes so I added a couple of roasted green chilies and the whole can of tomatoes.  Increased the tomato paste by 1 tablespoon and added about 1/2 cup water.  Worked great!  Served it over tricolor pasta for a very attractive dish.</t>
        </is>
      </c>
    </row>
    <row r="5407">
      <c r="A5407" s="7" t="n">
        <v>94839</v>
      </c>
      <c r="B5407" s="7" t="n">
        <v>1107959</v>
      </c>
      <c r="C5407" s="7" t="n">
        <v>383346</v>
      </c>
      <c r="D5407" s="7" t="n">
        <v>394297</v>
      </c>
      <c r="E5407" s="8" t="n">
        <v>40100</v>
      </c>
      <c r="F5407" s="7" t="n">
        <v>5</v>
      </c>
      <c r="G5407" s="7" t="inlineStr">
        <is>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is>
      </c>
    </row>
    <row r="5408">
      <c r="A5408" s="7" t="n">
        <v>109297</v>
      </c>
      <c r="B5408" s="7" t="n">
        <v>819655</v>
      </c>
      <c r="C5408" s="7" t="n">
        <v>131126</v>
      </c>
      <c r="D5408" s="7" t="n">
        <v>298883</v>
      </c>
      <c r="E5408" s="8" t="n">
        <v>40662</v>
      </c>
      <c r="F5408" s="7" t="n">
        <v>5</v>
      </c>
      <c r="G5408" s="7" t="inlineStr">
        <is>
          <t>Summer rolls really aren't that hard to make, just fiddley on the amount of time involved.  I enjoyed the fresh ingredients and the flavor added to the rolls themselves in this recipe. Although I made substitutions I feel I stayed with the intent of the recipe. I used fresh cilantro leaves (instead of basil &amp; mint) and added julienned carrots for additional color.  I normally use hot water to soften rice paper to speed things along so did so here too.  The key for me in rolling tightly is to keep the ingredients as dry as possible so I dry the rice wrappers with paper towels after soaking as well as blotting the shrimp.  I like when the ingredients are highlighted so placed three cilantro leaves down first, follwed by the shrimp, then the hoisin, noodles, and veggies.  I made these early in the day &amp; chilled for later.  Thank you for sharing your recipe!</t>
        </is>
      </c>
    </row>
    <row r="5409">
      <c r="A5409" s="7" t="n">
        <v>40064</v>
      </c>
      <c r="B5409" s="7" t="n">
        <v>368150</v>
      </c>
      <c r="C5409" s="7" t="n">
        <v>1677468</v>
      </c>
      <c r="D5409" s="7" t="n">
        <v>145324</v>
      </c>
      <c r="E5409" s="8" t="n">
        <v>40485</v>
      </c>
      <c r="F5409" s="7" t="n">
        <v>4</v>
      </c>
      <c r="G5409" s="7" t="inlineStr">
        <is>
          <t>These are very rich and tasty. I used 3/4 cup raspberry as suggested by others. I also used 1/2 semi-sweet and 1/2 white chocolate chips. I put some more on the top afterward for decoration. They needed to cook a little bit longer than suggested, but turned out nice and got great reviews. Thanks!</t>
        </is>
      </c>
    </row>
    <row r="5410">
      <c r="A5410" s="7" t="n">
        <v>50401</v>
      </c>
      <c r="B5410" s="7" t="n">
        <v>56941</v>
      </c>
      <c r="C5410" s="7" t="n">
        <v>2000321475</v>
      </c>
      <c r="D5410" s="7" t="n">
        <v>9054</v>
      </c>
      <c r="E5410" s="8" t="n">
        <v>42690</v>
      </c>
      <c r="F5410" s="7" t="n">
        <v>5</v>
      </c>
      <c r="G5410" s="7" t="inlineStr">
        <is>
          <t>Omitted flour, but added red onion, grated cheddar, grated parm, chopped parsley, 1/4 tsp baking powder and garlic powder. Cooked over medium heat in olive oil. DELICIOUS!</t>
        </is>
      </c>
    </row>
    <row r="5411">
      <c r="A5411" s="7" t="n">
        <v>69880</v>
      </c>
      <c r="B5411" s="7" t="n">
        <v>41825</v>
      </c>
      <c r="C5411" s="7" t="n">
        <v>97034</v>
      </c>
      <c r="D5411" s="7" t="n">
        <v>97601</v>
      </c>
      <c r="E5411" s="8" t="n">
        <v>39264</v>
      </c>
      <c r="F5411" s="7" t="n">
        <v>5</v>
      </c>
      <c r="G5411" s="7" t="inlineStr">
        <is>
          <t>This is excellent - best egg salad I ever made.</t>
        </is>
      </c>
    </row>
    <row r="5412">
      <c r="A5412" s="7" t="n">
        <v>63095</v>
      </c>
      <c r="B5412" s="7" t="n">
        <v>1056305</v>
      </c>
      <c r="C5412" s="7" t="n">
        <v>80733</v>
      </c>
      <c r="D5412" s="7" t="n">
        <v>56864</v>
      </c>
      <c r="E5412" s="8" t="n">
        <v>41485</v>
      </c>
      <c r="F5412" s="7" t="n">
        <v>5</v>
      </c>
      <c r="G5412" s="7" t="inlineStr">
        <is>
          <t>Added a bit of lemongrass paste and this was amazing.  Might try it with Thai fragrant rice next time, instead of the usual rice.</t>
        </is>
      </c>
    </row>
    <row r="5413">
      <c r="A5413" t="n">
        <v>86090</v>
      </c>
      <c r="B5413" t="n">
        <v>622032</v>
      </c>
      <c r="C5413" t="n">
        <v>89831</v>
      </c>
      <c r="D5413" t="n">
        <v>294822</v>
      </c>
      <c r="E5413" s="1" t="n">
        <v>39779</v>
      </c>
      <c r="F5413" t="n">
        <v>5</v>
      </c>
      <c r="G5413" t="inlineStr">
        <is>
          <t>great soup, I sauteed the onion with 2 tablespoon chopped garlic in butter firstly, I used half and half cream instead of skim milk, we enjoyed this thanks for sharing Brooke!</t>
        </is>
      </c>
    </row>
    <row r="5414">
      <c r="A5414" s="7" t="n">
        <v>52151</v>
      </c>
      <c r="B5414" s="7" t="n">
        <v>160891</v>
      </c>
      <c r="C5414" s="7" t="n">
        <v>883837</v>
      </c>
      <c r="D5414" s="7" t="n">
        <v>218701</v>
      </c>
      <c r="E5414" s="8" t="n">
        <v>39687</v>
      </c>
      <c r="F5414" s="7" t="n">
        <v>5</v>
      </c>
      <c r="G5414" s="7" t="inlineStr">
        <is>
          <t>Made these to have with my chicken soup last night and they were such a nice addition to our meal.   Really really loved these dumplings.  So easy to prepare and so delicious along with the soup!  Definately a repeat recipe for my family!  Thanks for sharing Linda!</t>
        </is>
      </c>
    </row>
    <row r="5415">
      <c r="A5415" s="7" t="n">
        <v>80784</v>
      </c>
      <c r="B5415" s="7" t="n">
        <v>285892</v>
      </c>
      <c r="C5415" s="7" t="n">
        <v>1702429</v>
      </c>
      <c r="D5415" s="7" t="n">
        <v>169770</v>
      </c>
      <c r="E5415" s="8" t="n">
        <v>40462</v>
      </c>
      <c r="F5415" s="7" t="n">
        <v>5</v>
      </c>
      <c r="G5415" s="7" t="inlineStr">
        <is>
          <t>Very,very delicious! I didn't use the cinnamon. Instead,when it was finished,added a peppermint,and it melted in the hot chocolate. Perfect mixture and taste :)</t>
        </is>
      </c>
    </row>
    <row r="5416">
      <c r="A5416" s="7" t="n">
        <v>105030</v>
      </c>
      <c r="B5416" s="7" t="n">
        <v>91670</v>
      </c>
      <c r="C5416" s="7" t="n">
        <v>147107</v>
      </c>
      <c r="D5416" s="7" t="n">
        <v>22265</v>
      </c>
      <c r="E5416" s="8" t="n">
        <v>38867</v>
      </c>
      <c r="F5416" s="7" t="n">
        <v>5</v>
      </c>
      <c r="G5416" s="7" t="inlineStr">
        <is>
          <t>I don't give many recipes five stars but this one deserves it. The only change I made was to add about 1/3 cup of coconut to the cake batter. This cake is so moist! And it is pure heaven if you eat it while it's still warm.Thanks for a FANTASTIC recipe!</t>
        </is>
      </c>
    </row>
    <row r="5417">
      <c r="A5417" s="7" t="n">
        <v>7573</v>
      </c>
      <c r="B5417" s="7" t="n">
        <v>848350</v>
      </c>
      <c r="C5417" s="7" t="n">
        <v>321733</v>
      </c>
      <c r="D5417" s="7" t="n">
        <v>285543</v>
      </c>
      <c r="E5417" s="8" t="n">
        <v>40425</v>
      </c>
      <c r="F5417" s="7" t="n">
        <v>5</v>
      </c>
      <c r="G5417" s="7" t="inlineStr">
        <is>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is>
      </c>
    </row>
    <row r="5418">
      <c r="A5418" s="7" t="n">
        <v>22134</v>
      </c>
      <c r="B5418" s="7" t="n">
        <v>341929</v>
      </c>
      <c r="C5418" s="7" t="n">
        <v>350471</v>
      </c>
      <c r="D5418" s="7" t="n">
        <v>56776</v>
      </c>
      <c r="E5418" s="8" t="n">
        <v>39481</v>
      </c>
      <c r="F5418" s="7" t="n">
        <v>5</v>
      </c>
      <c r="G5418" s="7" t="inlineStr">
        <is>
          <t>This is incredibly good for the simplicity of the recipe.  Way better than you would think it would be.  I will make this again and make it frequently. We had it with egg noodles and it was really great.</t>
        </is>
      </c>
    </row>
    <row r="5419">
      <c r="A5419" s="7" t="n">
        <v>51305</v>
      </c>
      <c r="B5419" s="7" t="n">
        <v>1016822</v>
      </c>
      <c r="C5419" s="7" t="n">
        <v>2001629191</v>
      </c>
      <c r="D5419" s="7" t="n">
        <v>349246</v>
      </c>
      <c r="E5419" s="8" t="n">
        <v>42932</v>
      </c>
      <c r="F5419" s="7" t="n">
        <v>2</v>
      </c>
      <c r="G5419" s="7" t="inlineStr">
        <is>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is>
      </c>
    </row>
    <row r="5420">
      <c r="A5420" s="7" t="n">
        <v>116370</v>
      </c>
      <c r="B5420" s="7" t="n">
        <v>803928</v>
      </c>
      <c r="C5420" s="7" t="n">
        <v>305531</v>
      </c>
      <c r="D5420" s="7" t="n">
        <v>57062</v>
      </c>
      <c r="E5420" s="8" t="n">
        <v>40195</v>
      </c>
      <c r="F5420" s="7" t="n">
        <v>5</v>
      </c>
      <c r="G5420" s="7" t="inlineStr">
        <is>
          <t>Yum! My potatoes were pretty small, so made several for the freezer. I used a Mexican blend cheese and they came out great. Thanks BeachGirl for a new keeper. Made for Chef Alphabet Soup Tag.</t>
        </is>
      </c>
    </row>
    <row r="5421">
      <c r="A5421" s="7" t="n">
        <v>87575</v>
      </c>
      <c r="B5421" s="7" t="n">
        <v>21026</v>
      </c>
      <c r="C5421" s="7" t="n">
        <v>383346</v>
      </c>
      <c r="D5421" s="7" t="n">
        <v>29318</v>
      </c>
      <c r="E5421" s="8" t="n">
        <v>41164</v>
      </c>
      <c r="F5421" s="7" t="n">
        <v>5</v>
      </c>
      <c r="G5421" s="7" t="inlineStr">
        <is>
          <t>I never buy self-rising flour so this was perfect for the recipe of pancakes I made.  Thanks Darlene :)  Made for Help a Naked Recipe event</t>
        </is>
      </c>
    </row>
    <row r="5422">
      <c r="A5422" s="7" t="n">
        <v>83411</v>
      </c>
      <c r="B5422" s="7" t="n">
        <v>948160</v>
      </c>
      <c r="C5422" s="7" t="n">
        <v>128473</v>
      </c>
      <c r="D5422" s="7" t="n">
        <v>495338</v>
      </c>
      <c r="E5422" s="8" t="n">
        <v>41335</v>
      </c>
      <c r="F5422" s="7" t="n">
        <v>4</v>
      </c>
      <c r="G5422" s="7" t="inlineStr">
        <is>
          <t>We enjoyed the chicken prepared this way. It was quick and easy to make.  Made exactly as written, it was tender, juicy and had a mild flavor. It made for a nice meal served with boiled potatoes and spicy corn.  Nice use of contest ingredients, good luck in the contest.</t>
        </is>
      </c>
    </row>
    <row r="5423">
      <c r="A5423" s="7" t="n">
        <v>15035</v>
      </c>
      <c r="B5423" s="7" t="n">
        <v>309394</v>
      </c>
      <c r="C5423" s="7" t="n">
        <v>305873</v>
      </c>
      <c r="D5423" s="7" t="n">
        <v>22691</v>
      </c>
      <c r="E5423" s="8" t="n">
        <v>41116</v>
      </c>
      <c r="F5423" s="7" t="n">
        <v>4</v>
      </c>
      <c r="G5423" s="7" t="inlineStr">
        <is>
          <t>the taste of this cobbler is superb but the recipe calls for way more water than it needs and i was upset to discover that by following it, my cobbler was soupy in texture :( i will definitely make it again and cut the water in half the next time. if not for this, i would have given it 5 stars- do yourselves a favor and CUT THE WATER IN HALF!</t>
        </is>
      </c>
    </row>
    <row r="5424">
      <c r="A5424" s="7" t="n">
        <v>124245</v>
      </c>
      <c r="B5424" s="7" t="n">
        <v>585053</v>
      </c>
      <c r="C5424" s="7" t="n">
        <v>56670</v>
      </c>
      <c r="D5424" s="7" t="n">
        <v>57789</v>
      </c>
      <c r="E5424" s="8" t="n">
        <v>38079</v>
      </c>
      <c r="F5424" s="7" t="n">
        <v>5</v>
      </c>
      <c r="G5424" s="7" t="inlineStr">
        <is>
          <t>Yummy, this was good and easy and quick and meatless (great for lent!).  I did do a few things differently, i used 16 oz. spinach instead of 9, i liked it like this and i also just sprinkled some parm. cheese on top since thats what I had.  I will be loading a pic. of it up for u in a few days.</t>
        </is>
      </c>
    </row>
    <row r="5425">
      <c r="A5425" s="7" t="n">
        <v>107861</v>
      </c>
      <c r="B5425" s="7" t="n">
        <v>593722</v>
      </c>
      <c r="C5425" s="7" t="n">
        <v>429591</v>
      </c>
      <c r="D5425" s="7" t="n">
        <v>6614</v>
      </c>
      <c r="E5425" s="8" t="n">
        <v>39172</v>
      </c>
      <c r="F5425" s="7" t="n">
        <v>5</v>
      </c>
      <c r="G5425" s="7" t="inlineStr">
        <is>
          <t>Really yummy!  :-)</t>
        </is>
      </c>
    </row>
    <row r="5426">
      <c r="A5426" s="7" t="n">
        <v>27344</v>
      </c>
      <c r="B5426" s="7" t="n">
        <v>1006005</v>
      </c>
      <c r="C5426" s="7" t="n">
        <v>632249</v>
      </c>
      <c r="D5426" s="7" t="n">
        <v>223720</v>
      </c>
      <c r="E5426" s="8" t="n">
        <v>40844</v>
      </c>
      <c r="F5426" s="7" t="n">
        <v>5</v>
      </c>
      <c r="G5426" s="7" t="inlineStr">
        <is>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is>
      </c>
    </row>
    <row r="5427">
      <c r="A5427" s="7" t="n">
        <v>32188</v>
      </c>
      <c r="B5427" s="7" t="n">
        <v>241609</v>
      </c>
      <c r="C5427" s="7" t="n">
        <v>34710</v>
      </c>
      <c r="D5427" s="7" t="n">
        <v>144461</v>
      </c>
      <c r="E5427" s="8" t="n">
        <v>38679</v>
      </c>
      <c r="F5427" s="7" t="n">
        <v>4</v>
      </c>
      <c r="G5427" s="7" t="inlineStr">
        <is>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is>
      </c>
    </row>
    <row r="5428">
      <c r="A5428" s="7" t="n">
        <v>38303</v>
      </c>
      <c r="B5428" s="7" t="n">
        <v>555846</v>
      </c>
      <c r="C5428" s="7" t="n">
        <v>678366</v>
      </c>
      <c r="D5428" s="7" t="n">
        <v>119272</v>
      </c>
      <c r="E5428" s="8" t="n">
        <v>40204</v>
      </c>
      <c r="F5428" s="7" t="n">
        <v>5</v>
      </c>
      <c r="G5428" s="7" t="inlineStr">
        <is>
          <t>Easy and tasty recipe! I had to skip the cheese as I was recovering from a cold and didn't feel like adding it, but next time I will.I'm confused by the other review and I read your recipe several times.Thanks for sharing.</t>
        </is>
      </c>
    </row>
    <row r="5429">
      <c r="A5429" s="7" t="n">
        <v>41581</v>
      </c>
      <c r="B5429" s="7" t="n">
        <v>489637</v>
      </c>
      <c r="C5429" s="7" t="n">
        <v>358513</v>
      </c>
      <c r="D5429" s="7" t="n">
        <v>150898</v>
      </c>
      <c r="E5429" s="8" t="n">
        <v>39675</v>
      </c>
      <c r="F5429" s="7" t="n">
        <v>5</v>
      </c>
      <c r="G5429" s="7" t="inlineStr">
        <is>
          <t>I thought this was a really nice recipe. I only had to make minor adjustments because of salt intake. I did everything as directed but I used less chicken stock and added in some water and allowed it to cooke longer so the water could reduce down and the soup was more uniform because of my adding that. I then rinsed and drained the beans and added them towards the end along with the spinach. I also threw in some chopped carrots and red bell pepper because I had it to use up. Very Tasty thank you =)</t>
        </is>
      </c>
    </row>
    <row r="5430">
      <c r="A5430" s="7" t="n">
        <v>17839</v>
      </c>
      <c r="B5430" s="7" t="n">
        <v>327030</v>
      </c>
      <c r="C5430" s="7" t="n">
        <v>1319734</v>
      </c>
      <c r="D5430" s="7" t="n">
        <v>37548</v>
      </c>
      <c r="E5430" s="8" t="n">
        <v>40274</v>
      </c>
      <c r="F5430" s="7" t="n">
        <v>5</v>
      </c>
      <c r="G5430" s="7" t="inlineStr">
        <is>
          <t>This is a delicious recipe,  and the ingredients are delicious, but the way you bake it is KEY.  I've made it three times, and it's amazing how one recipe can come out SO many different ways.  The best one came out by baking it in a water bath.  Wrap it in foil as the recipe calls for, and then put it in a large baking pan with water about halfway up.  Hope everyone enjoys it as much as I did!</t>
        </is>
      </c>
    </row>
    <row r="5431">
      <c r="A5431" s="7" t="n">
        <v>84609</v>
      </c>
      <c r="B5431" s="7" t="n">
        <v>419664</v>
      </c>
      <c r="C5431" s="7" t="n">
        <v>590105</v>
      </c>
      <c r="D5431" s="7" t="n">
        <v>304340</v>
      </c>
      <c r="E5431" s="8" t="n">
        <v>39596</v>
      </c>
      <c r="F5431" s="7" t="n">
        <v>5</v>
      </c>
      <c r="G5431" s="7" t="inlineStr">
        <is>
          <t>Really easy and really good!  We used half-and-half and just cooked the chocolate chips and h-n-h together in one pan.  It turned out great and was a big hit!  Thanks!  Reviewed for the Kid-Friendly Challenge in Zaar World Tour 4.</t>
        </is>
      </c>
    </row>
    <row r="5432">
      <c r="A5432" s="7" t="n">
        <v>53347</v>
      </c>
      <c r="B5432" s="7" t="n">
        <v>461932</v>
      </c>
      <c r="C5432" s="7" t="n">
        <v>640173</v>
      </c>
      <c r="D5432" s="7" t="n">
        <v>26820</v>
      </c>
      <c r="E5432" s="8" t="n">
        <v>39466</v>
      </c>
      <c r="F5432" s="7" t="n">
        <v>5</v>
      </c>
      <c r="G5432" s="7" t="inlineStr">
        <is>
          <t>Sue, We really liked these. I went to a get together and had to serve these warm, not hot, and they still were a hit.Ran out of bread crumbs and had to use flour and they still were great. Thanks!</t>
        </is>
      </c>
    </row>
    <row r="5433">
      <c r="A5433" s="7" t="n">
        <v>9969</v>
      </c>
      <c r="B5433" s="7" t="n">
        <v>493693</v>
      </c>
      <c r="C5433" s="7" t="n">
        <v>211685</v>
      </c>
      <c r="D5433" s="7" t="n">
        <v>71373</v>
      </c>
      <c r="E5433" s="8" t="n">
        <v>41298</v>
      </c>
      <c r="F5433" s="7" t="n">
        <v>5</v>
      </c>
      <c r="G5433" s="7" t="inlineStr">
        <is>
          <t>I love this bread! I have tried making loaves of bread in the past and always failed.  This came out perfect.  I mixed the dough in the bread machine (dough cycle) then punched down and placed in a loaf pan.  Then let it double in size again.  Baked at 350 for about 25 minutes. turned out great.</t>
        </is>
      </c>
    </row>
    <row r="5434">
      <c r="A5434" s="7" t="n">
        <v>70234</v>
      </c>
      <c r="B5434" s="7" t="n">
        <v>70069</v>
      </c>
      <c r="C5434" s="7" t="n">
        <v>280271</v>
      </c>
      <c r="D5434" s="7" t="n">
        <v>492959</v>
      </c>
      <c r="E5434" s="8" t="n">
        <v>41364</v>
      </c>
      <c r="F5434" s="7" t="n">
        <v>4</v>
      </c>
      <c r="G5434" s="7" t="inlineStr">
        <is>
          <t>This was very tasty...I did serve it with recipe #492956 I was a bit on the messy side...but that made it finger licking good...I decided not to use the foo processor, so I just chopped it up by hand...one less thing to clean...I could see using this as a lettuce wrap also...made for Spring PAC 2013 =)</t>
        </is>
      </c>
    </row>
    <row r="5435">
      <c r="A5435" s="7" t="n">
        <v>109629</v>
      </c>
      <c r="B5435" s="7" t="n">
        <v>932613</v>
      </c>
      <c r="C5435" s="7" t="n">
        <v>704479</v>
      </c>
      <c r="D5435" s="7" t="n">
        <v>166955</v>
      </c>
      <c r="E5435" s="8" t="n">
        <v>39698</v>
      </c>
      <c r="F5435" s="7" t="n">
        <v>5</v>
      </c>
      <c r="G5435" s="7" t="inlineStr">
        <is>
          <t>Excellent.  I added garlic, pepper, and nutmeg for a little more flavor, but excellent recipe.</t>
        </is>
      </c>
    </row>
    <row r="5436">
      <c r="A5436" s="7" t="n">
        <v>30478</v>
      </c>
      <c r="B5436" s="7" t="n">
        <v>1021695</v>
      </c>
      <c r="C5436" s="7" t="n">
        <v>2002300398</v>
      </c>
      <c r="D5436" s="7" t="n">
        <v>272020</v>
      </c>
      <c r="E5436" s="8" t="n">
        <v>43387</v>
      </c>
      <c r="F5436" s="7" t="n">
        <v>5</v>
      </c>
      <c r="G5436" s="7" t="inlineStr">
        <is>
          <t>We liked this recipe for its ease and great results. I would have added more cayenne pepper (1/2 teaspoon) for some zip. Used mango and passionfruit preserve for the topper. I might try slicing the pork into medallions at the beginning to get a nice PB crust on the pork. Thanks for posting this recipe.</t>
        </is>
      </c>
    </row>
    <row r="5437">
      <c r="A5437" s="7" t="n">
        <v>29295</v>
      </c>
      <c r="B5437" s="7" t="n">
        <v>681052</v>
      </c>
      <c r="C5437" s="7" t="n">
        <v>841981</v>
      </c>
      <c r="D5437" s="7" t="n">
        <v>108248</v>
      </c>
      <c r="E5437" s="8" t="n">
        <v>39670</v>
      </c>
      <c r="F5437" s="7" t="n">
        <v>5</v>
      </c>
      <c r="G5437" s="7" t="inlineStr">
        <is>
          <t>Great recipe! My kids love it. they said they will be bringing this to school tom. thanks for posting.</t>
        </is>
      </c>
    </row>
    <row r="5438">
      <c r="A5438" s="7" t="n">
        <v>77596</v>
      </c>
      <c r="B5438" s="7" t="n">
        <v>884987</v>
      </c>
      <c r="C5438" s="7" t="n">
        <v>1969832</v>
      </c>
      <c r="D5438" s="7" t="n">
        <v>19446</v>
      </c>
      <c r="E5438" s="8" t="n">
        <v>40753</v>
      </c>
      <c r="F5438" s="7" t="n">
        <v>5</v>
      </c>
      <c r="G5438" s="7" t="inlineStr">
        <is>
          <t>I like to add few changes for those who are interested in trying out Indian chappatis.&lt;br/&gt;&lt;br/&gt;I usually buy the 'whole' wheat flour from Indian grocery  stores. Obviously, you need salt to taste while mixing the flour. Also, you can add (2-3 tablespoons) of (canola/vegetable/melted butter) oil along with water. You can follow the steps as given in the recipe. The dough should not be sticky or too hard. At step 8, I usually make the small rolls with little bit of oil. The skillet at first needs to be hot - the only problem with the electric stove is it takes more time to heat up. &lt;br/&gt;You can add just a couple of drops of oil or butter and lightly spread it on the skillet. I make my chappatis around 5 - 9 inches diameter. I use a pizza/party roller to make it even and thin (not too thin - but you can experiment).   I put my chappati on the pan/skillet for a minute or two and when it is about to puff, I turn it over to other side and add just a spoon of oil/butter along the diameter and also spread it on top without breaking the puff. (If you think it is too much oil, you don't need it!). When it puffs up nicely, I turn it over again and cook it for a minute until it starts puffing. That's all! My first chappati never comes correctly because I use a non-stick pan and it is still not at the right temperature.&lt;br/&gt;&lt;br/&gt;If you made it too thin, it will become too crisp - but if you like it that way its all good. I usually make it soft so I can use it with a side dish. If you leave it too long, it will be burned. There's also variations to regular chappatis, you can stuff some cooked veggies (smashed potato/cauliflower) while rolling out the chappatis. In this case, it will be thicker. If you have left over dough, you can store it in the refrigerator in a ziplock/plastic wrapper and if you want to use your refrigerated dough, you need to let it warm down to room temperature (usually takes 15-20 min). Wheat is a good option to the regular flour based-tortillas.</t>
        </is>
      </c>
    </row>
    <row r="5439">
      <c r="A5439" s="7" t="n">
        <v>105468</v>
      </c>
      <c r="B5439" s="7" t="n">
        <v>963783</v>
      </c>
      <c r="C5439" s="7" t="n">
        <v>1794759</v>
      </c>
      <c r="D5439" s="7" t="n">
        <v>302761</v>
      </c>
      <c r="E5439" s="8" t="n">
        <v>40557</v>
      </c>
      <c r="F5439" s="7" t="n">
        <v>4</v>
      </c>
      <c r="G5439" s="7" t="inlineStr">
        <is>
          <t>I used chocolate instead of carob. It wasn't bad, in fact it helped me through my pudding craving (I can't have milk). But it did leave a weird after taste. I ended adding in some coconut milk creamer and it made it taste a little creamier.</t>
        </is>
      </c>
    </row>
    <row r="5440">
      <c r="A5440" s="7" t="n">
        <v>107094</v>
      </c>
      <c r="B5440" s="7" t="n">
        <v>1052327</v>
      </c>
      <c r="C5440" s="7" t="n">
        <v>218807</v>
      </c>
      <c r="D5440" s="7" t="n">
        <v>98527</v>
      </c>
      <c r="E5440" s="8" t="n">
        <v>39421</v>
      </c>
      <c r="F5440" s="7" t="n">
        <v>5</v>
      </c>
      <c r="G5440" s="7" t="inlineStr">
        <is>
          <t>Lovely way to use cumquats, I used pecans in this cake which were delicious. The only time consuming part is peeling the cumquats!</t>
        </is>
      </c>
    </row>
    <row r="5441">
      <c r="A5441" s="7" t="n">
        <v>3660</v>
      </c>
      <c r="B5441" s="7" t="n">
        <v>800038</v>
      </c>
      <c r="C5441" s="7" t="n">
        <v>84524</v>
      </c>
      <c r="D5441" s="7" t="n">
        <v>90246</v>
      </c>
      <c r="E5441" s="8" t="n">
        <v>40347</v>
      </c>
      <c r="F5441" s="7" t="n">
        <v>5</v>
      </c>
      <c r="G5441" s="7" t="inlineStr">
        <is>
          <t>This receipe was beyond incredible!  My husband exclaimed, "You have really outdone youself this time."   This is coming from a man who rates my meals...hardly ever gives me a 10 b/c he believes there is always something that can be done to make it a 10....My first 10!</t>
        </is>
      </c>
    </row>
    <row r="5442">
      <c r="A5442" s="7" t="n">
        <v>60317</v>
      </c>
      <c r="B5442" s="7" t="n">
        <v>805998</v>
      </c>
      <c r="C5442" s="7" t="n">
        <v>84196</v>
      </c>
      <c r="D5442" s="7" t="n">
        <v>27742</v>
      </c>
      <c r="E5442" s="8" t="n">
        <v>38389</v>
      </c>
      <c r="F5442" s="7" t="n">
        <v>5</v>
      </c>
      <c r="G5442" s="7" t="inlineStr">
        <is>
          <t xml:space="preserve">I have made this many times from a recipe that I have at home.I lost the recipe and am fortunate to have found a replica. The only difference is that I add 1 can of drained and rinsed hominy and bottled italian dressing.I love to make it the day before and let the flavors marry overnite before I serve it.Thanks for the recipe MEAN,it is one of my favorites and being that I am from Louisiana, we call it cajun caviar.  </t>
        </is>
      </c>
    </row>
    <row r="5443">
      <c r="A5443" s="7" t="n">
        <v>108835</v>
      </c>
      <c r="B5443" s="7" t="n">
        <v>157045</v>
      </c>
      <c r="C5443" s="7" t="n">
        <v>492434</v>
      </c>
      <c r="D5443" s="7" t="n">
        <v>20023</v>
      </c>
      <c r="E5443" s="8" t="n">
        <v>39488</v>
      </c>
      <c r="F5443" s="7" t="n">
        <v>4</v>
      </c>
      <c r="G5443" s="7" t="inlineStr">
        <is>
          <t>These were great!  A bit thick, so next time i'll add a little more soy milk, and i added some vanilla extract which gave it a really great flavor.</t>
        </is>
      </c>
    </row>
    <row r="5444">
      <c r="A5444" s="7" t="n">
        <v>57586</v>
      </c>
      <c r="B5444" s="7" t="n">
        <v>101417</v>
      </c>
      <c r="C5444" s="7" t="n">
        <v>374416</v>
      </c>
      <c r="D5444" s="7" t="n">
        <v>159081</v>
      </c>
      <c r="E5444" s="8" t="n">
        <v>39294</v>
      </c>
      <c r="F5444" s="7" t="n">
        <v>5</v>
      </c>
      <c r="G5444" s="7" t="inlineStr">
        <is>
          <t>Wow, this bread is so moist and delicious!  I think that it's going to become my basic 50(60)% whole wheat bread!!  It would surely be great with some spice add-ins too.  This made two loaves for me, which I baked in one 8x4 and one 9x5 pan.  Soooo yummy!  Thanks Kittencal!</t>
        </is>
      </c>
    </row>
    <row r="5445">
      <c r="A5445" s="7" t="n">
        <v>5289</v>
      </c>
      <c r="B5445" s="7" t="n">
        <v>569244</v>
      </c>
      <c r="C5445" s="7" t="n">
        <v>1323697</v>
      </c>
      <c r="D5445" s="7" t="n">
        <v>372087</v>
      </c>
      <c r="E5445" s="8" t="n">
        <v>40008</v>
      </c>
      <c r="F5445" s="7" t="n">
        <v>4</v>
      </c>
      <c r="G5445" s="7" t="inlineStr">
        <is>
          <t>I was browsing for an eggless suger cookie recipe and came apon this one.I have one batch on a plate in the kitchen and another in the oven.I really believed because there were no eggs these cookies would be very hard and crispy but were the oposite.They were very moist and soft and very tasty.The plate is almost empty and the second batch is still in the oven.I would give this recipe four stars!</t>
        </is>
      </c>
    </row>
    <row r="5446">
      <c r="A5446" s="7" t="n">
        <v>29553</v>
      </c>
      <c r="B5446" s="7" t="n">
        <v>3773</v>
      </c>
      <c r="C5446" s="7" t="n">
        <v>1042494</v>
      </c>
      <c r="D5446" s="7" t="n">
        <v>28225</v>
      </c>
      <c r="E5446" s="8" t="n">
        <v>42039</v>
      </c>
      <c r="F5446" s="7" t="n">
        <v>5</v>
      </c>
      <c r="G5446" s="7" t="inlineStr">
        <is>
          <t>I used a package of devil&amp;#039;s food cake mix.  It was quick, easy and very moist. I will definitely make again.</t>
        </is>
      </c>
    </row>
    <row r="5447">
      <c r="A5447" s="7" t="n">
        <v>35355</v>
      </c>
      <c r="B5447" s="7" t="n">
        <v>79643</v>
      </c>
      <c r="C5447" s="7" t="n">
        <v>305531</v>
      </c>
      <c r="D5447" s="7" t="n">
        <v>79560</v>
      </c>
      <c r="E5447" s="8" t="n">
        <v>39633</v>
      </c>
      <c r="F5447" s="7" t="n">
        <v>5</v>
      </c>
      <c r="G5447" s="7" t="inlineStr">
        <is>
          <t>Great deviled eggs! I've always heard about adding pickle juice, but have never tried it until now. It was a really nice addition. Loved the horseradish - and used a hot variety. Thanks AuntWoofie for a great appetizer for the 4th of July. Made for ZWT4 Family Picks.</t>
        </is>
      </c>
    </row>
    <row r="5448">
      <c r="A5448" s="7" t="n">
        <v>109412</v>
      </c>
      <c r="B5448" s="7" t="n">
        <v>68354</v>
      </c>
      <c r="C5448" s="7" t="n">
        <v>346860</v>
      </c>
      <c r="D5448" s="7" t="n">
        <v>66928</v>
      </c>
      <c r="E5448" s="8" t="n">
        <v>39531</v>
      </c>
      <c r="F5448" s="7" t="n">
        <v>5</v>
      </c>
      <c r="G5448" s="7" t="inlineStr">
        <is>
          <t>Excellent!!!! So easy to prepare and was devoured at the party I served it at tonight. I could not find mango chutney at our grocery store so I used apricot preserves. So delicious, impressive, and will definitely make this again. Thanks, Erin!</t>
        </is>
      </c>
    </row>
    <row r="5449">
      <c r="A5449" s="7" t="n">
        <v>70601</v>
      </c>
      <c r="B5449" s="7" t="n">
        <v>777541</v>
      </c>
      <c r="C5449" s="7" t="n">
        <v>315565</v>
      </c>
      <c r="D5449" s="7" t="n">
        <v>186004</v>
      </c>
      <c r="E5449" s="8" t="n">
        <v>39219</v>
      </c>
      <c r="F5449" s="7" t="n">
        <v>4</v>
      </c>
      <c r="G5449" s="7" t="inlineStr">
        <is>
          <t>This was easy to do and looked and tasted terrific - very moist with a surprise crunch - I did it all in the food processor - my favourite kitchen appliance -  I love any recipe with a cake mix as the base as my time is so short -  so this recipe will definitely be made again - many thanks to cookiedog.</t>
        </is>
      </c>
    </row>
    <row r="5450">
      <c r="A5450" s="7" t="n">
        <v>12127</v>
      </c>
      <c r="B5450" s="7" t="n">
        <v>187709</v>
      </c>
      <c r="C5450" s="7" t="n">
        <v>109030</v>
      </c>
      <c r="D5450" s="7" t="n">
        <v>128264</v>
      </c>
      <c r="E5450" s="8" t="n">
        <v>39516</v>
      </c>
      <c r="F5450" s="7" t="n">
        <v>5</v>
      </c>
      <c r="G5450" s="7" t="inlineStr">
        <is>
          <t>We really enjoyed this corn. I did use more chili &amp; cayenne powder. Thanks. :)</t>
        </is>
      </c>
    </row>
    <row r="5451">
      <c r="A5451" s="7" t="n">
        <v>108503</v>
      </c>
      <c r="B5451" s="7" t="n">
        <v>875913</v>
      </c>
      <c r="C5451" s="7" t="n">
        <v>408594</v>
      </c>
      <c r="D5451" s="7" t="n">
        <v>103176</v>
      </c>
      <c r="E5451" s="8" t="n">
        <v>39094</v>
      </c>
      <c r="F5451" s="7" t="n">
        <v>3</v>
      </c>
      <c r="G5451" s="7" t="inlineStr">
        <is>
          <t>Very good, flavor was great and very tender. Made the ribs tender enough for me which is good because I have a hard time with most meat due to lack of teeth.</t>
        </is>
      </c>
    </row>
    <row r="5452">
      <c r="A5452" s="7" t="n">
        <v>24286</v>
      </c>
      <c r="B5452" s="7" t="n">
        <v>343300</v>
      </c>
      <c r="C5452" s="7" t="n">
        <v>131674</v>
      </c>
      <c r="D5452" s="7" t="n">
        <v>216688</v>
      </c>
      <c r="E5452" s="8" t="n">
        <v>40178</v>
      </c>
      <c r="F5452" s="7" t="n">
        <v>5</v>
      </c>
      <c r="G5452" s="7" t="inlineStr">
        <is>
          <t>The orange taste really comes through in these nuts.  Sweet and I loved the flavoring.  Made for Photo Tag.</t>
        </is>
      </c>
    </row>
    <row r="5453">
      <c r="A5453" s="7" t="n">
        <v>42550</v>
      </c>
      <c r="B5453" s="7" t="n">
        <v>449561</v>
      </c>
      <c r="C5453" s="7" t="n">
        <v>500644</v>
      </c>
      <c r="D5453" s="7" t="n">
        <v>218237</v>
      </c>
      <c r="E5453" s="8" t="n">
        <v>39217</v>
      </c>
      <c r="F5453" s="7" t="n">
        <v>5</v>
      </c>
      <c r="G5453" s="7" t="inlineStr">
        <is>
          <t>My first ever crock pot meal...and what a success! Thank you for this wonderful recipe! The ham was very tasty and moist- my whole family loved it! So easy!</t>
        </is>
      </c>
    </row>
    <row r="5454">
      <c r="A5454" s="7" t="n">
        <v>102407</v>
      </c>
      <c r="B5454" s="7" t="n">
        <v>1052641</v>
      </c>
      <c r="C5454" s="7" t="n">
        <v>2133528</v>
      </c>
      <c r="D5454" s="7" t="n">
        <v>485686</v>
      </c>
      <c r="E5454" s="8" t="n">
        <v>41145</v>
      </c>
      <c r="F5454" s="7" t="n">
        <v>5</v>
      </c>
      <c r="G5454" s="7" t="inlineStr">
        <is>
          <t>This was awesome. I  thought it needed more liquid, so I added a little more vinegar to the pork.&lt;br/&gt;This was a huge hit !!!!!!</t>
        </is>
      </c>
    </row>
    <row r="5455">
      <c r="A5455" s="7" t="n">
        <v>4414</v>
      </c>
      <c r="B5455" s="7" t="n">
        <v>247873</v>
      </c>
      <c r="C5455" s="7" t="n">
        <v>949568</v>
      </c>
      <c r="D5455" s="7" t="n">
        <v>400025</v>
      </c>
      <c r="E5455" s="8" t="n">
        <v>40139</v>
      </c>
      <c r="F5455" s="7" t="n">
        <v>4</v>
      </c>
      <c r="G5455" s="7" t="inlineStr">
        <is>
          <t>The directions were easy, the consistency was great (I had concerns when putting it in the oven, but it came out fine), but I found it bland.  I'm more used to cheddar mac &amp; cheeses with stronger flavors.  Next time I'd put more garlic and also add some garlic to the panko's.  I did this for the New Kids on the Block tag game - my first ever!</t>
        </is>
      </c>
    </row>
    <row r="5456">
      <c r="A5456" s="7" t="n">
        <v>77848</v>
      </c>
      <c r="B5456" s="7" t="n">
        <v>683229</v>
      </c>
      <c r="C5456" s="7" t="n">
        <v>2001629295</v>
      </c>
      <c r="D5456" s="7" t="n">
        <v>491126</v>
      </c>
      <c r="E5456" s="8" t="n">
        <v>42997</v>
      </c>
      <c r="F5456" s="7" t="n">
        <v>5</v>
      </c>
      <c r="G5456" s="7" t="inlineStr">
        <is>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is>
      </c>
    </row>
    <row r="5457" ht="409.5" customHeight="1">
      <c r="A5457" s="7" t="n">
        <v>9558</v>
      </c>
      <c r="B5457" s="7" t="n">
        <v>632405</v>
      </c>
      <c r="C5457" s="7" t="n">
        <v>29782</v>
      </c>
      <c r="D5457" s="7" t="n">
        <v>240</v>
      </c>
      <c r="E5457" s="8" t="n">
        <v>38699</v>
      </c>
      <c r="F5457" s="7" t="n">
        <v>5</v>
      </c>
      <c r="G5457" s="9" t="inlineStr">
        <is>
          <t xml:space="preserve">This was delicious! _x000D_
I used white wine vinegar cause I didn't have any rice wine vinegar, it worked fine and I added some sesame oil to give it more flavor. We loved it! Thanks for sharing the recipe! </t>
        </is>
      </c>
    </row>
    <row r="5458">
      <c r="A5458" s="7" t="n">
        <v>44612</v>
      </c>
      <c r="B5458" s="7" t="n">
        <v>174854</v>
      </c>
      <c r="C5458" s="7" t="n">
        <v>1636470</v>
      </c>
      <c r="D5458" s="7" t="n">
        <v>121415</v>
      </c>
      <c r="E5458" s="8" t="n">
        <v>40588</v>
      </c>
      <c r="F5458" s="7" t="n">
        <v>5</v>
      </c>
      <c r="G5458" s="7" t="inlineStr">
        <is>
          <t>This is a great taco seasoning, thank-you so much! I used ground turkey to make taco night a little bit healthier. I like this recipe because it doesn't have near the salt of prepackaged taco seasonings and it tastes even better! I will use this over and over. I'm going to look for a dry soup base that has less salt as well. Thanks again!</t>
        </is>
      </c>
    </row>
    <row r="5459">
      <c r="A5459" s="7" t="n">
        <v>21166</v>
      </c>
      <c r="B5459" s="7" t="n">
        <v>423735</v>
      </c>
      <c r="C5459" s="7" t="n">
        <v>1624881</v>
      </c>
      <c r="D5459" s="7" t="n">
        <v>223269</v>
      </c>
      <c r="E5459" s="8" t="n">
        <v>40328</v>
      </c>
      <c r="F5459" s="7" t="n">
        <v>5</v>
      </c>
      <c r="G5459" s="7" t="inlineStr">
        <is>
          <t>Yum!  Great simple recipe for this cooking novice!  Made two baked tomatoes with intention on eating half of one, and using the other 1 and a half with pasta - gobbled them all up as a nice summer meal!  Thank you!</t>
        </is>
      </c>
    </row>
    <row r="5460">
      <c r="A5460" s="7" t="n">
        <v>94345</v>
      </c>
      <c r="B5460" s="7" t="n">
        <v>411576</v>
      </c>
      <c r="C5460" s="7" t="n">
        <v>353579</v>
      </c>
      <c r="D5460" s="7" t="n">
        <v>286145</v>
      </c>
      <c r="E5460" s="8" t="n">
        <v>39575</v>
      </c>
      <c r="F5460" s="7" t="n">
        <v>4</v>
      </c>
      <c r="G5460" s="7" t="inlineStr">
        <is>
          <t>This smelled really good as it was cooking and the chicken was very moist.  I made it in the crock pot and the meat just fell into shreds, which I liked.  I was afraid it would be too salty, but served over Recipe #49579 it was just fine (though I probably would not salt the chicken next time).  The taste of the preserved lemons was new to us and it was a bit pervasive - next time I would put in half an unchopped preserved lemon during cooking and then remove it when I serve the dish.  Thanks for posting!</t>
        </is>
      </c>
    </row>
    <row r="5461">
      <c r="A5461" s="7" t="n">
        <v>112056</v>
      </c>
      <c r="B5461" s="7" t="n">
        <v>785374</v>
      </c>
      <c r="C5461" s="7" t="n">
        <v>201581</v>
      </c>
      <c r="D5461" s="7" t="n">
        <v>189237</v>
      </c>
      <c r="E5461" s="8" t="n">
        <v>39062</v>
      </c>
      <c r="F5461" s="7" t="n">
        <v>5</v>
      </c>
      <c r="G5461" s="7" t="inlineStr">
        <is>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is>
      </c>
    </row>
    <row r="5462">
      <c r="A5462" s="7" t="n">
        <v>35536</v>
      </c>
      <c r="B5462" s="7" t="n">
        <v>747714</v>
      </c>
      <c r="C5462" s="7" t="n">
        <v>613833</v>
      </c>
      <c r="D5462" s="7" t="n">
        <v>49200</v>
      </c>
      <c r="E5462" s="8" t="n">
        <v>39687</v>
      </c>
      <c r="F5462" s="7" t="n">
        <v>5</v>
      </c>
      <c r="G5462" s="7" t="inlineStr">
        <is>
          <t>My husband and I loved these.  I made these for dinner tonight with the Easy Crockpot BBQ Chicken (Low Fat) and it was a hit. They came out crispy and tasty.  I cut the potatoes thinner than wedges; I put the oil and spices in a large ziplock bag; and marinated the potato slices for 15 minutes before placing them on the sprayed baking pan.  I didn't have paprika so I used a chili spice blend that I make which includes cayenne pepper and paprika.  I also doubles the parm cheese and used a heart healthy oil.  I put them on the top rack of the oven at 350 for 45 minutes and then increased the temp to 450 for the last 15 minutes.  They were dark around the edges; but soft and well done in the middle.  Great recipe! Can't wait to try it with different types of potatoes (sweet potatoes are next on my list).</t>
        </is>
      </c>
    </row>
    <row r="5463">
      <c r="A5463" s="7" t="n">
        <v>47252</v>
      </c>
      <c r="B5463" s="7" t="n">
        <v>51170</v>
      </c>
      <c r="C5463" s="7" t="n">
        <v>352538</v>
      </c>
      <c r="D5463" s="7" t="n">
        <v>189252</v>
      </c>
      <c r="E5463" s="8" t="n">
        <v>39006</v>
      </c>
      <c r="F5463" s="7" t="n">
        <v>0</v>
      </c>
      <c r="G5463" s="7" t="inlineStr">
        <is>
          <t>Just a question: why would air popped popcorn "melt"?  I use it all the time in caramel popcorn that I bake in the oven.</t>
        </is>
      </c>
    </row>
    <row r="5464">
      <c r="A5464" s="7" t="n">
        <v>75724</v>
      </c>
      <c r="B5464" s="7" t="n">
        <v>1098517</v>
      </c>
      <c r="C5464" s="7" t="n">
        <v>50472</v>
      </c>
      <c r="D5464" s="7" t="n">
        <v>53520</v>
      </c>
      <c r="E5464" s="8" t="n">
        <v>38169</v>
      </c>
      <c r="F5464" s="7" t="n">
        <v>5</v>
      </c>
      <c r="G5464" s="7" t="inlineStr">
        <is>
          <t xml:space="preserve">I'm a believer....this is about as perfect as rice gets!  This is now my official rice recipe.  Thanks!  </t>
        </is>
      </c>
    </row>
    <row r="5465">
      <c r="A5465" t="n">
        <v>42492</v>
      </c>
      <c r="B5465" t="n">
        <v>833680</v>
      </c>
      <c r="C5465" t="n">
        <v>527886</v>
      </c>
      <c r="D5465" t="n">
        <v>140692</v>
      </c>
      <c r="E5465" s="1" t="n">
        <v>39626</v>
      </c>
      <c r="F5465" t="n">
        <v>4</v>
      </c>
      <c r="G5465" t="inlineStr">
        <is>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is>
      </c>
    </row>
    <row r="5466">
      <c r="A5466" s="7" t="n">
        <v>10902</v>
      </c>
      <c r="B5466" s="7" t="n">
        <v>810351</v>
      </c>
      <c r="C5466" s="7" t="n">
        <v>439797</v>
      </c>
      <c r="D5466" s="7" t="n">
        <v>78897</v>
      </c>
      <c r="E5466" s="8" t="n">
        <v>40209</v>
      </c>
      <c r="F5466" s="7" t="n">
        <v>4</v>
      </c>
      <c r="G5466" s="7" t="inlineStr">
        <is>
          <t>It was easy and quick and my kids really liked it.  But the bottom burned a bit.  Maybe I had it on the stove too long.</t>
        </is>
      </c>
    </row>
    <row r="5467">
      <c r="A5467" s="7" t="n">
        <v>58361</v>
      </c>
      <c r="B5467" s="7" t="n">
        <v>95996</v>
      </c>
      <c r="C5467" s="7" t="n">
        <v>680929</v>
      </c>
      <c r="D5467" s="7" t="n">
        <v>126623</v>
      </c>
      <c r="E5467" s="8" t="n">
        <v>41447</v>
      </c>
      <c r="F5467" s="7" t="n">
        <v>0</v>
      </c>
      <c r="G5467" s="7" t="inlineStr">
        <is>
          <t>Fantastic. Will be making again! Thanks, Stacky5 for posting!</t>
        </is>
      </c>
    </row>
    <row r="5468">
      <c r="A5468" t="n">
        <v>29942</v>
      </c>
      <c r="B5468" t="n">
        <v>937866</v>
      </c>
      <c r="C5468" t="n">
        <v>59473</v>
      </c>
      <c r="D5468" t="n">
        <v>82102</v>
      </c>
      <c r="E5468" s="1" t="n">
        <v>38384</v>
      </c>
      <c r="F5468" t="n">
        <v>5</v>
      </c>
      <c r="G5468" t="inlineStr">
        <is>
          <t>This was nice and cheesy, garlicky and very moist. I used 3 chicken breasts but kept the amounts of the other ingredients the same as the recipe stated. Like a lot of other reviewers I uncovered it for about 10 minutes to let it crisp. Thanks for a great recipe.</t>
        </is>
      </c>
    </row>
    <row r="5469">
      <c r="A5469" s="7" t="n">
        <v>108197</v>
      </c>
      <c r="B5469" s="7" t="n">
        <v>380618</v>
      </c>
      <c r="C5469" s="7" t="n">
        <v>452940</v>
      </c>
      <c r="D5469" s="7" t="n">
        <v>181334</v>
      </c>
      <c r="E5469" s="8" t="n">
        <v>39635</v>
      </c>
      <c r="F5469" s="7" t="n">
        <v>5</v>
      </c>
      <c r="G5469" s="7" t="inlineStr">
        <is>
          <t>I halved the recipe and made 3 individual blueberry servings using ramekins. Buddha raved over these for brunch today, as did I. The cornmeal really adds a wonderful taste to this and the textures just whirl so comfortably in your mouth it leaves you wanting more. This recipe is very simple to prepare, and we will definitely be making these again. :)</t>
        </is>
      </c>
    </row>
    <row r="5470">
      <c r="A5470" s="7" t="n">
        <v>77252</v>
      </c>
      <c r="B5470" s="7" t="n">
        <v>811818</v>
      </c>
      <c r="C5470" s="7" t="n">
        <v>59780</v>
      </c>
      <c r="D5470" s="7" t="n">
        <v>35904</v>
      </c>
      <c r="E5470" s="8" t="n">
        <v>38484</v>
      </c>
      <c r="F5470" s="7" t="n">
        <v>5</v>
      </c>
      <c r="G5470" s="7" t="inlineStr">
        <is>
          <t>I cannot believe only one person has tried this recipe! This was so good! I halfed the recipe as I was making it only for myself. Adding garlic and parmesan cheese to the egg made this recipe a real winner. For the inside of the omelet, I used diced ham, from my dinner starter recipe, green and red peppers, and onion. I think next time I will also include mushrooms. I left off the tomatoes and used additional red pepper instead. Thanks for sharing this recipe!</t>
        </is>
      </c>
    </row>
    <row r="5471">
      <c r="A5471" s="7" t="n">
        <v>95564</v>
      </c>
      <c r="B5471" s="7" t="n">
        <v>177024</v>
      </c>
      <c r="C5471" s="7" t="n">
        <v>1584983</v>
      </c>
      <c r="D5471" s="7" t="n">
        <v>216897</v>
      </c>
      <c r="E5471" s="8" t="n">
        <v>40690</v>
      </c>
      <c r="F5471" s="7" t="n">
        <v>5</v>
      </c>
      <c r="G5471" s="7" t="inlineStr">
        <is>
          <t>Loved it, it was so simple. When using the broiler, best to use a broiler pan.  I had to make a pan switch mid way, because the pan got too hot and warped, sending the fish to one corner.  I also had to substitute lemon rind with lemon juice.  I also dipped the fish (haddock) in the mayo blend, and sprinkled with bread crumbs.  It was great.</t>
        </is>
      </c>
    </row>
    <row r="5472">
      <c r="A5472" s="7" t="n">
        <v>93320</v>
      </c>
      <c r="B5472" s="7" t="n">
        <v>1096767</v>
      </c>
      <c r="C5472" s="7" t="n">
        <v>2001521062</v>
      </c>
      <c r="D5472" s="7" t="n">
        <v>515577</v>
      </c>
      <c r="E5472" s="8" t="n">
        <v>42859</v>
      </c>
      <c r="F5472" s="7" t="n">
        <v>0</v>
      </c>
      <c r="G5472" s="7" t="inlineStr">
        <is>
          <t>I want to make this but I don't want to store it in the fridge, can it we stored in a cool dark cabinet?</t>
        </is>
      </c>
    </row>
    <row r="5473">
      <c r="A5473" t="n">
        <v>78408</v>
      </c>
      <c r="B5473" t="n">
        <v>638793</v>
      </c>
      <c r="C5473" t="n">
        <v>326443</v>
      </c>
      <c r="D5473" t="n">
        <v>24301</v>
      </c>
      <c r="E5473" s="1" t="n">
        <v>38885</v>
      </c>
      <c r="F5473" t="n">
        <v>5</v>
      </c>
      <c r="G5473" t="inlineStr">
        <is>
          <t>I have been making this for a couple of years now! It is a wonderful all purpose seasoning &amp; rub. We don't use anything else for brisket! I like to spice mine up with homegrown mesquite smoked peppers!</t>
        </is>
      </c>
    </row>
    <row r="5474">
      <c r="A5474" s="7" t="n">
        <v>59726</v>
      </c>
      <c r="B5474" s="7" t="n">
        <v>848747</v>
      </c>
      <c r="C5474" s="7" t="n">
        <v>383346</v>
      </c>
      <c r="D5474" s="7" t="n">
        <v>342046</v>
      </c>
      <c r="E5474" s="8" t="n">
        <v>39928</v>
      </c>
      <c r="F5474" s="7" t="n">
        <v>5</v>
      </c>
      <c r="G5474" s="7" t="inlineStr">
        <is>
          <t>I doubled the recipe and added sliced mushrooms.  I omitted the italian seasoning and chili flakes.  This is very good.  Thanks Ingrid :)  Made for 123 hit wonders</t>
        </is>
      </c>
    </row>
    <row r="5475">
      <c r="A5475" s="7" t="n">
        <v>123641</v>
      </c>
      <c r="B5475" s="7" t="n">
        <v>433009</v>
      </c>
      <c r="C5475" s="7" t="n">
        <v>2708128</v>
      </c>
      <c r="D5475" s="7" t="n">
        <v>495275</v>
      </c>
      <c r="E5475" s="8" t="n">
        <v>41328</v>
      </c>
      <c r="F5475" s="7" t="n">
        <v>5</v>
      </c>
      <c r="G5475" s="7" t="inlineStr">
        <is>
          <t>How can you go wrong with these flavors? Absolutely amazing. Loved it!</t>
        </is>
      </c>
    </row>
    <row r="5476" ht="409.5" customHeight="1">
      <c r="A5476" s="7" t="n">
        <v>82421</v>
      </c>
      <c r="B5476" s="7" t="n">
        <v>1064668</v>
      </c>
      <c r="C5476" s="7" t="n">
        <v>212609</v>
      </c>
      <c r="D5476" s="7" t="n">
        <v>137873</v>
      </c>
      <c r="E5476" s="8" t="n">
        <v>39754</v>
      </c>
      <c r="F5476" s="7" t="n">
        <v>5</v>
      </c>
      <c r="G5476" s="9" t="inlineStr">
        <is>
          <t>Bangers 'n' mash  must be one of my ultimate comfort foods,and is always a huge favourite in my house with everybody.This was no exception.I was intrigued by the blanching of the bangers first,maybe not something that I would always do,depending on time restraints,but it certainly worked very effectively.The potatoes were soft and fluffy,although I had to skip the cream,as our waistlines just can't cope with it right now!!_x000D_
The onions were the star of the show,the garlic a perfect and flavoursome addition._x000D_
Not sure if its old fashioned Aussie tucker or a great British classic,but either way its food that warms the cockles of your heart.Thanks BlueMoon Downunder x</t>
        </is>
      </c>
    </row>
    <row r="5477" ht="409.5" customHeight="1">
      <c r="A5477" t="n">
        <v>44229</v>
      </c>
      <c r="B5477" t="n">
        <v>938125</v>
      </c>
      <c r="C5477" t="n">
        <v>320625</v>
      </c>
      <c r="D5477" t="n">
        <v>82102</v>
      </c>
      <c r="E5477" s="1" t="n">
        <v>39643</v>
      </c>
      <c r="F5477" t="n">
        <v>5</v>
      </c>
      <c r="G5477" s="2" t="inlineStr">
        <is>
          <t>Very good...I used non-fat cheeses and it still tasted great. Both of my kids aren't big meat eaters and this went over well. My DH only eats low-carb but he forgave me the breadcrumbs and announced it a success._x000D_
A new go-to recipe on busy nights since I keep all these ingredients on hand.</t>
        </is>
      </c>
    </row>
    <row r="5478">
      <c r="A5478" s="7" t="n">
        <v>8559</v>
      </c>
      <c r="B5478" s="7" t="n">
        <v>760468</v>
      </c>
      <c r="C5478" s="7" t="n">
        <v>107583</v>
      </c>
      <c r="D5478" s="7" t="n">
        <v>309754</v>
      </c>
      <c r="E5478" s="8" t="n">
        <v>39986</v>
      </c>
      <c r="F5478" s="7" t="n">
        <v>5</v>
      </c>
      <c r="G5478" s="7" t="inlineStr">
        <is>
          <t>These have a great texture and are not too sweet, with a subtle maple flavor.  I used fat-free, no sugar added vanilla yogurt and pecans instead of walnuts.  I like the added texture given by the whole-wheat flour.</t>
        </is>
      </c>
    </row>
    <row r="5479">
      <c r="A5479" s="7" t="n">
        <v>5089</v>
      </c>
      <c r="B5479" s="7" t="n">
        <v>462691</v>
      </c>
      <c r="C5479" s="7" t="n">
        <v>595381</v>
      </c>
      <c r="D5479" s="7" t="n">
        <v>142524</v>
      </c>
      <c r="E5479" s="8" t="n">
        <v>40583</v>
      </c>
      <c r="F5479" s="7" t="n">
        <v>5</v>
      </c>
      <c r="G5479" s="7" t="inlineStr">
        <is>
          <t>I just made this and my boys loved it my 13 month old even picked up his plate and licked it clean. I will use this recipe over and over again.</t>
        </is>
      </c>
    </row>
    <row r="5480" ht="285" customHeight="1">
      <c r="A5480" s="7" t="n">
        <v>76257</v>
      </c>
      <c r="B5480" s="7" t="n">
        <v>712297</v>
      </c>
      <c r="C5480" s="7" t="n">
        <v>38752</v>
      </c>
      <c r="D5480" s="7" t="n">
        <v>24976</v>
      </c>
      <c r="E5480" s="8" t="n">
        <v>37368</v>
      </c>
      <c r="F5480" s="7" t="n">
        <v>5</v>
      </c>
      <c r="G5480" s="9" t="inlineStr">
        <is>
          <t>My husband told me that this was the best meal that I had made in a very long time._x000D_
_x000D_
Even my kids enjoyed this meal.</t>
        </is>
      </c>
    </row>
    <row r="5481">
      <c r="A5481" s="7" t="n">
        <v>76335</v>
      </c>
      <c r="B5481" s="7" t="n">
        <v>275950</v>
      </c>
      <c r="C5481" s="7" t="n">
        <v>239808</v>
      </c>
      <c r="D5481" s="7" t="n">
        <v>174503</v>
      </c>
      <c r="E5481" s="8" t="n">
        <v>38901</v>
      </c>
      <c r="F5481" s="7" t="n">
        <v>5</v>
      </c>
      <c r="G5481" s="7" t="inlineStr">
        <is>
          <t>This was fabulous. I used Mexican chocolate in the recipe, which gave it a delicious, rich sweetness. MMMM</t>
        </is>
      </c>
    </row>
    <row r="5482">
      <c r="A5482" s="7" t="n">
        <v>68806</v>
      </c>
      <c r="B5482" s="7" t="n">
        <v>342029</v>
      </c>
      <c r="C5482" s="7" t="n">
        <v>556453</v>
      </c>
      <c r="D5482" s="7" t="n">
        <v>102026</v>
      </c>
      <c r="E5482" s="8" t="n">
        <v>39305</v>
      </c>
      <c r="F5482" s="7" t="n">
        <v>4</v>
      </c>
      <c r="G5482" s="7" t="inlineStr">
        <is>
          <t>I didn't have high hopes, but these cake-like cookies are tasty.  I like to make small batches of cookies, and this recipe halves nicely.  It was a great way to use up a small amount of leftover pumpkin, too.  The only adjustment I made was using vanilla rice milk.  I'll make these again!</t>
        </is>
      </c>
    </row>
    <row r="5483">
      <c r="A5483" s="7" t="n">
        <v>103495</v>
      </c>
      <c r="B5483" s="7" t="n">
        <v>710316</v>
      </c>
      <c r="C5483" s="7" t="n">
        <v>1803687160</v>
      </c>
      <c r="D5483" s="7" t="n">
        <v>28025</v>
      </c>
      <c r="E5483" s="8" t="n">
        <v>42025</v>
      </c>
      <c r="F5483" s="7" t="n">
        <v>5</v>
      </c>
      <c r="G5483" s="7" t="inlineStr">
        <is>
          <t>Family loved it. I used diced onion, dried parsley, oatmeal, and added onion powder, garlic powder, and old bay blackening seasoning.</t>
        </is>
      </c>
    </row>
    <row r="5484">
      <c r="A5484" s="7" t="n">
        <v>122566</v>
      </c>
      <c r="B5484" s="7" t="n">
        <v>111464</v>
      </c>
      <c r="C5484" s="7" t="n">
        <v>1179225</v>
      </c>
      <c r="D5484" s="7" t="n">
        <v>288624</v>
      </c>
      <c r="E5484" s="8" t="n">
        <v>40993</v>
      </c>
      <c r="F5484" s="7" t="n">
        <v>5</v>
      </c>
      <c r="G5484" s="7" t="inlineStr">
        <is>
          <t>YUM! Just what I was craving. Thanks for posting.</t>
        </is>
      </c>
    </row>
    <row r="5485" ht="375" customHeight="1">
      <c r="A5485" s="7" t="n">
        <v>29192</v>
      </c>
      <c r="B5485" s="7" t="n">
        <v>253338</v>
      </c>
      <c r="C5485" s="7" t="n">
        <v>35093</v>
      </c>
      <c r="D5485" s="7" t="n">
        <v>102617</v>
      </c>
      <c r="E5485" s="8" t="n">
        <v>40041</v>
      </c>
      <c r="F5485" s="7" t="n">
        <v>5</v>
      </c>
      <c r="G5485" s="9" t="inlineStr">
        <is>
          <t>This is the only slaw recipe that I will have from now one. I believe the oly change was that I grated me cabbage a little finer than I see in the pictures._x000D_
Thanks for posting.</t>
        </is>
      </c>
    </row>
    <row r="5486">
      <c r="A5486" s="7" t="n">
        <v>4001</v>
      </c>
      <c r="B5486" s="7" t="n">
        <v>632279</v>
      </c>
      <c r="C5486" s="7" t="n">
        <v>114027</v>
      </c>
      <c r="D5486" s="7" t="n">
        <v>205766</v>
      </c>
      <c r="E5486" s="8" t="n">
        <v>39765</v>
      </c>
      <c r="F5486" s="7" t="n">
        <v>5</v>
      </c>
      <c r="G5486" s="7" t="inlineStr">
        <is>
          <t>So good! I made mine lower fat too! I wasn't sure if it would work, but I used low fat milk instead of heavy cream. I'm sure it didn't turn out as rich and creamy, but the sauce still came together nicely. I  really like that you just dump everything into the same pot and a few minutes later you have pasta with pesto sauce. Great recipe!</t>
        </is>
      </c>
    </row>
    <row r="5487">
      <c r="A5487" s="7" t="n">
        <v>98207</v>
      </c>
      <c r="B5487" s="7" t="n">
        <v>604276</v>
      </c>
      <c r="C5487" s="7" t="n">
        <v>219865</v>
      </c>
      <c r="D5487" s="7" t="n">
        <v>91973</v>
      </c>
      <c r="E5487" s="8" t="n">
        <v>39915</v>
      </c>
      <c r="F5487" s="7" t="n">
        <v>4</v>
      </c>
      <c r="G5487" s="7" t="inlineStr">
        <is>
          <t>I really enjoyed this, made more of a sauce by adding some milk, but otherwise great, I did add some extra veggies I had on hand, mainly 1/2 an onion, half a zucchini and small red pepper.  My DH would have liked more meat and more sauce, but what does he know lol</t>
        </is>
      </c>
    </row>
    <row r="5488">
      <c r="A5488" s="7" t="n">
        <v>116497</v>
      </c>
      <c r="B5488" s="7" t="n">
        <v>54214</v>
      </c>
      <c r="C5488" s="7" t="n">
        <v>67656</v>
      </c>
      <c r="D5488" s="7" t="n">
        <v>78193</v>
      </c>
      <c r="E5488" s="8" t="n">
        <v>38291</v>
      </c>
      <c r="F5488" s="7" t="n">
        <v>5</v>
      </c>
      <c r="G5488" s="7" t="inlineStr">
        <is>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is>
      </c>
    </row>
    <row r="5489">
      <c r="A5489" s="7" t="n">
        <v>53002</v>
      </c>
      <c r="B5489" s="7" t="n">
        <v>638245</v>
      </c>
      <c r="C5489" s="7" t="n">
        <v>2310</v>
      </c>
      <c r="D5489" s="7" t="n">
        <v>143977</v>
      </c>
      <c r="E5489" s="8" t="n">
        <v>38937</v>
      </c>
      <c r="F5489" s="7" t="n">
        <v>5</v>
      </c>
      <c r="G5489" s="7" t="inlineStr">
        <is>
          <t>What a rich and delicious way to cook leeks! This dish was simple to make following the clear directions and looked just like the picture! When I make this again, perhaps even using sweet Walla Walla onions, I will try to cut down on the calories and fat by cutting the cheese in half, and by using olive oil instead of butter.  Parsley, this will be a great versatile recipe our family will enjoy over and over.</t>
        </is>
      </c>
    </row>
    <row r="5490">
      <c r="A5490" s="7" t="n">
        <v>121704</v>
      </c>
      <c r="B5490" s="7" t="n">
        <v>696937</v>
      </c>
      <c r="C5490" s="7" t="n">
        <v>26512</v>
      </c>
      <c r="D5490" s="7" t="n">
        <v>62012</v>
      </c>
      <c r="E5490" s="8" t="n">
        <v>38113</v>
      </c>
      <c r="F5490" s="7" t="n">
        <v>5</v>
      </c>
      <c r="G5490" s="7" t="inlineStr">
        <is>
          <t>This is a terrific chicken dish. I didn't use the Golden mushroom, I used Cream of Mushroom soup. I also couldn't find cream cheese with chives, so I added green onion. I served this over spaghetti noodles with a glass of Chardonnay and it was a big hit. Very easy to make, very flavorful. Thanks for sharing.</t>
        </is>
      </c>
    </row>
    <row r="5491">
      <c r="A5491" s="7" t="n">
        <v>5664</v>
      </c>
      <c r="B5491" s="7" t="n">
        <v>942512</v>
      </c>
      <c r="C5491" s="7" t="n">
        <v>45524</v>
      </c>
      <c r="D5491" s="7" t="n">
        <v>172583</v>
      </c>
      <c r="E5491" s="8" t="n">
        <v>39130</v>
      </c>
      <c r="F5491" s="7" t="n">
        <v>5</v>
      </c>
      <c r="G5491" s="7" t="inlineStr">
        <is>
          <t>I was looking for something a little different to do with mushrooms and I had bought a whole bag of red peppers, so this recipe was perfect! I used fresh garlic that I added in as the onions were just about cooked and I left out the red wine because I didn't have any. The lemon juice really added a nice flavour and the dish looked so colourful! Simple and deicious!</t>
        </is>
      </c>
    </row>
    <row r="5492">
      <c r="A5492" t="n">
        <v>114782</v>
      </c>
      <c r="B5492" t="n">
        <v>535353</v>
      </c>
      <c r="C5492" t="n">
        <v>37449</v>
      </c>
      <c r="D5492" t="n">
        <v>490623</v>
      </c>
      <c r="E5492" s="1" t="n">
        <v>41276</v>
      </c>
      <c r="F5492" t="n">
        <v>5</v>
      </c>
      <c r="G5492" t="inlineStr">
        <is>
          <t>This was a nice refreshing salad much enjoyed with the tahini dressing. I halved the recipe and ate it in one sitting. Thanks!</t>
        </is>
      </c>
    </row>
    <row r="5493">
      <c r="A5493" s="7" t="n">
        <v>116369</v>
      </c>
      <c r="B5493" s="7" t="n">
        <v>925088</v>
      </c>
      <c r="C5493" s="7" t="n">
        <v>72528</v>
      </c>
      <c r="D5493" s="7" t="n">
        <v>24297</v>
      </c>
      <c r="E5493" s="8" t="n">
        <v>39745</v>
      </c>
      <c r="F5493" s="7" t="n">
        <v>5</v>
      </c>
      <c r="G5493" s="7" t="inlineStr">
        <is>
          <t>This is an awesome recipe!! If I hadn't been as full as I was, I would have eaten another steak! I BBQ'd my steaks instead of broiling them but it worked out fine with your great suggestion to coat the grill with non-stick oil...I used Pam. I BBQ'd 4 minutes per side for medium rare. Two Thumbs up!</t>
        </is>
      </c>
    </row>
    <row r="5494">
      <c r="A5494" s="7" t="n">
        <v>62116</v>
      </c>
      <c r="B5494" s="7" t="n">
        <v>827587</v>
      </c>
      <c r="C5494" s="7" t="n">
        <v>1089842</v>
      </c>
      <c r="D5494" s="7" t="n">
        <v>216155</v>
      </c>
      <c r="E5494" s="8" t="n">
        <v>39804</v>
      </c>
      <c r="F5494" s="7" t="n">
        <v>5</v>
      </c>
      <c r="G5494" s="7" t="inlineStr">
        <is>
          <t>Absolutely failsafe, and delicious hot or cold.  I love love love this recipe.</t>
        </is>
      </c>
    </row>
    <row r="5495">
      <c r="A5495" s="7" t="n">
        <v>57919</v>
      </c>
      <c r="B5495" s="7" t="n">
        <v>168053</v>
      </c>
      <c r="C5495" s="7" t="n">
        <v>512461</v>
      </c>
      <c r="D5495" s="7" t="n">
        <v>32561</v>
      </c>
      <c r="E5495" s="8" t="n">
        <v>41419</v>
      </c>
      <c r="F5495" s="7" t="n">
        <v>4</v>
      </c>
      <c r="G5495" s="7" t="inlineStr">
        <is>
          <t>Very easy to make and loved that it was lower fat than some other recipes. Just too much molasses flavor for my personal taste.</t>
        </is>
      </c>
    </row>
    <row r="5496">
      <c r="A5496" s="7" t="n">
        <v>98604</v>
      </c>
      <c r="B5496" s="7" t="n">
        <v>952591</v>
      </c>
      <c r="C5496" s="7" t="n">
        <v>486725</v>
      </c>
      <c r="D5496" s="7" t="n">
        <v>151928</v>
      </c>
      <c r="E5496" s="8" t="n">
        <v>40650</v>
      </c>
      <c r="F5496" s="7" t="n">
        <v>4</v>
      </c>
      <c r="G5496" s="7" t="inlineStr">
        <is>
          <t>This made a nice lunch, with good flavors. I think most of the pictures were taken with cheeses other than parmesan. We grated fresh parmesan and didn't get any of the bubbling/melting - but they were still quite good. I had some leftover caramelized onions that I added to some of these, and that made them even yummier.</t>
        </is>
      </c>
    </row>
    <row r="5497">
      <c r="A5497" t="n">
        <v>121722</v>
      </c>
      <c r="B5497" t="n">
        <v>154902</v>
      </c>
      <c r="C5497" t="n">
        <v>4470</v>
      </c>
      <c r="D5497" t="n">
        <v>52851</v>
      </c>
      <c r="E5497" s="1" t="n">
        <v>39964</v>
      </c>
      <c r="F5497" t="n">
        <v>4</v>
      </c>
      <c r="G5497" t="inlineStr">
        <is>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is>
      </c>
    </row>
    <row r="5498" ht="375" customHeight="1">
      <c r="A5498" s="7" t="n">
        <v>54957</v>
      </c>
      <c r="B5498" s="7" t="n">
        <v>358649</v>
      </c>
      <c r="C5498" s="7" t="n">
        <v>399336</v>
      </c>
      <c r="D5498" s="7" t="n">
        <v>56899</v>
      </c>
      <c r="E5498" s="8" t="n">
        <v>39091</v>
      </c>
      <c r="F5498" s="7" t="n">
        <v>5</v>
      </c>
      <c r="G5498" s="9" t="inlineStr">
        <is>
          <t>Oh my goodness! These are wonderfully fresh and amazing! made is it was given - no changes!_x000D_
_x000D_
Kids, coworkers, hubby, all were highly impressed - thank you for posting!</t>
        </is>
      </c>
    </row>
    <row r="5499">
      <c r="A5499" s="7" t="n">
        <v>42255</v>
      </c>
      <c r="B5499" s="7" t="n">
        <v>518772</v>
      </c>
      <c r="C5499" s="7" t="n">
        <v>738763</v>
      </c>
      <c r="D5499" s="7" t="n">
        <v>54715</v>
      </c>
      <c r="E5499" s="8" t="n">
        <v>39681</v>
      </c>
      <c r="F5499" s="7" t="n">
        <v>5</v>
      </c>
      <c r="G5499" s="7" t="inlineStr">
        <is>
          <t>Made using thick chops.  They turned out tender and tasted excellent!  I loved the different ingredients used that made such a delicious glaze and sauce.  We served it over jasmine rice for one heck of a delicious meal!  Thanks for sharing!  Don</t>
        </is>
      </c>
    </row>
    <row r="5500">
      <c r="A5500" s="7" t="n">
        <v>5427</v>
      </c>
      <c r="B5500" s="7" t="n">
        <v>388945</v>
      </c>
      <c r="C5500" s="7" t="n">
        <v>39835</v>
      </c>
      <c r="D5500" s="7" t="n">
        <v>338734</v>
      </c>
      <c r="E5500" s="8" t="n">
        <v>40196</v>
      </c>
      <c r="F5500" s="7" t="n">
        <v>4</v>
      </c>
      <c r="G5500" s="7" t="inlineStr">
        <is>
          <t>We enjoyed this with tossed salad.Very good and easy to make! Thanks for sharing!</t>
        </is>
      </c>
    </row>
    <row r="5501" ht="375" customHeight="1">
      <c r="A5501" s="7" t="n">
        <v>83165</v>
      </c>
      <c r="B5501" s="7" t="n">
        <v>244844</v>
      </c>
      <c r="C5501" s="7" t="n">
        <v>43216</v>
      </c>
      <c r="D5501" s="7" t="n">
        <v>30867</v>
      </c>
      <c r="E5501" s="8" t="n">
        <v>39391</v>
      </c>
      <c r="F5501" s="7" t="n">
        <v>5</v>
      </c>
      <c r="G5501" s="9" t="inlineStr">
        <is>
          <t>I love it when I see recipes that do NOT call for the oh so famous loaded with MSG can soup._x000D_
_x000D_
Thanks for posting this wonderful recipe it is a keeper for sure._x000D_
_x000D_
Ri</t>
        </is>
      </c>
    </row>
    <row r="5502">
      <c r="A5502" s="7" t="n">
        <v>106713</v>
      </c>
      <c r="B5502" s="7" t="n">
        <v>101882</v>
      </c>
      <c r="C5502" s="7" t="n">
        <v>383346</v>
      </c>
      <c r="D5502" s="7" t="n">
        <v>66</v>
      </c>
      <c r="E5502" s="8" t="n">
        <v>40368</v>
      </c>
      <c r="F5502" s="7" t="n">
        <v>5</v>
      </c>
      <c r="G5502" s="7" t="inlineStr">
        <is>
          <t>This is great.  I made fresh espresso and did half the recipe.  I used red onion and omitted the garlic.  I didn't have hot dry mustard so used plain dry mustard.  I used it on chicken breasts.  But I have enough leftover to try on something else.  Thanks Queen Dragon Mom :)  Made for When it's hot event</t>
        </is>
      </c>
    </row>
    <row r="5503">
      <c r="A5503" s="7" t="n">
        <v>10229</v>
      </c>
      <c r="B5503" s="7" t="n">
        <v>65483</v>
      </c>
      <c r="C5503" s="7" t="n">
        <v>230319</v>
      </c>
      <c r="D5503" s="7" t="n">
        <v>270437</v>
      </c>
      <c r="E5503" s="8" t="n">
        <v>39907</v>
      </c>
      <c r="F5503" s="7" t="n">
        <v>5</v>
      </c>
      <c r="G5503" s="7" t="inlineStr">
        <is>
          <t>Close enough to my mom's to give it 5 stars!  Brings back memories.  Very tasty thanks!</t>
        </is>
      </c>
    </row>
    <row r="5504">
      <c r="A5504" s="7" t="n">
        <v>49897</v>
      </c>
      <c r="B5504" s="7" t="n">
        <v>310615</v>
      </c>
      <c r="C5504" s="7" t="n">
        <v>69838</v>
      </c>
      <c r="D5504" s="7" t="n">
        <v>27293</v>
      </c>
      <c r="E5504" s="8" t="n">
        <v>37693</v>
      </c>
      <c r="F5504" s="7" t="n">
        <v>3</v>
      </c>
      <c r="G5504" s="7" t="inlineStr">
        <is>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is>
      </c>
    </row>
    <row r="5505">
      <c r="A5505" s="7" t="n">
        <v>17512</v>
      </c>
      <c r="B5505" s="7" t="n">
        <v>308147</v>
      </c>
      <c r="C5505" s="7" t="n">
        <v>1249676</v>
      </c>
      <c r="D5505" s="7" t="n">
        <v>3258</v>
      </c>
      <c r="E5505" s="8" t="n">
        <v>40287</v>
      </c>
      <c r="F5505" s="7" t="n">
        <v>5</v>
      </c>
      <c r="G5505" s="7" t="inlineStr">
        <is>
          <t>Like everyone else said, this was so super easy it's insane!  And it tastes just fabulous.  I think I'm going to say goodbye to any more storebought ;-)  Why not, when this is just as easy, tastes even better, and doesn't have all those nasty preservatives in it?</t>
        </is>
      </c>
    </row>
    <row r="5506">
      <c r="A5506" s="7" t="n">
        <v>99542</v>
      </c>
      <c r="B5506" s="7" t="n">
        <v>296117</v>
      </c>
      <c r="C5506" s="7" t="n">
        <v>1803565244</v>
      </c>
      <c r="D5506" s="7" t="n">
        <v>46922</v>
      </c>
      <c r="E5506" s="8" t="n">
        <v>41999</v>
      </c>
      <c r="F5506" s="7" t="n">
        <v>5</v>
      </c>
      <c r="G5506" s="7" t="inlineStr">
        <is>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is>
      </c>
    </row>
    <row r="5507">
      <c r="A5507" s="7" t="n">
        <v>113518</v>
      </c>
      <c r="B5507" s="7" t="n">
        <v>747024</v>
      </c>
      <c r="C5507" s="7" t="n">
        <v>129201</v>
      </c>
      <c r="D5507" s="7" t="n">
        <v>176150</v>
      </c>
      <c r="E5507" s="8" t="n">
        <v>38913</v>
      </c>
      <c r="F5507" s="7" t="n">
        <v>5</v>
      </c>
      <c r="G5507" s="7" t="inlineStr">
        <is>
          <t>Yum - this was fabulous. A little bit vinegary and a bit yummy onion and garlicky.....great flavours and I'll be sure to make this one again.!!</t>
        </is>
      </c>
    </row>
    <row r="5508">
      <c r="A5508" s="7" t="n">
        <v>62988</v>
      </c>
      <c r="B5508" s="7" t="n">
        <v>1119772</v>
      </c>
      <c r="C5508" s="7" t="n">
        <v>1462970</v>
      </c>
      <c r="D5508" s="7" t="n">
        <v>267348</v>
      </c>
      <c r="E5508" s="8" t="n">
        <v>40369</v>
      </c>
      <c r="F5508" s="7" t="n">
        <v>5</v>
      </c>
      <c r="G5508" s="7" t="inlineStr">
        <is>
          <t>I have made this twice and absolutely LOVE it!  It tastes best with a homemade crust.  I also added sauted onions (diced) for some additional flavor.</t>
        </is>
      </c>
    </row>
    <row r="5509">
      <c r="A5509" s="7" t="n">
        <v>72777</v>
      </c>
      <c r="B5509" s="7" t="n">
        <v>1014108</v>
      </c>
      <c r="C5509" s="7" t="n">
        <v>157425</v>
      </c>
      <c r="D5509" s="7" t="n">
        <v>317026</v>
      </c>
      <c r="E5509" s="8" t="n">
        <v>40336</v>
      </c>
      <c r="F5509" s="7" t="n">
        <v>5</v>
      </c>
      <c r="G5509" s="7" t="inlineStr">
        <is>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is>
      </c>
    </row>
    <row r="5510">
      <c r="A5510" s="7" t="n">
        <v>1903</v>
      </c>
      <c r="B5510" s="7" t="n">
        <v>505845</v>
      </c>
      <c r="C5510" s="7" t="n">
        <v>2815640</v>
      </c>
      <c r="D5510" s="7" t="n">
        <v>513963</v>
      </c>
      <c r="E5510" s="8" t="n">
        <v>41702</v>
      </c>
      <c r="F5510" s="7" t="n">
        <v>5</v>
      </c>
      <c r="G5510" s="7" t="inlineStr">
        <is>
          <t>Wow! My dad is a huge key lime pie guy and makes them often. But who has all that time? This is my go-to when I&amp;#039;m craving that refreshingly sweet bite but don&amp;#039;t want to put in all the effort. Well done, Mandy!</t>
        </is>
      </c>
    </row>
    <row r="5511">
      <c r="A5511" s="7" t="n">
        <v>105663</v>
      </c>
      <c r="B5511" s="7" t="n">
        <v>657194</v>
      </c>
      <c r="C5511" s="7" t="n">
        <v>914002</v>
      </c>
      <c r="D5511" s="7" t="n">
        <v>27208</v>
      </c>
      <c r="E5511" s="8" t="n">
        <v>40597</v>
      </c>
      <c r="F5511" s="7" t="n">
        <v>5</v>
      </c>
      <c r="G5511" s="7" t="inlineStr">
        <is>
          <t>A great recipe &amp; perfect for when you work all day and have guests coming over in the evening! They will think you slaved in the kitchen all day! 5stars* for taste. 10stars* for simplicity!</t>
        </is>
      </c>
    </row>
    <row r="5512">
      <c r="A5512" s="7" t="n">
        <v>85265</v>
      </c>
      <c r="B5512" s="7" t="n">
        <v>95403</v>
      </c>
      <c r="C5512" s="7" t="n">
        <v>193701</v>
      </c>
      <c r="D5512" s="7" t="n">
        <v>85452</v>
      </c>
      <c r="E5512" s="8" t="n">
        <v>38691</v>
      </c>
      <c r="F5512" s="7" t="n">
        <v>4</v>
      </c>
      <c r="G5512" s="7" t="inlineStr">
        <is>
          <t>We cooked our 5.5 pound pork roast for about 9 hours, and it came out very tender- it was so easy to pull the meat apart with a fork. For leftovers, I plan on making pork sandwiches with BBQ sauce.</t>
        </is>
      </c>
    </row>
    <row r="5513">
      <c r="A5513" s="7" t="n">
        <v>68649</v>
      </c>
      <c r="B5513" s="7" t="n">
        <v>974614</v>
      </c>
      <c r="C5513" s="7" t="n">
        <v>819070</v>
      </c>
      <c r="D5513" s="7" t="n">
        <v>53831</v>
      </c>
      <c r="E5513" s="8" t="n">
        <v>40609</v>
      </c>
      <c r="F5513" s="7" t="n">
        <v>5</v>
      </c>
      <c r="G5513" s="7" t="inlineStr">
        <is>
          <t>I have been using this recipe for over 2 years. We completely love it, even my five year old! My hubby's only complaint is that there is never enough!! He honestly asked for a personal pan to be made for his b-day(I didn't)! The only substitute I make is that I use 2% milk instead of evaporated milk, only because it is readily available. I have made it both ways and the substitution makes no difference. I also tend to double the sauce. Simple and tasty recipe. Number 1 in my book.</t>
        </is>
      </c>
    </row>
    <row r="5514">
      <c r="A5514" s="7" t="n">
        <v>11074</v>
      </c>
      <c r="B5514" s="7" t="n">
        <v>140691</v>
      </c>
      <c r="C5514" s="7" t="n">
        <v>954556</v>
      </c>
      <c r="D5514" s="7" t="n">
        <v>136451</v>
      </c>
      <c r="E5514" s="8" t="n">
        <v>40219</v>
      </c>
      <c r="F5514" s="7" t="n">
        <v>5</v>
      </c>
      <c r="G5514" s="7" t="inlineStr">
        <is>
          <t>Well worth the work.  The cookies are just great!  If you love Almond Joy candy bars you will love these cookies too!</t>
        </is>
      </c>
    </row>
    <row r="5515">
      <c r="A5515" s="7" t="n">
        <v>61247</v>
      </c>
      <c r="B5515" s="7" t="n">
        <v>458455</v>
      </c>
      <c r="C5515" s="7" t="n">
        <v>131126</v>
      </c>
      <c r="D5515" s="7" t="n">
        <v>145500</v>
      </c>
      <c r="E5515" s="8" t="n">
        <v>38861</v>
      </c>
      <c r="F5515" s="7" t="n">
        <v>4</v>
      </c>
      <c r="G5515" s="7" t="inlineStr">
        <is>
          <t xml:space="preserve">I wasn't as crazy about this salad as I have been other salads of yours I have tried. I reduced the amounts to make a smaller batch, but don't think that impacted anything. I did leave the amount of parmesan cheese the same &amp; added black pepper and diced celery. I think I would add red peppers or grated carrots to add more color next time if I carry this salad to a potluck. I found the flavor a bit bland, but I am addicted to spicy &amp; robust, so it might just be me.  DH thought the flavor was fine. Thank you Gerry for sharing your recipe with me!  </t>
        </is>
      </c>
    </row>
    <row r="5516">
      <c r="A5516" s="7" t="n">
        <v>15951</v>
      </c>
      <c r="B5516" s="7" t="n">
        <v>853737</v>
      </c>
      <c r="C5516" s="7" t="n">
        <v>1203080</v>
      </c>
      <c r="D5516" s="7" t="n">
        <v>152251</v>
      </c>
      <c r="E5516" s="8" t="n">
        <v>39931</v>
      </c>
      <c r="F5516" s="7" t="n">
        <v>3</v>
      </c>
      <c r="G5516" s="7" t="inlineStr">
        <is>
          <t>The flavor combination of this recipe is good, but it not only uses too much oil: Toasted dark sesame oil should NEVER be used in stir-frying because at high temperatures it breaks down and oxidates, creating dangerous free radicals. The healthiest way to prepare this recipe is to steam the snow peas (or just put them in a colander and pour boiling water over them), and season with sesame oil and garlic to taste. If you don't like fresh garlic, or don't want to steam, stir-fry in canola or even better- coconut oil (the former has a higher smoke point, the latter never breaks down), and add a few drops of  sesame oil at the end for flavor.</t>
        </is>
      </c>
    </row>
    <row r="5517">
      <c r="A5517" s="7" t="n">
        <v>36206</v>
      </c>
      <c r="B5517" s="7" t="n">
        <v>281316</v>
      </c>
      <c r="C5517" s="7" t="n">
        <v>37449</v>
      </c>
      <c r="D5517" s="7" t="n">
        <v>94434</v>
      </c>
      <c r="E5517" s="8" t="n">
        <v>38609</v>
      </c>
      <c r="F5517" s="7" t="n">
        <v>5</v>
      </c>
      <c r="G5517" s="7" t="inlineStr">
        <is>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is>
      </c>
    </row>
    <row r="5518" ht="409.5" customHeight="1">
      <c r="A5518" s="7" t="n">
        <v>86072</v>
      </c>
      <c r="B5518" s="7" t="n">
        <v>472610</v>
      </c>
      <c r="C5518" s="7" t="n">
        <v>236248</v>
      </c>
      <c r="D5518" s="7" t="n">
        <v>108364</v>
      </c>
      <c r="E5518" s="8" t="n">
        <v>39777</v>
      </c>
      <c r="F5518" s="7" t="n">
        <v>5</v>
      </c>
      <c r="G5518" s="9" t="inlineStr">
        <is>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is>
      </c>
    </row>
    <row r="5519">
      <c r="A5519" t="n">
        <v>119624</v>
      </c>
      <c r="B5519" t="n">
        <v>344867</v>
      </c>
      <c r="C5519" t="n">
        <v>185446</v>
      </c>
      <c r="D5519" t="n">
        <v>75061</v>
      </c>
      <c r="E5519" s="1" t="n">
        <v>40304</v>
      </c>
      <c r="F5519" t="n">
        <v>5</v>
      </c>
      <c r="G5519" t="inlineStr">
        <is>
          <t>What an easy recipe--just a few standard ingredients and a bread machine yield an excellent loaf of bread.  No wonder there are so many positive comments.  What's not to like?  Followed to the T with great end results--thanks for sharing, Marie.</t>
        </is>
      </c>
    </row>
    <row r="5520">
      <c r="A5520" s="7" t="n">
        <v>82242</v>
      </c>
      <c r="B5520" s="7" t="n">
        <v>375893</v>
      </c>
      <c r="C5520" s="7" t="n">
        <v>1179225</v>
      </c>
      <c r="D5520" s="7" t="n">
        <v>156454</v>
      </c>
      <c r="E5520" s="8" t="n">
        <v>41975</v>
      </c>
      <c r="F5520" s="7" t="n">
        <v>5</v>
      </c>
      <c r="G5520" s="7" t="inlineStr">
        <is>
          <t>Scrumptious!</t>
        </is>
      </c>
    </row>
    <row r="5521" ht="375" customHeight="1">
      <c r="A5521" s="7" t="n">
        <v>65697</v>
      </c>
      <c r="B5521" s="7" t="n">
        <v>136660</v>
      </c>
      <c r="C5521" s="7" t="n">
        <v>92641</v>
      </c>
      <c r="D5521" s="7" t="n">
        <v>44888</v>
      </c>
      <c r="E5521" s="8" t="n">
        <v>39311</v>
      </c>
      <c r="F5521" s="7" t="n">
        <v>5</v>
      </c>
      <c r="G5521" s="9" t="inlineStr">
        <is>
          <t>This recipe is SO delicious and really easy to make.  The wings were such a hit - I'm making them again this weekend.  Kids love em too ~ _x000D_
Thank you for sharing!  :)</t>
        </is>
      </c>
    </row>
    <row r="5522">
      <c r="A5522" s="7" t="n">
        <v>66029</v>
      </c>
      <c r="B5522" s="7" t="n">
        <v>980881</v>
      </c>
      <c r="C5522" s="7" t="n">
        <v>33159</v>
      </c>
      <c r="D5522" s="7" t="n">
        <v>121038</v>
      </c>
      <c r="E5522" s="8" t="n">
        <v>38712</v>
      </c>
      <c r="F5522" s="7" t="n">
        <v>5</v>
      </c>
      <c r="G5522" s="7" t="inlineStr">
        <is>
          <t>Great, easy recipe!  I made these potatoes for Christmas morning breakfast so cut into small chunks instead of large ones.  Knowing that my family would devour them, I made a double recipe &amp; every last potato was eaten!</t>
        </is>
      </c>
    </row>
    <row r="5523">
      <c r="A5523" t="n">
        <v>102420</v>
      </c>
      <c r="B5523" t="n">
        <v>667760</v>
      </c>
      <c r="C5523" t="n">
        <v>1049724</v>
      </c>
      <c r="D5523" t="n">
        <v>916</v>
      </c>
      <c r="E5523" s="1" t="n">
        <v>40252</v>
      </c>
      <c r="F5523" t="n">
        <v>4</v>
      </c>
      <c r="G5523" t="inlineStr">
        <is>
          <t>I made this for Hanukkah, with great results. Poured batter into 2 small sandwich bags and before frying, cut a corner (not over the pan, because you don't want the piece of plastic falling into the hot oil). It was a little messy, but I have no funnel or spare ketchup bottle. Sandwich bags are dispensable and convenient. That said, kids loved it - it served way more than 6. There were about 8 of us, including about 4 children with hearty appetites. I was inspired to make this after having Burger King's funnel cake - sadly though, BK's funnel cake was sweeter. It was fun to make, but better left as something done annually.</t>
        </is>
      </c>
    </row>
    <row r="5524">
      <c r="A5524" s="7" t="n">
        <v>123273</v>
      </c>
      <c r="B5524" s="7" t="n">
        <v>1090653</v>
      </c>
      <c r="C5524" s="7" t="n">
        <v>34206</v>
      </c>
      <c r="D5524" s="7" t="n">
        <v>22104</v>
      </c>
      <c r="E5524" s="8" t="n">
        <v>37327</v>
      </c>
      <c r="F5524" s="7" t="n">
        <v>5</v>
      </c>
      <c r="G5524" s="7" t="inlineStr">
        <is>
          <t>Oh yeah.  This is good.</t>
        </is>
      </c>
    </row>
    <row r="5525">
      <c r="A5525" s="7" t="n">
        <v>3313</v>
      </c>
      <c r="B5525" s="7" t="n">
        <v>584566</v>
      </c>
      <c r="C5525" s="7" t="n">
        <v>736554</v>
      </c>
      <c r="D5525" s="7" t="n">
        <v>340996</v>
      </c>
      <c r="E5525" s="8" t="n">
        <v>40237</v>
      </c>
      <c r="F5525" s="7" t="n">
        <v>5</v>
      </c>
      <c r="G5525" s="7" t="inlineStr">
        <is>
          <t>How easy is this?  My kind of recipe:) We enjoyed these rolls.  I didn't read the reviews and I thought, oh no, with the first rise but after the second rise they turned out wonderful.  Made for the Best 2009 Cookbook Swap.</t>
        </is>
      </c>
    </row>
    <row r="5526">
      <c r="A5526" s="7" t="n">
        <v>97298</v>
      </c>
      <c r="B5526" s="7" t="n">
        <v>873764</v>
      </c>
      <c r="C5526" s="7" t="n">
        <v>37449</v>
      </c>
      <c r="D5526" s="7" t="n">
        <v>126799</v>
      </c>
      <c r="E5526" s="8" t="n">
        <v>38621</v>
      </c>
      <c r="F5526" s="7" t="n">
        <v>5</v>
      </c>
      <c r="G5526" s="7" t="inlineStr">
        <is>
          <t>Yum! I love this stuff! I used rice vinegar. Thanks for a great dish!</t>
        </is>
      </c>
    </row>
    <row r="5527">
      <c r="A5527" s="7" t="n">
        <v>3573</v>
      </c>
      <c r="B5527" s="7" t="n">
        <v>616233</v>
      </c>
      <c r="C5527" s="7" t="n">
        <v>465080</v>
      </c>
      <c r="D5527" s="7" t="n">
        <v>2814</v>
      </c>
      <c r="E5527" s="8" t="n">
        <v>40291</v>
      </c>
      <c r="F5527" s="7" t="n">
        <v>5</v>
      </c>
      <c r="G5527" s="7" t="inlineStr">
        <is>
          <t>Didn't like the sound of the fennel at all, but included it anyway.  Wow, am I glad that I did!  This really came out very good.  I might have gone a little cheese crazy, but it was very yummy.  It was very good and very thick, going perfectly with the home made garlic bread.  Great idea; thank you for posting!</t>
        </is>
      </c>
    </row>
    <row r="5528">
      <c r="A5528" s="7" t="n">
        <v>55496</v>
      </c>
      <c r="B5528" s="7" t="n">
        <v>209681</v>
      </c>
      <c r="C5528" s="7" t="n">
        <v>215406</v>
      </c>
      <c r="D5528" s="7" t="n">
        <v>18058</v>
      </c>
      <c r="E5528" s="8" t="n">
        <v>39882</v>
      </c>
      <c r="F5528" s="7" t="n">
        <v>5</v>
      </c>
      <c r="G5528" s="7" t="inlineStr">
        <is>
          <t>This is wonderful. The pork is juicy and tender. Even my stepdaughter who does not like mushrooms, LOVES this. Thanks</t>
        </is>
      </c>
    </row>
    <row r="5529">
      <c r="A5529" s="7" t="n">
        <v>19145</v>
      </c>
      <c r="B5529" s="7" t="n">
        <v>688394</v>
      </c>
      <c r="C5529" s="7" t="n">
        <v>227978</v>
      </c>
      <c r="D5529" s="7" t="n">
        <v>93520</v>
      </c>
      <c r="E5529" s="8" t="n">
        <v>39834</v>
      </c>
      <c r="F5529" s="7" t="n">
        <v>5</v>
      </c>
      <c r="G5529" s="7" t="inlineStr">
        <is>
          <t>This was a wonderful salad.  I really love Chinese Chicken Salad, and this version offered such a wonderful combination of flavors and textures.  It was really worth the effort.  I don't normally like cilantro, but it worked quite well in this recipe.  I made this salad for the "And the Secret Ingredient Is...." tag game.</t>
        </is>
      </c>
    </row>
    <row r="5530">
      <c r="A5530" s="7" t="n">
        <v>56990</v>
      </c>
      <c r="B5530" s="7" t="n">
        <v>1123769</v>
      </c>
      <c r="C5530" s="7" t="n">
        <v>817200</v>
      </c>
      <c r="D5530" s="7" t="n">
        <v>57679</v>
      </c>
      <c r="E5530" s="8" t="n">
        <v>40247</v>
      </c>
      <c r="F5530" s="7" t="n">
        <v>5</v>
      </c>
      <c r="G5530" s="7" t="inlineStr">
        <is>
          <t>If you are looking for an amazing key lime pie recipe- this is it!!! So easy and delicious! You will make it over and over again!</t>
        </is>
      </c>
    </row>
    <row r="5531" ht="300" customHeight="1">
      <c r="A5531" s="7" t="n">
        <v>63610</v>
      </c>
      <c r="B5531" s="7" t="n">
        <v>91331</v>
      </c>
      <c r="C5531" s="7" t="n">
        <v>64642</v>
      </c>
      <c r="D5531" s="7" t="n">
        <v>148296</v>
      </c>
      <c r="E5531" s="8" t="n">
        <v>38984</v>
      </c>
      <c r="F5531" s="7" t="n">
        <v>0</v>
      </c>
      <c r="G5531" s="9" t="inlineStr">
        <is>
          <t xml:space="preserve">A delicious dessert from the New England chapter of the United States Regional Cookbook, Culinary Arts Institute of Chicago, 1947._x000D_
</t>
        </is>
      </c>
    </row>
    <row r="5532">
      <c r="A5532" t="n">
        <v>15525</v>
      </c>
      <c r="B5532" t="n">
        <v>937878</v>
      </c>
      <c r="C5532" t="n">
        <v>230557</v>
      </c>
      <c r="D5532" t="n">
        <v>82102</v>
      </c>
      <c r="E5532" s="1" t="n">
        <v>38903</v>
      </c>
      <c r="F5532" t="n">
        <v>4</v>
      </c>
      <c r="G5532" t="inlineStr">
        <is>
          <t>Good garlic flavor but I had quite a bit of trouble getting the coating to stay on the chicken.  Thanks!</t>
        </is>
      </c>
    </row>
    <row r="5533">
      <c r="A5533" s="7" t="n">
        <v>47085</v>
      </c>
      <c r="B5533" s="7" t="n">
        <v>155145</v>
      </c>
      <c r="C5533" s="7" t="n">
        <v>242567</v>
      </c>
      <c r="D5533" s="7" t="n">
        <v>86962</v>
      </c>
      <c r="E5533" s="8" t="n">
        <v>39999</v>
      </c>
      <c r="F5533" s="7" t="n">
        <v>5</v>
      </c>
      <c r="G5533" s="7" t="inlineStr">
        <is>
          <t>Oh wow, these were SOOOOOOO good.  They were good like a bowl of oatmeal with dried fruit and nuts.  I used whole wheat pastry flour and brummel and brown instead of butter and they turned out great.  My new favorite muffins!</t>
        </is>
      </c>
    </row>
    <row r="5534">
      <c r="A5534" s="7" t="n">
        <v>125844</v>
      </c>
      <c r="B5534" s="7" t="n">
        <v>599574</v>
      </c>
      <c r="C5534" s="7" t="n">
        <v>286479</v>
      </c>
      <c r="D5534" s="7" t="n">
        <v>115330</v>
      </c>
      <c r="E5534" s="8" t="n">
        <v>38739</v>
      </c>
      <c r="F5534" s="7" t="n">
        <v>5</v>
      </c>
      <c r="G5534" s="7" t="inlineStr">
        <is>
          <t>awesome...i grew up with this...i cook it for my son...6 yrs old and loves it...</t>
        </is>
      </c>
    </row>
    <row r="5535" ht="409.5" customHeight="1">
      <c r="A5535" s="7" t="n">
        <v>9062</v>
      </c>
      <c r="B5535" s="7" t="n">
        <v>84737</v>
      </c>
      <c r="C5535" s="7" t="n">
        <v>22655</v>
      </c>
      <c r="D5535" s="7" t="n">
        <v>32548</v>
      </c>
      <c r="E5535" s="8" t="n">
        <v>37844</v>
      </c>
      <c r="F5535" s="7" t="n">
        <v>5</v>
      </c>
      <c r="G5535" s="9" t="inlineStr">
        <is>
          <t>Okay, this is the best lasagna I have ever pulled off! I skipped the sausage and used all ground beef, added a little chopped onion and more spices-EXCELLENT! I personally think the fresh parsley added so much. This is one for the recipe books. In fact, I am going to make two pans for company this weekend. Oh-I did use the no-boil noodles-perfect. Leftovers tonight!_x000D_
Thanks!</t>
        </is>
      </c>
    </row>
    <row r="5536">
      <c r="A5536" s="7" t="n">
        <v>23861</v>
      </c>
      <c r="B5536" s="7" t="n">
        <v>414607</v>
      </c>
      <c r="C5536" s="7" t="n">
        <v>748577</v>
      </c>
      <c r="D5536" s="7" t="n">
        <v>241288</v>
      </c>
      <c r="E5536" s="8" t="n">
        <v>39505</v>
      </c>
      <c r="F5536" s="7" t="n">
        <v>5</v>
      </c>
      <c r="G5536" s="7" t="inlineStr">
        <is>
          <t>This is so good.  It tastes amazing and I cook it at least once a week.  I use on serving over chicken and the other over vegetables.  YUMMY!</t>
        </is>
      </c>
    </row>
    <row r="5537">
      <c r="A5537" s="7" t="n">
        <v>107331</v>
      </c>
      <c r="B5537" s="7" t="n">
        <v>147560</v>
      </c>
      <c r="C5537" s="7" t="n">
        <v>254950</v>
      </c>
      <c r="D5537" s="7" t="n">
        <v>78700</v>
      </c>
      <c r="E5537" s="8" t="n">
        <v>40165</v>
      </c>
      <c r="F5537" s="7" t="n">
        <v>4</v>
      </c>
      <c r="G5537" s="7" t="inlineStr">
        <is>
          <t>I regularly volunteer for the Molly Brown House in Denver and bake pastries for the afternoon teas.  These biscotti are perfect dipped in a cup of tea.  I used fresh grated ginger instead of ground to up the ginger spice a little.  Because the dough is sticky, I put the mixing bowl of dough in the fridge for about half an hour before trying to handle it.  I shaped four smaller logs by hand (and I kept wetting my hands to keep them from sticking) to make mini-biscotti which when sliced diagonally were about four inches long.  These are very pretty and tasty accompaniments to coffee and tea!</t>
        </is>
      </c>
    </row>
    <row r="5538">
      <c r="A5538" s="7" t="n">
        <v>87786</v>
      </c>
      <c r="B5538" s="7" t="n">
        <v>736624</v>
      </c>
      <c r="C5538" s="7" t="n">
        <v>686329</v>
      </c>
      <c r="D5538" s="7" t="n">
        <v>99918</v>
      </c>
      <c r="E5538" s="8" t="n">
        <v>39696</v>
      </c>
      <c r="F5538" s="7" t="n">
        <v>5</v>
      </c>
      <c r="G5538" s="7" t="inlineStr">
        <is>
          <t>Wonderful!  I tweaked it somewhat....used more vegies, used rice malt syrup as our vegan son doesn't eat honey, and added some red pepper flakes since I didn't have any chili-garlic sauce.  Everyone loved it.  Thanks very much.</t>
        </is>
      </c>
    </row>
    <row r="5539">
      <c r="A5539" s="7" t="n">
        <v>241</v>
      </c>
      <c r="B5539" s="7" t="n">
        <v>1086638</v>
      </c>
      <c r="C5539" s="7" t="n">
        <v>2000436663</v>
      </c>
      <c r="D5539" s="7" t="n">
        <v>223864</v>
      </c>
      <c r="E5539" s="8" t="n">
        <v>43108</v>
      </c>
      <c r="F5539" s="7" t="n">
        <v>5</v>
      </c>
      <c r="G5539" s="7" t="inlineStr">
        <is>
          <t>Ours turned out delicious. In fact, my husband didn't know it was oven fried until I told him, but still agreed that he liked it more than the pan friend chicken I made last week.</t>
        </is>
      </c>
    </row>
    <row r="5540">
      <c r="A5540" s="7" t="n">
        <v>116033</v>
      </c>
      <c r="B5540" s="7" t="n">
        <v>664310</v>
      </c>
      <c r="C5540" s="7" t="n">
        <v>64583</v>
      </c>
      <c r="D5540" s="7" t="n">
        <v>19383</v>
      </c>
      <c r="E5540" s="8" t="n">
        <v>37679</v>
      </c>
      <c r="F5540" s="7" t="n">
        <v>5</v>
      </c>
      <c r="G5540" s="7" t="inlineStr">
        <is>
          <t xml:space="preserve">This was really good!  My kids just love chicken and stuffing and they really liked having it inside big "seashells"!  </t>
        </is>
      </c>
    </row>
    <row r="5541">
      <c r="A5541" s="7" t="n">
        <v>15433</v>
      </c>
      <c r="B5541" s="7" t="n">
        <v>804260</v>
      </c>
      <c r="C5541" s="7" t="n">
        <v>39394</v>
      </c>
      <c r="D5541" s="7" t="n">
        <v>246497</v>
      </c>
      <c r="E5541" s="8" t="n">
        <v>40927</v>
      </c>
      <c r="F5541" s="7" t="n">
        <v>4</v>
      </c>
      <c r="G5541" s="7" t="inlineStr">
        <is>
          <t>Very nice soup with the benefit of a very limited ingredient list.  I added two cloves of garlic to the soup and would definately make it again.   Thank you  J. Ko!</t>
        </is>
      </c>
    </row>
    <row r="5542">
      <c r="A5542" s="7" t="n">
        <v>64028</v>
      </c>
      <c r="B5542" s="7" t="n">
        <v>104281</v>
      </c>
      <c r="C5542" s="7" t="n">
        <v>1478815</v>
      </c>
      <c r="D5542" s="7" t="n">
        <v>97469</v>
      </c>
      <c r="E5542" s="8" t="n">
        <v>40158</v>
      </c>
      <c r="F5542" s="7" t="n">
        <v>5</v>
      </c>
      <c r="G5542" s="7" t="inlineStr">
        <is>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is>
      </c>
    </row>
    <row r="5543">
      <c r="A5543" s="7" t="n">
        <v>59173</v>
      </c>
      <c r="B5543" s="7" t="n">
        <v>128072</v>
      </c>
      <c r="C5543" s="7" t="n">
        <v>482933</v>
      </c>
      <c r="D5543" s="7" t="n">
        <v>127504</v>
      </c>
      <c r="E5543" s="8" t="n">
        <v>39961</v>
      </c>
      <c r="F5543" s="7" t="n">
        <v>5</v>
      </c>
      <c r="G5543" s="7" t="inlineStr">
        <is>
          <t>Excellent and well written! Although this recipe is NOT part of ZWT5 I needed some beef stock to make Recipe#268870 and so glad I found this. I did add an extra carrot only b/c I had just 1 left.  I did take the skins off my onions though.  Merci txzuckerbaeckerin for sharing! It yielded me 5 cups of beef stock.</t>
        </is>
      </c>
    </row>
    <row r="5544">
      <c r="A5544" s="7" t="n">
        <v>48034</v>
      </c>
      <c r="B5544" s="7" t="n">
        <v>721608</v>
      </c>
      <c r="C5544" s="7" t="n">
        <v>222478</v>
      </c>
      <c r="D5544" s="7" t="n">
        <v>214669</v>
      </c>
      <c r="E5544" s="8" t="n">
        <v>39243</v>
      </c>
      <c r="F5544" s="7" t="n">
        <v>5</v>
      </c>
      <c r="G5544" s="7" t="inlineStr">
        <is>
          <t>This tasted great and the hints on keeping it nice and thick were very useful. I didn't have any vanilla extract so used coconut extract which worked well.</t>
        </is>
      </c>
    </row>
    <row r="5545">
      <c r="A5545" s="7" t="n">
        <v>65988</v>
      </c>
      <c r="B5545" s="7" t="n">
        <v>1089028</v>
      </c>
      <c r="C5545" s="7" t="n">
        <v>362213</v>
      </c>
      <c r="D5545" s="7" t="n">
        <v>25348</v>
      </c>
      <c r="E5545" s="8" t="n">
        <v>40258</v>
      </c>
      <c r="F5545" s="7" t="n">
        <v>5</v>
      </c>
      <c r="G5545" s="7" t="inlineStr">
        <is>
          <t>Great recipe! Pretty much like what you would get for 9$ at an Indian restaurant. I used freshly made garam masala and did not precook the spinach. Didn't have any yogurt so omitted it, although it was still really creamy without. Also substituted tofu for the paneer (yes, not as delicious but healthier, and I needed to use some up). Nicely subtle in the spices. This amount fed two of us; I would probably say serves 2-4 with rice/naan, maybe 6 if you are serving other dishes.</t>
        </is>
      </c>
    </row>
    <row r="5546">
      <c r="A5546" t="n">
        <v>70149</v>
      </c>
      <c r="B5546" t="n">
        <v>477957</v>
      </c>
      <c r="C5546" t="n">
        <v>168462</v>
      </c>
      <c r="D5546" t="n">
        <v>177987</v>
      </c>
      <c r="E5546" s="1" t="n">
        <v>39814</v>
      </c>
      <c r="F5546" t="n">
        <v>4</v>
      </c>
      <c r="G5546" t="inlineStr">
        <is>
          <t>this is an easy soup to make. I did reduce the amount of cumin for personal preference to 1 1/2 tsp. Thanks for the recipe.</t>
        </is>
      </c>
    </row>
    <row r="5547">
      <c r="A5547" s="7" t="n">
        <v>12765</v>
      </c>
      <c r="B5547" s="7" t="n">
        <v>384983</v>
      </c>
      <c r="C5547" s="7" t="n">
        <v>134903</v>
      </c>
      <c r="D5547" s="7" t="n">
        <v>8969</v>
      </c>
      <c r="E5547" s="8" t="n">
        <v>41653</v>
      </c>
      <c r="F5547" s="7" t="n">
        <v>5</v>
      </c>
      <c r="G5547" s="7" t="inlineStr">
        <is>
          <t>Love, love, love it!  Quick, easy, tasty!  Served it with cilantro lime rice (#157068), delicious!  Started eating without the vinegar, and it was good, but it was SO much better after I added the vinegar!</t>
        </is>
      </c>
    </row>
    <row r="5548">
      <c r="A5548" s="7" t="n">
        <v>73690</v>
      </c>
      <c r="B5548" s="7" t="n">
        <v>326998</v>
      </c>
      <c r="C5548" s="7" t="n">
        <v>1405928</v>
      </c>
      <c r="D5548" s="7" t="n">
        <v>37548</v>
      </c>
      <c r="E5548" s="8" t="n">
        <v>40092</v>
      </c>
      <c r="F5548" s="7" t="n">
        <v>5</v>
      </c>
      <c r="G5548" s="7" t="inlineStr">
        <is>
          <t>This was my first time making a cheesecake and it turned out really really good.  I used 1 teaspoon of cinnamon as it was suggested by previous reviewers. Thank you!</t>
        </is>
      </c>
    </row>
    <row r="5549">
      <c r="A5549" s="7" t="n">
        <v>65927</v>
      </c>
      <c r="B5549" s="7" t="n">
        <v>149845</v>
      </c>
      <c r="C5549" s="7" t="n">
        <v>599450</v>
      </c>
      <c r="D5549" s="7" t="n">
        <v>304708</v>
      </c>
      <c r="E5549" s="8" t="n">
        <v>40846</v>
      </c>
      <c r="F5549" s="7" t="n">
        <v>3</v>
      </c>
      <c r="G5549" s="7" t="inlineStr">
        <is>
          <t>This is good, although I would probably not make it again as my husband is starting to grumble about his distaste for canned salmon, although he's good with canned tuna. I wanted to try it as I'm intrigued by canned salmon and haven't come across many recipes calling for it. I agree with my husband in that there's something we both don't like about the flavor and texture. Thanks, The Frying Finn! Made for Think Pink Tag Game in honor of breast cancer awareness.</t>
        </is>
      </c>
    </row>
    <row r="5550">
      <c r="A5550" s="7" t="n">
        <v>18432</v>
      </c>
      <c r="B5550" s="7" t="n">
        <v>571744</v>
      </c>
      <c r="C5550" s="7" t="n">
        <v>383853</v>
      </c>
      <c r="D5550" s="7" t="n">
        <v>228463</v>
      </c>
      <c r="E5550" s="8" t="n">
        <v>39564</v>
      </c>
      <c r="F5550" s="7" t="n">
        <v>5</v>
      </c>
      <c r="G5550" s="7" t="inlineStr">
        <is>
          <t>This was awesome!  There isn't a thing I would change about it.  I will be making this a lot!  Thanks for posting :)</t>
        </is>
      </c>
    </row>
    <row r="5551">
      <c r="A5551" s="7" t="n">
        <v>51692</v>
      </c>
      <c r="B5551" s="7" t="n">
        <v>1015972</v>
      </c>
      <c r="C5551" s="7" t="n">
        <v>169166</v>
      </c>
      <c r="D5551" s="7" t="n">
        <v>92022</v>
      </c>
      <c r="E5551" s="8" t="n">
        <v>39306</v>
      </c>
      <c r="F5551" s="7" t="n">
        <v>5</v>
      </c>
      <c r="G5551" s="7" t="inlineStr">
        <is>
          <t>You can't get much better for 1 point. It's filling, healthy, and delicious. So glad I found this recipe. It just may be my success! A great snack to tie u over for a big sunday night supper too!</t>
        </is>
      </c>
    </row>
    <row r="5552">
      <c r="A5552" s="7" t="n">
        <v>63978</v>
      </c>
      <c r="B5552" s="7" t="n">
        <v>1030988</v>
      </c>
      <c r="C5552" s="7" t="n">
        <v>592007</v>
      </c>
      <c r="D5552" s="7" t="n">
        <v>195793</v>
      </c>
      <c r="E5552" s="8" t="n">
        <v>39649</v>
      </c>
      <c r="F5552" s="7" t="n">
        <v>5</v>
      </c>
      <c r="G5552" s="7" t="inlineStr">
        <is>
          <t>Excellent!!!  These offered me an experience. You will feel as though you are having dessert in Hawaii.  You'll be tempted to eat more than just one as they are sooooo good!!!!  Thanks!</t>
        </is>
      </c>
    </row>
    <row r="5553">
      <c r="A5553" s="7" t="n">
        <v>54415</v>
      </c>
      <c r="B5553" s="7" t="n">
        <v>54882</v>
      </c>
      <c r="C5553" s="7" t="n">
        <v>2136802</v>
      </c>
      <c r="D5553" s="7" t="n">
        <v>52035</v>
      </c>
      <c r="E5553" s="8" t="n">
        <v>40929</v>
      </c>
      <c r="F5553" s="7" t="n">
        <v>5</v>
      </c>
      <c r="G5553" s="7" t="inlineStr">
        <is>
          <t>So good!  I didn't even melt the chocolate bark, they were devoured just made with the cookies.  So I'm sure when I get a chance to melt the chocolate bark before they get eaten, they will taste great like that as well!</t>
        </is>
      </c>
    </row>
    <row r="5554">
      <c r="A5554" s="7" t="n">
        <v>1246</v>
      </c>
      <c r="B5554" s="7" t="n">
        <v>712751</v>
      </c>
      <c r="C5554" s="7" t="n">
        <v>176615</v>
      </c>
      <c r="D5554" s="7" t="n">
        <v>51209</v>
      </c>
      <c r="E5554" s="8" t="n">
        <v>38639</v>
      </c>
      <c r="F5554" s="7" t="n">
        <v>4</v>
      </c>
      <c r="G5554" s="7" t="inlineStr">
        <is>
          <t>I made this according to the recipe, omitting the MSG, and the flavor was wonderful. Baked one thick crust in a 9x13 pan, and one in a Doughmakers pizza pan which is larger than standard size, so the crust was stretched pretty thin but still workable. The dough was sticky and I needed some flour to get it in the pans, but it wasn't a big deal. I baked according to the recipe and both pans took longer than the suggested time. I agree with the other reviewers who suggested prebaking or using a higher temperature. Thanks, Cullinaryjudge, for sharing your recipe!</t>
        </is>
      </c>
    </row>
    <row r="5555">
      <c r="A5555" s="7" t="n">
        <v>72946</v>
      </c>
      <c r="B5555" s="7" t="n">
        <v>1087707</v>
      </c>
      <c r="C5555" s="7" t="n">
        <v>1547745</v>
      </c>
      <c r="D5555" s="7" t="n">
        <v>110936</v>
      </c>
      <c r="E5555" s="8" t="n">
        <v>40218</v>
      </c>
      <c r="F5555" s="7" t="n">
        <v>0</v>
      </c>
      <c r="G5555" s="7" t="inlineStr">
        <is>
          <t>These are EXCELLENT!  I don't know how it works with all that garlic, but it does.  Somehow the garlic and lemon juice balance each other.  I would give this a 10 star rating if I could.  Thanks for sharing this "stolen" recipe.</t>
        </is>
      </c>
    </row>
    <row r="5556">
      <c r="A5556" t="n">
        <v>125369</v>
      </c>
      <c r="B5556" t="n">
        <v>801181</v>
      </c>
      <c r="C5556" t="n">
        <v>171790</v>
      </c>
      <c r="D5556" t="n">
        <v>481893</v>
      </c>
      <c r="E5556" s="1" t="n">
        <v>41137</v>
      </c>
      <c r="F5556" t="n">
        <v>5</v>
      </c>
      <c r="G5556" t="inlineStr">
        <is>
          <t>I cut this down to serve one and used fresh garden tomatoes. The red pepper adds just the right amount of heat. I would definitely make this again. Delicious. Made for ZWT8</t>
        </is>
      </c>
    </row>
    <row r="5557">
      <c r="A5557" t="n">
        <v>2791</v>
      </c>
      <c r="B5557" t="n">
        <v>837501</v>
      </c>
      <c r="C5557" t="n">
        <v>164914</v>
      </c>
      <c r="D5557" t="n">
        <v>172900</v>
      </c>
      <c r="E5557" s="1" t="n">
        <v>40134</v>
      </c>
      <c r="F5557" t="n">
        <v>5</v>
      </c>
      <c r="G5557" t="inlineStr">
        <is>
          <t>Wow what a big hit in my family!!!  i will say the next day was even better then the first!!!  caution... Don't chop the jalapenos without gloves... i did and omg... my hands were burning all day long... until i went on-line and learned hot to get some relief... rub your hands in sour cream and or vinegar.  It helped but boy.. did i learn a big lesson.  The flavors are wonderful and this is so easy to make.  i used the crockpot but seared the meat first on the stove.  and i only used 8 garlic cloves and make slits in the meat and just popped the clove down in each slit.  we really enjoyed this dish and my husbands wants me to make it again... very soon!!!  thanks for the great and easy recipe...</t>
        </is>
      </c>
    </row>
    <row r="5558">
      <c r="A5558" s="7" t="n">
        <v>72327</v>
      </c>
      <c r="B5558" s="7" t="n">
        <v>656425</v>
      </c>
      <c r="C5558" s="7" t="n">
        <v>186070</v>
      </c>
      <c r="D5558" s="7" t="n">
        <v>27208</v>
      </c>
      <c r="E5558" s="8" t="n">
        <v>38764</v>
      </c>
      <c r="F5558" s="7" t="n">
        <v>5</v>
      </c>
      <c r="G5558" s="7" t="inlineStr">
        <is>
          <t xml:space="preserve">This was easy and delicious I did not have the ranch dressing mix or italian mix so I subbed half a package of garlic and herb soup mix and a can of cream of mushroom soup.  I mixed the gravy mix, soup mix and a can of cream of mushroom soup in a bowl, then added some worchestshire sauce, some italian seasonings a bit of black pepper and three cloves of garlic chopped. I poured this over about a five pound chuck roast and cooked it in my crockpot. It was delicious. Thank you for the easy and versitile recipe. </t>
        </is>
      </c>
    </row>
    <row r="5559">
      <c r="A5559" s="7" t="n">
        <v>62529</v>
      </c>
      <c r="B5559" s="7" t="n">
        <v>294175</v>
      </c>
      <c r="C5559" s="7" t="n">
        <v>13763</v>
      </c>
      <c r="D5559" s="7" t="n">
        <v>671</v>
      </c>
      <c r="E5559" s="8" t="n">
        <v>37109</v>
      </c>
      <c r="F5559" s="7" t="n">
        <v>4</v>
      </c>
      <c r="G5559" s="7" t="inlineStr">
        <is>
          <t>Will Make alot of this Relish!! Good with everything!!!</t>
        </is>
      </c>
    </row>
    <row r="5560">
      <c r="A5560" s="7" t="n">
        <v>58954</v>
      </c>
      <c r="B5560" s="7" t="n">
        <v>58200</v>
      </c>
      <c r="C5560" s="7" t="n">
        <v>22788</v>
      </c>
      <c r="D5560" s="7" t="n">
        <v>191166</v>
      </c>
      <c r="E5560" s="8" t="n">
        <v>39221</v>
      </c>
      <c r="F5560" s="7" t="n">
        <v>4</v>
      </c>
      <c r="G5560" s="7" t="inlineStr">
        <is>
          <t>First time for me to make pancakes from scratch.....I have always taken the "Aunt Jemima" route when making pancakes. These pancakes were very good. The only place I deviated from the recipe was in the 1/2 cup brown sugar in the batter. I just thought it would be too sweet for me with the syrup and all. I used only 2 tablespoons brown sugar, and it was enough for me.</t>
        </is>
      </c>
    </row>
    <row r="5561">
      <c r="A5561" s="7" t="n">
        <v>16003</v>
      </c>
      <c r="B5561" s="7" t="n">
        <v>489497</v>
      </c>
      <c r="C5561" s="7" t="n">
        <v>27643</v>
      </c>
      <c r="D5561" s="7" t="n">
        <v>150898</v>
      </c>
      <c r="E5561" s="8" t="n">
        <v>39716</v>
      </c>
      <c r="F5561" s="7" t="n">
        <v>4</v>
      </c>
      <c r="G5561" s="7" t="inlineStr">
        <is>
          <t>Very good! I used low sodium broth, and made as written. easy to make. Quick and easy. Thanks!</t>
        </is>
      </c>
    </row>
    <row r="5562">
      <c r="A5562" s="7" t="n">
        <v>73225</v>
      </c>
      <c r="B5562" s="7" t="n">
        <v>1121507</v>
      </c>
      <c r="C5562" s="7" t="n">
        <v>302958</v>
      </c>
      <c r="D5562" s="7" t="n">
        <v>109106</v>
      </c>
      <c r="E5562" s="8" t="n">
        <v>39044</v>
      </c>
      <c r="F5562" s="7" t="n">
        <v>5</v>
      </c>
      <c r="G5562" s="7" t="inlineStr">
        <is>
          <t>Impera Magna, this chili tastes great! I used ground beef and halved the recipe. Also used three jalapenos because we like our chili spicy. My boyfriend requested that I add some bell peppers next time but I thought it was fine as is. This simmered on the stove all afternoon -  we both had a bowl (or two) for lunch and it was hard work to save some for my father to try when he paid a visit later on that day. Looking forward to making up a huge batch and popping it in the freezer.</t>
        </is>
      </c>
    </row>
    <row r="5563">
      <c r="A5563" s="7" t="n">
        <v>38087</v>
      </c>
      <c r="B5563" s="7" t="n">
        <v>315235</v>
      </c>
      <c r="C5563" s="7" t="n">
        <v>158161</v>
      </c>
      <c r="D5563" s="7" t="n">
        <v>35509</v>
      </c>
      <c r="E5563" s="8" t="n">
        <v>38236</v>
      </c>
      <c r="F5563" s="7" t="n">
        <v>5</v>
      </c>
      <c r="G5563" s="7" t="inlineStr">
        <is>
          <t>This was SO GOOD!!  Easy to make, and full of flavor...even with regular cream cheese instead of with chives, which is all I had on hand.  I seasoned everything well with salt &amp; pepper. I didn't pre-bake the bottom crust, and had no trouble with sogginess.  Will definitely be making again soon. :-)</t>
        </is>
      </c>
    </row>
    <row r="5564">
      <c r="A5564" s="7" t="n">
        <v>12598</v>
      </c>
      <c r="B5564" s="7" t="n">
        <v>189973</v>
      </c>
      <c r="C5564" s="7" t="n">
        <v>465829</v>
      </c>
      <c r="D5564" s="7" t="n">
        <v>342437</v>
      </c>
      <c r="E5564" s="8" t="n">
        <v>39874</v>
      </c>
      <c r="F5564" s="7" t="n">
        <v>5</v>
      </c>
      <c r="G5564" s="7" t="inlineStr">
        <is>
          <t>This is unbelievably good! Oh the amaretto flavor with the vanilla and touch of nutmeg was delicious. I didn't change a thing, it is perfect as is. I'd like to make it into milkshakes next time. This would make some really good mudslides too! I can't wait to make it again. Made and Reviewed for PRMR - Thanks! :)</t>
        </is>
      </c>
    </row>
    <row r="5565" ht="409.5" customHeight="1">
      <c r="A5565" s="7" t="n">
        <v>19081</v>
      </c>
      <c r="B5565" s="7" t="n">
        <v>875948</v>
      </c>
      <c r="C5565" s="7" t="n">
        <v>136465</v>
      </c>
      <c r="D5565" s="7" t="n">
        <v>223934</v>
      </c>
      <c r="E5565" s="8" t="n">
        <v>40046</v>
      </c>
      <c r="F5565" s="7" t="n">
        <v>5</v>
      </c>
      <c r="G5565" s="9" t="inlineStr">
        <is>
          <t>WOW! A wonderful meal. I followed the directions with one change.... used pinquito beans instead of great northern beans only because I had them. Added the cabbage wedges last with the center side down. Cooked just until the cabbage was barely tender. Thanks for a great recipe!_x000D_
Edited to add:  Have made this at least 4 more times, but w/o the beans.  One of our favorite meals!</t>
        </is>
      </c>
    </row>
    <row r="5566" ht="409.5" customHeight="1">
      <c r="A5566" s="7" t="n">
        <v>63308</v>
      </c>
      <c r="B5566" s="7" t="n">
        <v>862304</v>
      </c>
      <c r="C5566" s="7" t="n">
        <v>317596</v>
      </c>
      <c r="D5566" s="7" t="n">
        <v>36806</v>
      </c>
      <c r="E5566" s="8" t="n">
        <v>40028</v>
      </c>
      <c r="F5566" s="7" t="n">
        <v>4</v>
      </c>
      <c r="G5566" s="9" t="inlineStr">
        <is>
          <t>I was debating between giving this 3 or 4 stars. I'd say it's about a 3.5 star recipe.
I got this recipe from Gourmet magazine's website. I read some of the reviews on their site and many people say to omit an egg as it was too eggy so that's what I did. It still came out pretty eggy with only 6 eggs. 
I also reduced my sugar by 1/2 c and it was still too sweet so if I used this recipe again, I'd use only 2 c sugar.
The cake only took about 1 hr to bake up. I think it may have been   done earlier as it started shrinking from the sides.
Cake came out a pretty good texture, but was too sweet. It has more of an eggy taste than a buttery one. 
Still on the lookout for a good pound cake recipe.</t>
        </is>
      </c>
    </row>
    <row r="5567">
      <c r="A5567" s="7" t="n">
        <v>8312</v>
      </c>
      <c r="B5567" s="7" t="n">
        <v>470916</v>
      </c>
      <c r="C5567" s="7" t="n">
        <v>331557</v>
      </c>
      <c r="D5567" s="7" t="n">
        <v>134324</v>
      </c>
      <c r="E5567" s="8" t="n">
        <v>39643</v>
      </c>
      <c r="F5567" s="7" t="n">
        <v>4</v>
      </c>
      <c r="G5567" s="7" t="inlineStr">
        <is>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is>
      </c>
    </row>
    <row r="5568">
      <c r="A5568" s="7" t="n">
        <v>64919</v>
      </c>
      <c r="B5568" s="7" t="n">
        <v>1074822</v>
      </c>
      <c r="C5568" s="7" t="n">
        <v>1456233</v>
      </c>
      <c r="D5568" s="7" t="n">
        <v>135350</v>
      </c>
      <c r="E5568" s="8" t="n">
        <v>41569</v>
      </c>
      <c r="F5568" s="7" t="n">
        <v>5</v>
      </c>
      <c r="G5568" s="7" t="inlineStr">
        <is>
          <t>The first time I used this recipe, it took me back to the 50&amp;#039;s and the way my mom made her Mac</t>
        </is>
      </c>
    </row>
    <row r="5569">
      <c r="A5569" s="7" t="n">
        <v>54841</v>
      </c>
      <c r="B5569" s="7" t="n">
        <v>1063582</v>
      </c>
      <c r="C5569" s="7" t="n">
        <v>130663</v>
      </c>
      <c r="D5569" s="7" t="n">
        <v>26722</v>
      </c>
      <c r="E5569" s="8" t="n">
        <v>39696</v>
      </c>
      <c r="F5569" s="7" t="n">
        <v>5</v>
      </c>
      <c r="G5569" s="7" t="inlineStr">
        <is>
          <t>We have this at least a couple times a month for dinner.Love it.</t>
        </is>
      </c>
    </row>
    <row r="5570">
      <c r="A5570" s="7" t="n">
        <v>80660</v>
      </c>
      <c r="B5570" s="7" t="n">
        <v>8765</v>
      </c>
      <c r="C5570" s="7" t="n">
        <v>542159</v>
      </c>
      <c r="D5570" s="7" t="n">
        <v>336835</v>
      </c>
      <c r="E5570" s="8" t="n">
        <v>40705</v>
      </c>
      <c r="F5570" s="7" t="n">
        <v>5</v>
      </c>
      <c r="G5570" s="7" t="inlineStr">
        <is>
          <t>Was pleasantly surprised at how flavorful this was and how nicely it can go with any number of dishes. Was slightly concerned about the brown sugar and bay leaf they worked together so well with the coconut milk and rice. Made as written and will be making again. Thanks for the post.</t>
        </is>
      </c>
    </row>
    <row r="5571">
      <c r="A5571" s="7" t="n">
        <v>100365</v>
      </c>
      <c r="B5571" s="7" t="n">
        <v>493443</v>
      </c>
      <c r="C5571" s="7" t="n">
        <v>655176</v>
      </c>
      <c r="D5571" s="7" t="n">
        <v>71373</v>
      </c>
      <c r="E5571" s="8" t="n">
        <v>39413</v>
      </c>
      <c r="F5571" s="7" t="n">
        <v>5</v>
      </c>
      <c r="G5571" s="7" t="inlineStr">
        <is>
          <t>I made this in the machine completely and it was PERFECT! I made loaves as gifts for take-aways on Thanksgiving and had calls the next day as well for the recipe. Thank you!</t>
        </is>
      </c>
    </row>
    <row r="5572">
      <c r="A5572" s="7" t="n">
        <v>70479</v>
      </c>
      <c r="B5572" s="7" t="n">
        <v>984237</v>
      </c>
      <c r="C5572" s="7" t="n">
        <v>94318</v>
      </c>
      <c r="D5572" s="7" t="n">
        <v>9272</v>
      </c>
      <c r="E5572" s="8" t="n">
        <v>38106</v>
      </c>
      <c r="F5572" s="7" t="n">
        <v>4</v>
      </c>
      <c r="G5572" s="7" t="inlineStr">
        <is>
          <t>Nice and fresh, with beautiful color and consistency.  Almost perfect, but not quite.  Very good recipe.</t>
        </is>
      </c>
    </row>
    <row r="5573">
      <c r="A5573" s="7" t="n">
        <v>12942</v>
      </c>
      <c r="B5573" s="7" t="n">
        <v>584561</v>
      </c>
      <c r="C5573" s="7" t="n">
        <v>844554</v>
      </c>
      <c r="D5573" s="7" t="n">
        <v>340996</v>
      </c>
      <c r="E5573" s="8" t="n">
        <v>39853</v>
      </c>
      <c r="F5573" s="7" t="n">
        <v>5</v>
      </c>
      <c r="G5573" s="7" t="inlineStr">
        <is>
          <t>WOW! This has got to be one of the easiest and best tasting made from scratch bread/rolls recipe I've seen. I was always leery to try making rolls till I tried yours. I've found a winner!!! Mine also took more than 30 minutes to rise but the end result was mouthwatering. Thanks so much for this gem!</t>
        </is>
      </c>
    </row>
    <row r="5574">
      <c r="A5574" s="7" t="n">
        <v>21223</v>
      </c>
      <c r="B5574" s="7" t="n">
        <v>848954</v>
      </c>
      <c r="C5574" s="7" t="n">
        <v>64203</v>
      </c>
      <c r="D5574" s="7" t="n">
        <v>28969</v>
      </c>
      <c r="E5574" s="8" t="n">
        <v>38650</v>
      </c>
      <c r="F5574" s="7" t="n">
        <v>5</v>
      </c>
      <c r="G5574" s="7" t="inlineStr">
        <is>
          <t>This is the tuna casserole recipe I've been looking for for so long! My mom's tuna casserole tasted just like this and I've tried for years to duplicate it, but have had little success... until now! I did follow the advice of others and used 2 cans of cream of mushroom soup. My kids gobbled it up and my  non-tuna loving hubby had 2 servings! Delicious! Thanks for posting this great comfort food recipe.</t>
        </is>
      </c>
    </row>
    <row r="5575">
      <c r="A5575" s="7" t="n">
        <v>14565</v>
      </c>
      <c r="B5575" s="7" t="n">
        <v>313502</v>
      </c>
      <c r="C5575" s="7" t="n">
        <v>44901198</v>
      </c>
      <c r="D5575" s="7" t="n">
        <v>410185</v>
      </c>
      <c r="E5575" s="8" t="n">
        <v>42524</v>
      </c>
      <c r="F5575" s="7" t="n">
        <v>5</v>
      </c>
      <c r="G5575" s="7" t="inlineStr">
        <is>
          <t>I actually poured on the Cajun seasoning without measuring. Then I didn't add the salt. I'm pretty happy with the results. The cream sauce makes. Trust me. Once you cook in the pasta (I used bow tie and 12 oz), DO NOT RINSE IT. You need the starch on it. Also, do NOT overcook. You need al dente so it can cook a little bit in the sauce. I've made cream sauces before and they are super easy. The fats thicken up with the pasta starch and it is simply beautiful! And you can trust me because the process of me cooking is hideous but for he end product. Yummy!!!</t>
        </is>
      </c>
    </row>
    <row r="5576">
      <c r="A5576" s="7" t="n">
        <v>120825</v>
      </c>
      <c r="B5576" s="7" t="n">
        <v>412040</v>
      </c>
      <c r="C5576" s="7" t="n">
        <v>2700219</v>
      </c>
      <c r="D5576" s="7" t="n">
        <v>495275</v>
      </c>
      <c r="E5576" s="8" t="n">
        <v>41323</v>
      </c>
      <c r="F5576" s="7" t="n">
        <v>0</v>
      </c>
      <c r="G5576" s="7" t="inlineStr">
        <is>
          <t>Buffalo/Shrimp/Pizza, easy and yummy! Thanks for sharing your recipe!</t>
        </is>
      </c>
    </row>
    <row r="5577">
      <c r="A5577" s="7" t="n">
        <v>21036</v>
      </c>
      <c r="B5577" s="7" t="n">
        <v>507003</v>
      </c>
      <c r="C5577" s="7" t="n">
        <v>95502</v>
      </c>
      <c r="D5577" s="7" t="n">
        <v>70932</v>
      </c>
      <c r="E5577" s="8" t="n">
        <v>38027</v>
      </c>
      <c r="F5577" s="7" t="n">
        <v>4</v>
      </c>
      <c r="G5577" s="7" t="inlineStr">
        <is>
          <t>I liked this one, tasted like southern country fried fish.  Buttery and crunchy, thanks for sharing!</t>
        </is>
      </c>
    </row>
    <row r="5578">
      <c r="A5578" s="7" t="n">
        <v>86358</v>
      </c>
      <c r="B5578" s="7" t="n">
        <v>420158</v>
      </c>
      <c r="C5578" s="7" t="n">
        <v>2002278598</v>
      </c>
      <c r="D5578" s="7" t="n">
        <v>336374</v>
      </c>
      <c r="E5578" s="8" t="n">
        <v>43362</v>
      </c>
      <c r="F5578" s="7" t="n">
        <v>4</v>
      </c>
      <c r="G5578" s="7" t="inlineStr">
        <is>
          <t>I did not have cream cheese and substituted sour cream. I decided to put the recipe in a loaf pan and this recipe was enough for two loaf pans. I plan to make this recipe again and will add 1 Tablespoon of espresso powder and 1 cup chocolate chips.</t>
        </is>
      </c>
    </row>
    <row r="5579">
      <c r="A5579" s="7" t="n">
        <v>125719</v>
      </c>
      <c r="B5579" s="7" t="n">
        <v>542335</v>
      </c>
      <c r="C5579" s="7" t="n">
        <v>337963</v>
      </c>
      <c r="D5579" s="7" t="n">
        <v>204056</v>
      </c>
      <c r="E5579" s="8" t="n">
        <v>39091</v>
      </c>
      <c r="F5579" s="7" t="n">
        <v>4</v>
      </c>
      <c r="G5579" s="7" t="inlineStr">
        <is>
          <t>This recipe is a keeper for sure, perfect for weeknights!  The potatoes are delicious as well as quick and easy to make.  I loved the fact that I didn't have to wash any pots or pans, just used a corelle bowl in the microwave.  I didn't have new potatoes so I cut the medium sized red potatoes in half, which made the pieces 2 oz each.  Thank you Windy!</t>
        </is>
      </c>
    </row>
    <row r="5580">
      <c r="A5580" s="7" t="n">
        <v>59383</v>
      </c>
      <c r="B5580" s="7" t="n">
        <v>278047</v>
      </c>
      <c r="C5580" s="7" t="n">
        <v>2002020925</v>
      </c>
      <c r="D5580" s="7" t="n">
        <v>365568</v>
      </c>
      <c r="E5580" s="8" t="n">
        <v>43159</v>
      </c>
      <c r="F5580" s="7" t="n">
        <v>5</v>
      </c>
      <c r="G5580" s="7" t="inlineStr">
        <is>
          <t>They taste amazing! I do believe that using 3 tablespoons of cocoa is in excess, but they taste like melted chocolate glory!!</t>
        </is>
      </c>
    </row>
    <row r="5581">
      <c r="A5581" s="7" t="n">
        <v>34733</v>
      </c>
      <c r="B5581" s="7" t="n">
        <v>753228</v>
      </c>
      <c r="C5581" s="7" t="n">
        <v>461834</v>
      </c>
      <c r="D5581" s="7" t="n">
        <v>370046</v>
      </c>
      <c r="E5581" s="8" t="n">
        <v>40273</v>
      </c>
      <c r="F5581" s="7" t="n">
        <v>5</v>
      </c>
      <c r="G5581" s="7" t="inlineStr">
        <is>
          <t>Wonderful combination of flavors in this salad.  I had to sub iceberg lettuce for the romaine (Cos), but otherwise followed as written including the optional OJ.  I especially enjoyed the oranges and toasted almonds.  Thanks for sharing your recipe.  Made for Went to the Market Tag Game.</t>
        </is>
      </c>
    </row>
    <row r="5582">
      <c r="A5582" t="n">
        <v>61891</v>
      </c>
      <c r="B5582" t="n">
        <v>748910</v>
      </c>
      <c r="C5582" t="n">
        <v>1411577</v>
      </c>
      <c r="D5582" t="n">
        <v>61233</v>
      </c>
      <c r="E5582" s="1" t="n">
        <v>41988</v>
      </c>
      <c r="F5582" t="n">
        <v>5</v>
      </c>
      <c r="G5582" t="inlineStr">
        <is>
          <t>This dish is attractive and delicious. It took me less than 30 minutes from start to finish but looked and tasted like I had spent hours on it. It was perfect for a busy weeknight dinner, but I think it would be equally perfect for an elegant dinner party. I added some garlic powder to the chops before browning and omitted the rosemary because I didn&amp;#039;t feel like going out in the cold to pick a sprig. Other than that, I followed the directions as written. I was a bit concerned as I was making it that it would be too sweet but I it wasn&amp;#039;t. It was fantastic!</t>
        </is>
      </c>
    </row>
    <row r="5583">
      <c r="A5583" s="7" t="n">
        <v>160</v>
      </c>
      <c r="B5583" s="7" t="n">
        <v>173489</v>
      </c>
      <c r="C5583" s="7" t="n">
        <v>842778</v>
      </c>
      <c r="D5583" s="7" t="n">
        <v>297985</v>
      </c>
      <c r="E5583" s="8" t="n">
        <v>39888</v>
      </c>
      <c r="F5583" s="7" t="n">
        <v>5</v>
      </c>
      <c r="G5583" s="7" t="inlineStr">
        <is>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is>
      </c>
    </row>
    <row r="5584">
      <c r="A5584" s="7" t="n">
        <v>104728</v>
      </c>
      <c r="B5584" s="7" t="n">
        <v>273446</v>
      </c>
      <c r="C5584" s="7" t="n">
        <v>213407</v>
      </c>
      <c r="D5584" s="7" t="n">
        <v>167202</v>
      </c>
      <c r="E5584" s="8" t="n">
        <v>40275</v>
      </c>
      <c r="F5584" s="7" t="n">
        <v>5</v>
      </c>
      <c r="G5584" s="7" t="inlineStr">
        <is>
          <t>Fantastic and super easy to make.  I have made this several times already using chicken and turkey.  The only change I made was that I used one can of cream of mushroom and one can of cream of celery soup.</t>
        </is>
      </c>
    </row>
    <row r="5585">
      <c r="A5585" s="7" t="n">
        <v>81663</v>
      </c>
      <c r="B5585" s="7" t="n">
        <v>479907</v>
      </c>
      <c r="C5585" s="7" t="n">
        <v>104295</v>
      </c>
      <c r="D5585" s="7" t="n">
        <v>57774</v>
      </c>
      <c r="E5585" s="8" t="n">
        <v>39488</v>
      </c>
      <c r="F5585" s="7" t="n">
        <v>5</v>
      </c>
      <c r="G5585" s="7" t="inlineStr">
        <is>
          <t>I loved this.  Really and truly wonderful.  It was easy to make and the picky eater (he's 8) loved it.  I was hoping to have some for lunches but it all got eaten.</t>
        </is>
      </c>
    </row>
    <row r="5586">
      <c r="A5586" s="7" t="n">
        <v>91049</v>
      </c>
      <c r="B5586" s="7" t="n">
        <v>643499</v>
      </c>
      <c r="C5586" s="7" t="n">
        <v>1797525</v>
      </c>
      <c r="D5586" s="7" t="n">
        <v>4560</v>
      </c>
      <c r="E5586" s="8" t="n">
        <v>42292</v>
      </c>
      <c r="F5586" s="7" t="n">
        <v>0</v>
      </c>
      <c r="G5586" s="7" t="inlineStr">
        <is>
          <t>Everyone&amp;#039;s a critic the temperature to cook them at is there I&amp;#039;m not sure what your looking at and thanks for posting this classic receipe!</t>
        </is>
      </c>
    </row>
    <row r="5587">
      <c r="A5587" s="7" t="n">
        <v>123778</v>
      </c>
      <c r="B5587" s="7" t="n">
        <v>186348</v>
      </c>
      <c r="C5587" s="7" t="n">
        <v>1631990</v>
      </c>
      <c r="D5587" s="7" t="n">
        <v>218828</v>
      </c>
      <c r="E5587" s="8" t="n">
        <v>40402</v>
      </c>
      <c r="F5587" s="7" t="n">
        <v>4</v>
      </c>
      <c r="G5587" s="7" t="inlineStr">
        <is>
          <t>Delicious and easy!  I've made this twice with slight changes and it is great!  I soaked the beans overnight before putting them in the crockpot. The original was too sweet for me, so I reduced the sugar slightly and used 1/2 brown sugar.  I also added some barbeque sauce and used diced bacon  instead of the salt pork.  I cooked it for 8 hours in the crockpot on low.  They came out perfectly!  I want to try this using maple syrup for the sweetener!</t>
        </is>
      </c>
    </row>
    <row r="5588">
      <c r="A5588" s="7" t="n">
        <v>7266</v>
      </c>
      <c r="B5588" s="7" t="n">
        <v>1050102</v>
      </c>
      <c r="C5588" s="7" t="n">
        <v>451604</v>
      </c>
      <c r="D5588" s="7" t="n">
        <v>53878</v>
      </c>
      <c r="E5588" s="8" t="n">
        <v>39140</v>
      </c>
      <c r="F5588" s="7" t="n">
        <v>5</v>
      </c>
      <c r="G5588" s="7" t="inlineStr">
        <is>
          <t>These were great, but how could something with the name "white trash" be anything but.  They were quick and like someone else said, the ability to customize these is great, just like my doublewide tailer =).  J/K</t>
        </is>
      </c>
    </row>
    <row r="5589">
      <c r="A5589" s="7" t="n">
        <v>45689</v>
      </c>
      <c r="B5589" s="7" t="n">
        <v>633505</v>
      </c>
      <c r="C5589" s="7" t="n">
        <v>206775</v>
      </c>
      <c r="D5589" s="7" t="n">
        <v>88735</v>
      </c>
      <c r="E5589" s="8" t="n">
        <v>38479</v>
      </c>
      <c r="F5589" s="7" t="n">
        <v>5</v>
      </c>
      <c r="G5589" s="7" t="inlineStr">
        <is>
          <t xml:space="preserve">This easy marinade adds great zest and flavor to chicken.  Next time, I think I will marinate the chicken overnight.  I love the fact that it has very little fat added.  Am going to try it with a whole chicken next.  Thanks for the recipe. </t>
        </is>
      </c>
    </row>
    <row r="5590">
      <c r="A5590" s="7" t="n">
        <v>85965</v>
      </c>
      <c r="B5590" s="7" t="n">
        <v>635971</v>
      </c>
      <c r="C5590" s="7" t="n">
        <v>254614</v>
      </c>
      <c r="D5590" s="7" t="n">
        <v>173438</v>
      </c>
      <c r="E5590" s="8" t="n">
        <v>39332</v>
      </c>
      <c r="F5590" s="7" t="n">
        <v>5</v>
      </c>
      <c r="G5590" s="7" t="inlineStr">
        <is>
          <t>I put the dried sweetened cranberries in a little water and heated in the microwave to soften, then poured off the water.I also left off the lettuce. Whipped cream with a little splenda and vanilla,nutmeg or cinnamon of your choice instead of the dressing.</t>
        </is>
      </c>
    </row>
    <row r="5591">
      <c r="A5591" s="7" t="n">
        <v>38622</v>
      </c>
      <c r="B5591" s="7" t="n">
        <v>941743</v>
      </c>
      <c r="C5591" s="7" t="n">
        <v>145338</v>
      </c>
      <c r="D5591" s="7" t="n">
        <v>324904</v>
      </c>
      <c r="E5591" s="8" t="n">
        <v>40926</v>
      </c>
      <c r="F5591" s="7" t="n">
        <v>4</v>
      </c>
      <c r="G5591" s="7" t="inlineStr">
        <is>
          <t>I made these for our neighborhood Christmas cookie gift exchange this past year.  They turned out pretty good.  Nothing like a Baby Ruth bar at all as far as any of us were concerned but a good combination of flavors.  Recipe doubled easily.</t>
        </is>
      </c>
    </row>
    <row r="5592">
      <c r="A5592" s="7" t="n">
        <v>52029</v>
      </c>
      <c r="B5592" s="7" t="n">
        <v>582615</v>
      </c>
      <c r="C5592" s="7" t="n">
        <v>1535</v>
      </c>
      <c r="D5592" s="7" t="n">
        <v>80434</v>
      </c>
      <c r="E5592" s="8" t="n">
        <v>38652</v>
      </c>
      <c r="F5592" s="7" t="n">
        <v>5</v>
      </c>
      <c r="G5592" s="7" t="inlineStr">
        <is>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is>
      </c>
    </row>
    <row r="5593">
      <c r="A5593" s="7" t="n">
        <v>68929</v>
      </c>
      <c r="B5593" s="7" t="n">
        <v>63477</v>
      </c>
      <c r="C5593" s="7" t="n">
        <v>2002098083</v>
      </c>
      <c r="D5593" s="7" t="n">
        <v>450771</v>
      </c>
      <c r="E5593" s="8" t="n">
        <v>43196</v>
      </c>
      <c r="F5593" s="7" t="n">
        <v>5</v>
      </c>
      <c r="G5593" s="7" t="inlineStr">
        <is>
          <t>Great marinade. Had it over rice with bok choy (with a soy sauce, ginger, and orange drizzle), a fried egg, and switched out the sesame seeds for furikake. The salmon was the perfect sweetness! Make sure you pad off all the marinade--charred mine slightly while broiling, but it flaked off easily.</t>
        </is>
      </c>
    </row>
    <row r="5594">
      <c r="A5594" s="7" t="n">
        <v>42030</v>
      </c>
      <c r="B5594" s="7" t="n">
        <v>1086154</v>
      </c>
      <c r="C5594" s="7" t="n">
        <v>1260976</v>
      </c>
      <c r="D5594" s="7" t="n">
        <v>95569</v>
      </c>
      <c r="E5594" s="8" t="n">
        <v>40169</v>
      </c>
      <c r="F5594" s="7" t="n">
        <v>5</v>
      </c>
      <c r="G5594" s="7" t="inlineStr">
        <is>
          <t>So delicious and easy to make!  I just threw everything in the pot and cranked her up on high for four hours.  Chicken is very tender and especially good with Head Country Oklahoma BBQ sauce!  (Ponca City, OK)  There won't be any left!</t>
        </is>
      </c>
    </row>
    <row r="5595">
      <c r="A5595" s="7" t="n">
        <v>7682</v>
      </c>
      <c r="B5595" s="7" t="n">
        <v>331028</v>
      </c>
      <c r="C5595" s="7" t="n">
        <v>2000164356</v>
      </c>
      <c r="D5595" s="7" t="n">
        <v>210248</v>
      </c>
      <c r="E5595" s="8" t="n">
        <v>42119</v>
      </c>
      <c r="F5595" s="7" t="n">
        <v>5</v>
      </c>
      <c r="G5595" s="7" t="inlineStr">
        <is>
          <t>Great recipe but i added peanut butter instead of ground peanuts and it didn&amp;#039;t work for me. I can&amp;#039;t find soybean paste and I can&amp;#039;t think of any substitute for it.</t>
        </is>
      </c>
    </row>
    <row r="5596">
      <c r="A5596" s="7" t="n">
        <v>16362</v>
      </c>
      <c r="B5596" s="7" t="n">
        <v>900540</v>
      </c>
      <c r="C5596" s="7" t="n">
        <v>994851</v>
      </c>
      <c r="D5596" s="7" t="n">
        <v>269680</v>
      </c>
      <c r="E5596" s="8" t="n">
        <v>41286</v>
      </c>
      <c r="F5596" s="7" t="n">
        <v>5</v>
      </c>
      <c r="G5596" s="7" t="inlineStr">
        <is>
          <t>I chose this because of its unusual ingredients.  The pork turned out tender and flavorful.</t>
        </is>
      </c>
    </row>
    <row r="5597">
      <c r="A5597" s="7" t="n">
        <v>85655</v>
      </c>
      <c r="B5597" s="7" t="n">
        <v>897378</v>
      </c>
      <c r="C5597" s="7" t="n">
        <v>88099</v>
      </c>
      <c r="D5597" s="7" t="n">
        <v>204913</v>
      </c>
      <c r="E5597" s="8" t="n">
        <v>39353</v>
      </c>
      <c r="F5597" s="7" t="n">
        <v>5</v>
      </c>
      <c r="G5597" s="7" t="inlineStr">
        <is>
          <t>Wonderful drink for a hot afternoon.  I thought the flavors went well together.  Didn't change a thing.  Congrats on week 3 Football win Kim.</t>
        </is>
      </c>
    </row>
    <row r="5598">
      <c r="A5598" s="7" t="n">
        <v>51660</v>
      </c>
      <c r="B5598" s="7" t="n">
        <v>717436</v>
      </c>
      <c r="C5598" s="7" t="n">
        <v>285039</v>
      </c>
      <c r="D5598" s="7" t="n">
        <v>216894</v>
      </c>
      <c r="E5598" s="8" t="n">
        <v>39351</v>
      </c>
      <c r="F5598" s="7" t="n">
        <v>5</v>
      </c>
      <c r="G5598" s="7" t="inlineStr">
        <is>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is>
      </c>
    </row>
    <row r="5599" ht="409.5" customHeight="1">
      <c r="A5599" s="7" t="n">
        <v>105432</v>
      </c>
      <c r="B5599" s="7" t="n">
        <v>1049063</v>
      </c>
      <c r="C5599" s="7" t="n">
        <v>163877</v>
      </c>
      <c r="D5599" s="7" t="n">
        <v>102274</v>
      </c>
      <c r="E5599" s="8" t="n">
        <v>38653</v>
      </c>
      <c r="F5599" s="7" t="n">
        <v>5</v>
      </c>
      <c r="G5599" s="9" t="inlineStr">
        <is>
          <t xml:space="preserve">Yum!  This was scrumptious!  Definitely for black-bean soup loving folks, though, my finicky children and husband didn't care for it...they're crazy!  My 12-year-old with the more refined pallet went in for seconds and used her cornbread to wipe up every last drop!_x000D_
_x000D_
Here are my minor modifications: Didn’t have fresh onion, so had to use onion flakes.  Did not have fresh bell pepper so, in lieu, I sautéed frozen green/yellow/red bell pepper mix.  Did not have apple cider vinegar, had to use red wine vinegar.  Left out celery._x000D_
_x000D_
Thanks for a great recipe!   _x000D_
</t>
        </is>
      </c>
    </row>
    <row r="5600">
      <c r="A5600" s="7" t="n">
        <v>25052</v>
      </c>
      <c r="B5600" s="7" t="n">
        <v>639960</v>
      </c>
      <c r="C5600" s="7" t="n">
        <v>527607</v>
      </c>
      <c r="D5600" s="7" t="n">
        <v>336185</v>
      </c>
      <c r="E5600" s="8" t="n">
        <v>39772</v>
      </c>
      <c r="F5600" s="7" t="n">
        <v>4</v>
      </c>
      <c r="G5600" s="7" t="inlineStr">
        <is>
          <t>this was a delicious salad, used fresh pineapple. thanks so much. Oh added some apple smoked cheddar to it as well :)</t>
        </is>
      </c>
    </row>
    <row r="5601">
      <c r="A5601" s="7" t="n">
        <v>20968</v>
      </c>
      <c r="B5601" s="7" t="n">
        <v>458712</v>
      </c>
      <c r="C5601" s="7" t="n">
        <v>847139</v>
      </c>
      <c r="D5601" s="7" t="n">
        <v>121456</v>
      </c>
      <c r="E5601" s="8" t="n">
        <v>40106</v>
      </c>
      <c r="F5601" s="7" t="n">
        <v>5</v>
      </c>
      <c r="G5601" s="7" t="inlineStr">
        <is>
          <t>DELICIOUS!!!!!!!!  I used wheat bread though (that is all I had on hand) and everyone in my house loved it. :)  I am making more to freeze as suggested for those really busy mornings. Thanks for posting this recipe.</t>
        </is>
      </c>
    </row>
    <row r="5602">
      <c r="A5602" s="7" t="n">
        <v>82166</v>
      </c>
      <c r="B5602" s="7" t="n">
        <v>674584</v>
      </c>
      <c r="C5602" s="7" t="n">
        <v>2007091</v>
      </c>
      <c r="D5602" s="7" t="n">
        <v>128013</v>
      </c>
      <c r="E5602" s="8" t="n">
        <v>40813</v>
      </c>
      <c r="F5602" s="7" t="n">
        <v>5</v>
      </c>
      <c r="G5602" s="7" t="inlineStr">
        <is>
          <t>So fed a the executive chef of a joint with a million dollar annual budget these beans &amp; he asked me for the recipe...</t>
        </is>
      </c>
    </row>
    <row r="5603">
      <c r="A5603" s="7" t="n">
        <v>100348</v>
      </c>
      <c r="B5603" s="7" t="n">
        <v>86876</v>
      </c>
      <c r="C5603" s="7" t="n">
        <v>98828</v>
      </c>
      <c r="D5603" s="7" t="n">
        <v>72614</v>
      </c>
      <c r="E5603" s="8" t="n">
        <v>40311</v>
      </c>
      <c r="F5603" s="7" t="n">
        <v>4</v>
      </c>
      <c r="G5603" s="7" t="inlineStr">
        <is>
          <t>This tastes good, but at 1,157 calories and 81 grams of fat per serving, I decided to cut back a bit.  I only added two cups of cheese, and I am all in favor of having loads of cheese! But, 4 cups was way too much.  I also decided to add a can of corn to round out the meal.  Even with the changes, my husband said it was defintely a keeper.</t>
        </is>
      </c>
    </row>
    <row r="5604" ht="409.5" customHeight="1">
      <c r="A5604" s="7" t="n">
        <v>2224</v>
      </c>
      <c r="B5604" s="7" t="n">
        <v>408870</v>
      </c>
      <c r="C5604" s="7" t="n">
        <v>988070</v>
      </c>
      <c r="D5604" s="7" t="n">
        <v>154147</v>
      </c>
      <c r="E5604" s="8" t="n">
        <v>39908</v>
      </c>
      <c r="F5604" s="7" t="n">
        <v>5</v>
      </c>
      <c r="G5604" s="9" t="inlineStr">
        <is>
          <t>We LOVED this recipe!  Everything about it was good.  I did add some green snap beans and toasted sesame seeds to it during the sauteing..  I also had to cook the asparagus a little longer than specified to get it to the tenderness we like it.  I served it over brown rice.
I have 3 boys....two of which are fairly picky eaters.  One doesn't like asparagus and the other doesn't like mushrooms.  They BOTH ate this.  We all especially loved the flavor of the tomatoes.</t>
        </is>
      </c>
    </row>
    <row r="5605">
      <c r="A5605" t="n">
        <v>38662</v>
      </c>
      <c r="B5605" t="n">
        <v>786831</v>
      </c>
      <c r="C5605" t="n">
        <v>653438</v>
      </c>
      <c r="D5605" t="n">
        <v>351415</v>
      </c>
      <c r="E5605" s="1" t="n">
        <v>40935</v>
      </c>
      <c r="F5605" t="n">
        <v>5</v>
      </c>
      <c r="G5605" t="inlineStr">
        <is>
          <t>I cut the recipe in half and used red pepper flakes for the dried red chilis (didn't have any) and otherwise followed the instructions...delicious!   Definately will make again and maybe add some other vegies such as broccoli, corn and maybe some waterchestnuts.  Made for Chinese/Vietnamese New Year 2012.</t>
        </is>
      </c>
    </row>
    <row r="5606">
      <c r="A5606" s="7" t="n">
        <v>41162</v>
      </c>
      <c r="B5606" s="7" t="n">
        <v>568634</v>
      </c>
      <c r="C5606" s="7" t="n">
        <v>2000902038</v>
      </c>
      <c r="D5606" s="7" t="n">
        <v>39930</v>
      </c>
      <c r="E5606" s="8" t="n">
        <v>42796</v>
      </c>
      <c r="F5606" s="7" t="n">
        <v>5</v>
      </c>
      <c r="G5606" s="7" t="inlineStr">
        <is>
          <t>I made this exactly as written and it was wonderful! Thank you!</t>
        </is>
      </c>
    </row>
    <row r="5607">
      <c r="A5607" s="7" t="n">
        <v>107483</v>
      </c>
      <c r="B5607" s="7" t="n">
        <v>895975</v>
      </c>
      <c r="C5607" s="7" t="n">
        <v>1117703</v>
      </c>
      <c r="D5607" s="7" t="n">
        <v>42245</v>
      </c>
      <c r="E5607" s="8" t="n">
        <v>40155</v>
      </c>
      <c r="F5607" s="7" t="n">
        <v>0</v>
      </c>
      <c r="G5607" s="7" t="inlineStr">
        <is>
          <t>Like all the others who have tried this, I am over the moon delighted with this delicious way to use up odds and ends in the fridge and wherever.  Thanks so, so much for posting it!!!</t>
        </is>
      </c>
    </row>
    <row r="5608">
      <c r="A5608" s="7" t="n">
        <v>35485</v>
      </c>
      <c r="B5608" s="7" t="n">
        <v>153410</v>
      </c>
      <c r="C5608" s="7" t="n">
        <v>407338</v>
      </c>
      <c r="D5608" s="7" t="n">
        <v>323897</v>
      </c>
      <c r="E5608" s="8" t="n">
        <v>39970</v>
      </c>
      <c r="F5608" s="7" t="n">
        <v>5</v>
      </c>
      <c r="G5608" s="7" t="inlineStr">
        <is>
          <t>This was just WONDERFUL and full of flavor!  DH and I are pork chop lovers and this dish with the rice and gravy hit the spot!  We will have it again!  Easy preparation! Thanks MightyRo for posting this great recipe!</t>
        </is>
      </c>
    </row>
    <row r="5609">
      <c r="A5609" s="7" t="n">
        <v>92792</v>
      </c>
      <c r="B5609" s="7" t="n">
        <v>984531</v>
      </c>
      <c r="C5609" s="7" t="n">
        <v>1013938</v>
      </c>
      <c r="D5609" s="7" t="n">
        <v>9272</v>
      </c>
      <c r="E5609" s="8" t="n">
        <v>40840</v>
      </c>
      <c r="F5609" s="7" t="n">
        <v>5</v>
      </c>
      <c r="G5609" s="7" t="inlineStr">
        <is>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is>
      </c>
    </row>
    <row r="5610">
      <c r="A5610" s="7" t="n">
        <v>29349</v>
      </c>
      <c r="B5610" s="7" t="n">
        <v>642732</v>
      </c>
      <c r="C5610" s="7" t="n">
        <v>1566680</v>
      </c>
      <c r="D5610" s="7" t="n">
        <v>35988</v>
      </c>
      <c r="E5610" s="8" t="n">
        <v>40282</v>
      </c>
      <c r="F5610" s="7" t="n">
        <v>5</v>
      </c>
      <c r="G5610" s="7" t="inlineStr">
        <is>
          <t>Great soup!  Thanks.  I thought the canned tomatoes were a little neutral - I think it would be better with fresh or slow roasted Roma tomatoes.  I also might try some cilantro on top.  It worked very well.  This was a good find!</t>
        </is>
      </c>
    </row>
    <row r="5611">
      <c r="A5611" s="7" t="n">
        <v>84214</v>
      </c>
      <c r="B5611" s="7" t="n">
        <v>413598</v>
      </c>
      <c r="C5611" s="7" t="n">
        <v>92966</v>
      </c>
      <c r="D5611" s="7" t="n">
        <v>57208</v>
      </c>
      <c r="E5611" s="8" t="n">
        <v>37840</v>
      </c>
      <c r="F5611" s="7" t="n">
        <v>5</v>
      </c>
      <c r="G5611" s="7" t="inlineStr">
        <is>
          <t>I added a pk of cream cheese and a cup of sour cream. YUM</t>
        </is>
      </c>
    </row>
    <row r="5612" ht="135" customHeight="1">
      <c r="A5612" s="7" t="n">
        <v>36857</v>
      </c>
      <c r="B5612" s="7" t="n">
        <v>94787</v>
      </c>
      <c r="C5612" s="7" t="n">
        <v>1647312</v>
      </c>
      <c r="D5612" s="7" t="n">
        <v>361518</v>
      </c>
      <c r="E5612" s="8" t="n">
        <v>40364</v>
      </c>
      <c r="F5612" s="7" t="n">
        <v>5</v>
      </c>
      <c r="G5612" s="9" t="inlineStr">
        <is>
          <t>It was fab.
The fish over rice with the special sauce was the key.</t>
        </is>
      </c>
    </row>
    <row r="5613">
      <c r="A5613" s="7" t="n">
        <v>26101</v>
      </c>
      <c r="B5613" s="7" t="n">
        <v>320313</v>
      </c>
      <c r="C5613" s="7" t="n">
        <v>46104</v>
      </c>
      <c r="D5613" s="7" t="n">
        <v>163974</v>
      </c>
      <c r="E5613" s="8" t="n">
        <v>39673</v>
      </c>
      <c r="F5613" s="7" t="n">
        <v>4</v>
      </c>
      <c r="G5613" s="7" t="inlineStr">
        <is>
          <t>I followed the directions exactly (well almost, I forgot the rotel tomatoes) and did not peel the peppers. I think next time I will take mr gene's advice and roast and peel the peppers.   I made this using recipe #55478 as my green enchilada sauce.  Even with the skin this recipe was delicious!</t>
        </is>
      </c>
    </row>
    <row r="5614">
      <c r="A5614" s="7" t="n">
        <v>62811</v>
      </c>
      <c r="B5614" s="7" t="n">
        <v>158677</v>
      </c>
      <c r="C5614" s="7" t="n">
        <v>1331434</v>
      </c>
      <c r="D5614" s="7" t="n">
        <v>8701</v>
      </c>
      <c r="E5614" s="8" t="n">
        <v>40294</v>
      </c>
      <c r="F5614" s="7" t="n">
        <v>5</v>
      </c>
      <c r="G5614" s="7" t="inlineStr">
        <is>
          <t>These were pretty good. Only problem was the sauce didn't stick to the ribs. I agree with others that probably cooking at 325 for 3 hours would be better. I will try that next time. EDIT: I remade these last night and have a few times since my first review. I cook the ribs on 325 degrees for 3 hours and then broil them for 30 minutes. The sauce sticks and they are fall of the bone tender!</t>
        </is>
      </c>
    </row>
    <row r="5615">
      <c r="A5615" s="7" t="n">
        <v>124715</v>
      </c>
      <c r="B5615" s="7" t="n">
        <v>435809</v>
      </c>
      <c r="C5615" s="7" t="n">
        <v>2001715589</v>
      </c>
      <c r="D5615" s="7" t="n">
        <v>109710</v>
      </c>
      <c r="E5615" s="8" t="n">
        <v>42993</v>
      </c>
      <c r="F5615" s="7" t="n">
        <v>0</v>
      </c>
      <c r="G5615" s="7" t="inlineStr">
        <is>
          <t>My mother made her jalapeno corn bread almost exactly like this, but in an iron skillet. She made it richer by using hot, melted bacon drippings, instead of the vegetable oil. She often layered maple flavored bacon on bottom of skillet before adding the mixture. It's like cake. Wonderful.</t>
        </is>
      </c>
    </row>
    <row r="5616">
      <c r="A5616" s="7" t="n">
        <v>80614</v>
      </c>
      <c r="B5616" s="7" t="n">
        <v>756897</v>
      </c>
      <c r="C5616" s="7" t="n">
        <v>227978</v>
      </c>
      <c r="D5616" s="7" t="n">
        <v>428080</v>
      </c>
      <c r="E5616" s="8" t="n">
        <v>40694</v>
      </c>
      <c r="F5616" s="7" t="n">
        <v>5</v>
      </c>
      <c r="G5616" s="7" t="inlineStr">
        <is>
          <t>My husband and I both really liked this dish (my kids, not so much).  The peanut butter really gives it a distinct African taste, but the spice combo is what really brought the rice together.  It's delicious. Thank you, alligirl.  Made for ZWT7 for the Mischief Makers team.</t>
        </is>
      </c>
    </row>
    <row r="5617">
      <c r="A5617" s="7" t="n">
        <v>48087</v>
      </c>
      <c r="B5617" s="7" t="n">
        <v>1128793</v>
      </c>
      <c r="C5617" s="7" t="n">
        <v>223979</v>
      </c>
      <c r="D5617" s="7" t="n">
        <v>170174</v>
      </c>
      <c r="E5617" s="8" t="n">
        <v>40336</v>
      </c>
      <c r="F5617" s="7" t="n">
        <v>5</v>
      </c>
      <c r="G5617" s="7" t="inlineStr">
        <is>
          <t>I used just picked strawberries for this.  Yummy!  I think the sweetness was perfect, not too overly sweet which I like.  I topped these with whipped cream and shaved chocolate.  What a great combination!  made for ZWT 6.</t>
        </is>
      </c>
    </row>
    <row r="5618">
      <c r="A5618" s="7" t="n">
        <v>12060</v>
      </c>
      <c r="B5618" s="7" t="n">
        <v>1127211</v>
      </c>
      <c r="C5618" s="7" t="n">
        <v>860079</v>
      </c>
      <c r="D5618" s="7" t="n">
        <v>318755</v>
      </c>
      <c r="E5618" s="8" t="n">
        <v>41001</v>
      </c>
      <c r="F5618" s="7" t="n">
        <v>5</v>
      </c>
      <c r="G5618" s="7" t="inlineStr">
        <is>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is>
      </c>
    </row>
    <row r="5619">
      <c r="A5619" s="7" t="n">
        <v>47844</v>
      </c>
      <c r="B5619" s="7" t="n">
        <v>430445</v>
      </c>
      <c r="C5619" s="7" t="n">
        <v>430471</v>
      </c>
      <c r="D5619" s="7" t="n">
        <v>7143</v>
      </c>
      <c r="E5619" s="8" t="n">
        <v>39231</v>
      </c>
      <c r="F5619" s="7" t="n">
        <v>4</v>
      </c>
      <c r="G5619" s="7" t="inlineStr">
        <is>
          <t>This was very good. I used fat-free evaporated milk instead of cream to reduce the fat.  The flavors melded nicely.  I did not allow it to set up before cooking and mine took about 40 mins to cook the liquid out.</t>
        </is>
      </c>
    </row>
    <row r="5620">
      <c r="A5620" s="7" t="n">
        <v>18853</v>
      </c>
      <c r="B5620" s="7" t="n">
        <v>784561</v>
      </c>
      <c r="C5620" s="7" t="n">
        <v>837762</v>
      </c>
      <c r="D5620" s="7" t="n">
        <v>207642</v>
      </c>
      <c r="E5620" s="8" t="n">
        <v>40206</v>
      </c>
      <c r="F5620" s="7" t="n">
        <v>5</v>
      </c>
      <c r="G5620" s="7" t="inlineStr">
        <is>
          <t>I left out the raisins and it was still really good!  We all loved it here.  Used FF feta to cut down on the fat and it worked out great!</t>
        </is>
      </c>
    </row>
    <row r="5621">
      <c r="A5621" s="7" t="n">
        <v>109453</v>
      </c>
      <c r="B5621" s="7" t="n">
        <v>1046278</v>
      </c>
      <c r="C5621" s="7" t="n">
        <v>1600977</v>
      </c>
      <c r="D5621" s="7" t="n">
        <v>104393</v>
      </c>
      <c r="E5621" s="8" t="n">
        <v>40291</v>
      </c>
      <c r="F5621" s="7" t="n">
        <v>5</v>
      </c>
      <c r="G5621" s="7" t="inlineStr">
        <is>
          <t>This was very good. I followed your recipe for the most part. I cut it in half and at least tripled the herbs. Instead of water, I used chicken stock for more flavor. I also used canned tomoatoes with garlic and onion. (they were a wonderful add of flavor!) Sadly, we had no mushrooms in the house at the time, though I would have loved to have them in this, fresh. I left out the rosemary as my mother is not too fond of it's taste, though I would imagine it tasting excellent in this. She enjoyed eating slivered almonds on top! In the end, this was quite delicious and I loved it so much. Thank you for sharing!</t>
        </is>
      </c>
    </row>
    <row r="5622">
      <c r="A5622" s="7" t="n">
        <v>113189</v>
      </c>
      <c r="B5622" s="7" t="n">
        <v>879571</v>
      </c>
      <c r="C5622" s="7" t="n">
        <v>1534531</v>
      </c>
      <c r="D5622" s="7" t="n">
        <v>397621</v>
      </c>
      <c r="E5622" s="8" t="n">
        <v>40678</v>
      </c>
      <c r="F5622" s="7" t="n">
        <v>4</v>
      </c>
      <c r="G5622" s="7" t="inlineStr">
        <is>
          <t>Spread the feta mixture on top of the chicken instead of stuffing it since I was using the smaller tenderloin chicken strips, and cut the baking time to 30 min. Also added extra tomatoes. This would be good served with rice to spoon the extra liquid over.</t>
        </is>
      </c>
    </row>
    <row r="5623">
      <c r="A5623" s="7" t="n">
        <v>120438</v>
      </c>
      <c r="B5623" s="7" t="n">
        <v>502743</v>
      </c>
      <c r="C5623" s="7" t="n">
        <v>140008</v>
      </c>
      <c r="D5623" s="7" t="n">
        <v>236922</v>
      </c>
      <c r="E5623" s="8" t="n">
        <v>40243</v>
      </c>
      <c r="F5623" s="7" t="n">
        <v>5</v>
      </c>
      <c r="G5623" s="7" t="inlineStr">
        <is>
          <t>This is a fantastic recipe!  I loved it.   I used wheat bread and added about a 1/2 tsp of nutmeg.  It is so rich and wonderful tasting, thanks for the recipe!</t>
        </is>
      </c>
    </row>
    <row r="5624">
      <c r="A5624" s="7" t="n">
        <v>55176</v>
      </c>
      <c r="B5624" s="7" t="n">
        <v>946372</v>
      </c>
      <c r="C5624" s="7" t="n">
        <v>294000</v>
      </c>
      <c r="D5624" s="7" t="n">
        <v>141251</v>
      </c>
      <c r="E5624" s="8" t="n">
        <v>39296</v>
      </c>
      <c r="F5624" s="7" t="n">
        <v>4</v>
      </c>
      <c r="G5624" s="7" t="inlineStr">
        <is>
          <t>I only made the gravy and used some canned biscuits.  This is excellent when you don't have bacon grease.  I did throw in a little bouillon for extra flavor.  Thank you.</t>
        </is>
      </c>
    </row>
    <row r="5625">
      <c r="A5625" s="7" t="n">
        <v>24494</v>
      </c>
      <c r="B5625" s="7" t="n">
        <v>418884</v>
      </c>
      <c r="C5625" s="7" t="n">
        <v>67026</v>
      </c>
      <c r="D5625" s="7" t="n">
        <v>70412</v>
      </c>
      <c r="E5625" s="8" t="n">
        <v>38269</v>
      </c>
      <c r="F5625" s="7" t="n">
        <v>4</v>
      </c>
      <c r="G5625" s="7" t="inlineStr">
        <is>
          <t>I also used fresh garlic and did not cut up the chicken breasts.  This was ultra-easy and just what i needed for an inexpensive healthy meal.  There is a lot of sauce!  I ate it by itself this time, but next time I might try it over spaghetti squash.  Thanks!</t>
        </is>
      </c>
    </row>
    <row r="5626">
      <c r="A5626" s="7" t="n">
        <v>106657</v>
      </c>
      <c r="B5626" s="7" t="n">
        <v>1083487</v>
      </c>
      <c r="C5626" s="7" t="n">
        <v>222139</v>
      </c>
      <c r="D5626" s="7" t="n">
        <v>229528</v>
      </c>
      <c r="E5626" s="8" t="n">
        <v>39264</v>
      </c>
      <c r="F5626" s="7" t="n">
        <v>5</v>
      </c>
      <c r="G5626" s="7" t="inlineStr">
        <is>
          <t>I got the creole seasoning thanks to a great swap I was in.  Who would think I would use this, I am so glad I chose to keep this seasoning for me. We all loved this. Thanks for posting this recipe for us to try.</t>
        </is>
      </c>
    </row>
    <row r="5627">
      <c r="A5627" s="7" t="n">
        <v>120976</v>
      </c>
      <c r="B5627" s="7" t="n">
        <v>948513</v>
      </c>
      <c r="C5627" s="7" t="n">
        <v>583333</v>
      </c>
      <c r="D5627" s="7" t="n">
        <v>209177</v>
      </c>
      <c r="E5627" s="8" t="n">
        <v>39965</v>
      </c>
      <c r="F5627" s="7" t="n">
        <v>5</v>
      </c>
      <c r="G5627" s="7" t="inlineStr">
        <is>
          <t>I loved this! I always have all these things on hand and I had to try it! I added some taco seasoning when cooking the chicken and recommend topping it with all those nacho and burrito condiments! Sour cream and black olives are my fav!</t>
        </is>
      </c>
    </row>
    <row r="5628">
      <c r="A5628" s="7" t="n">
        <v>37708</v>
      </c>
      <c r="B5628" s="7" t="n">
        <v>737871</v>
      </c>
      <c r="C5628" s="7" t="n">
        <v>165623</v>
      </c>
      <c r="D5628" s="7" t="n">
        <v>188222</v>
      </c>
      <c r="E5628" s="8" t="n">
        <v>40149</v>
      </c>
      <c r="F5628" s="7" t="n">
        <v>5</v>
      </c>
      <c r="G5628" s="7" t="inlineStr">
        <is>
          <t>This is very very good. The only change I made was to juice the carrot and apple then blend with frozen strawberries. So good!!</t>
        </is>
      </c>
    </row>
    <row r="5629">
      <c r="A5629" s="7" t="n">
        <v>122943</v>
      </c>
      <c r="B5629" s="7" t="n">
        <v>348835</v>
      </c>
      <c r="C5629" s="7" t="n">
        <v>591894</v>
      </c>
      <c r="D5629" s="7" t="n">
        <v>50719</v>
      </c>
      <c r="E5629" s="8" t="n">
        <v>40026</v>
      </c>
      <c r="F5629" s="7" t="n">
        <v>5</v>
      </c>
      <c r="G5629" s="7" t="inlineStr">
        <is>
          <t>These muffins are delicious!  I even had to substitute maple syrup for the vanilla and used 1 cup bread flour.  I can't wait to make them again with the correct ingredients.</t>
        </is>
      </c>
    </row>
    <row r="5630">
      <c r="A5630" s="7" t="n">
        <v>44304</v>
      </c>
      <c r="B5630" s="7" t="n">
        <v>721916</v>
      </c>
      <c r="C5630" s="7" t="n">
        <v>369715</v>
      </c>
      <c r="D5630" s="7" t="n">
        <v>94532</v>
      </c>
      <c r="E5630" s="8" t="n">
        <v>40738</v>
      </c>
      <c r="F5630" s="7" t="n">
        <v>5</v>
      </c>
      <c r="G5630" s="7" t="inlineStr">
        <is>
          <t>I followed the recipe to a T and we all loved these. They were good and easy to make. The mixture seemed runny when I put it in the oven but they baked up nice. Mine were done in 15 minutes.</t>
        </is>
      </c>
    </row>
    <row r="5631">
      <c r="A5631" s="7" t="n">
        <v>101916</v>
      </c>
      <c r="B5631" s="7" t="n">
        <v>973698</v>
      </c>
      <c r="C5631" s="7" t="n">
        <v>88378</v>
      </c>
      <c r="D5631" s="7" t="n">
        <v>149731</v>
      </c>
      <c r="E5631" s="8" t="n">
        <v>40128</v>
      </c>
      <c r="F5631" s="7" t="n">
        <v>5</v>
      </c>
      <c r="G5631" s="7" t="inlineStr">
        <is>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is>
      </c>
    </row>
    <row r="5632">
      <c r="A5632" s="7" t="n">
        <v>84645</v>
      </c>
      <c r="B5632" s="7" t="n">
        <v>230819</v>
      </c>
      <c r="C5632" s="7" t="n">
        <v>537937</v>
      </c>
      <c r="D5632" s="7" t="n">
        <v>379516</v>
      </c>
      <c r="E5632" s="8" t="n">
        <v>40040</v>
      </c>
      <c r="F5632" s="7" t="n">
        <v>5</v>
      </c>
      <c r="G5632" s="7" t="inlineStr">
        <is>
          <t>This is a great go-to recipe for me to prepare in short order for anytime.  A great snack or lite lunch.  I omitted the greenchili's this time for one DS who doesn't care for them.  But, when I make these again, I'll include them for the others.  I also included a bit of shaved thin ham and some monterey jack cheese slices.  Thanks for a :yummy: recipe Laurie!~</t>
        </is>
      </c>
    </row>
    <row r="5633">
      <c r="A5633" s="7" t="n">
        <v>9362</v>
      </c>
      <c r="B5633" s="7" t="n">
        <v>697116</v>
      </c>
      <c r="C5633" s="7" t="n">
        <v>336025</v>
      </c>
      <c r="D5633" s="7" t="n">
        <v>79462</v>
      </c>
      <c r="E5633" s="8" t="n">
        <v>39363</v>
      </c>
      <c r="F5633" s="7" t="n">
        <v>4</v>
      </c>
      <c r="G5633" s="7" t="inlineStr">
        <is>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is>
      </c>
    </row>
    <row r="5634">
      <c r="A5634" s="7" t="n">
        <v>57297</v>
      </c>
      <c r="B5634" s="7" t="n">
        <v>4882</v>
      </c>
      <c r="C5634" s="7" t="n">
        <v>2000241679</v>
      </c>
      <c r="D5634" s="7" t="n">
        <v>392181</v>
      </c>
      <c r="E5634" s="8" t="n">
        <v>42156</v>
      </c>
      <c r="F5634" s="7" t="n">
        <v>5</v>
      </c>
      <c r="G5634" s="7" t="inlineStr">
        <is>
          <t>Pretty good recipe, though yes it is labor intensive (but what do you expect from a from-scratch 4 layer cake, lol), so make sure you have a pretty large open window of time.  Have not tasted it yet since I made this as a surprise for my sister and she&amp;#039;s not home yet, but it looks like a winner.  A tip would be to use a whisk when cooking the custard for layer 3.  i used a spoon at first and it started to get a bit chunky as it cooked.  To make the rosettes, i just added some powdered sugar to the left over ganache to make it stiff and frosting-like.  Used mini chocolate chips for the side instead of the usual size.  Made my own recipe chocolate cake (I don&amp;#039;t use box mixes for cake) for the bottom layer.</t>
        </is>
      </c>
    </row>
    <row r="5635">
      <c r="A5635" s="7" t="n">
        <v>106263</v>
      </c>
      <c r="B5635" s="7" t="n">
        <v>1014975</v>
      </c>
      <c r="C5635" s="7" t="n">
        <v>13796</v>
      </c>
      <c r="D5635" s="7" t="n">
        <v>109943</v>
      </c>
      <c r="E5635" s="8" t="n">
        <v>39298</v>
      </c>
      <c r="F5635" s="7" t="n">
        <v>5</v>
      </c>
      <c r="G5635" s="7" t="inlineStr">
        <is>
          <t>I bought a whole eye of round on sale. It weighed almost 7 pounds. The only substitution I made was use sweet vermouth for the red wine because I didn't have the wine. The roast had a wonderful flavor. Thank you.</t>
        </is>
      </c>
    </row>
    <row r="5636">
      <c r="A5636" s="7" t="n">
        <v>105508</v>
      </c>
      <c r="B5636" s="7" t="n">
        <v>395319</v>
      </c>
      <c r="C5636" s="7" t="n">
        <v>1870608</v>
      </c>
      <c r="D5636" s="7" t="n">
        <v>52095</v>
      </c>
      <c r="E5636" s="8" t="n">
        <v>41350</v>
      </c>
      <c r="F5636" s="7" t="n">
        <v>5</v>
      </c>
      <c r="G5636" s="7" t="inlineStr">
        <is>
          <t>This was a big hit at our house!  We didn&amp;#039;t add the bacon, chicken or shrimp.  Only had chipotle bbq sauce and it still turned out great!</t>
        </is>
      </c>
    </row>
    <row r="5637">
      <c r="A5637" s="7" t="n">
        <v>93042</v>
      </c>
      <c r="B5637" s="7" t="n">
        <v>1103632</v>
      </c>
      <c r="C5637" s="7" t="n">
        <v>442862</v>
      </c>
      <c r="D5637" s="7" t="n">
        <v>227698</v>
      </c>
      <c r="E5637" s="8" t="n">
        <v>39330</v>
      </c>
      <c r="F5637" s="7" t="n">
        <v>4</v>
      </c>
      <c r="G5637" s="7" t="inlineStr">
        <is>
          <t>I served this at a BBQ I had recently. Although I didn't care much for it myself, my guests really enjoyed it!! I liked that it was make ahead. But don't put the zucchini on the lettuce till the last minute, as it is pretty wet and will make your lettuce soggy.</t>
        </is>
      </c>
    </row>
    <row r="5638">
      <c r="A5638" t="n">
        <v>3146</v>
      </c>
      <c r="B5638" t="n">
        <v>91625</v>
      </c>
      <c r="C5638" t="n">
        <v>2312</v>
      </c>
      <c r="D5638" t="n">
        <v>108281</v>
      </c>
      <c r="E5638" s="1" t="n">
        <v>38686</v>
      </c>
      <c r="F5638" t="n">
        <v>5</v>
      </c>
      <c r="G5638" t="inlineStr">
        <is>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is>
      </c>
    </row>
    <row r="5639">
      <c r="A5639" s="7" t="n">
        <v>68783</v>
      </c>
      <c r="B5639" s="7" t="n">
        <v>736620</v>
      </c>
      <c r="C5639" s="7" t="n">
        <v>715325</v>
      </c>
      <c r="D5639" s="7" t="n">
        <v>99918</v>
      </c>
      <c r="E5639" s="8" t="n">
        <v>39629</v>
      </c>
      <c r="F5639" s="7" t="n">
        <v>5</v>
      </c>
      <c r="G5639" s="7" t="inlineStr">
        <is>
          <t>This was deliscious! I used fettucini noodles instead because I like wider noodles. I also doubled the veggies. I froze most for lunches and they reheated wonderfully. I will definately make this again.</t>
        </is>
      </c>
    </row>
    <row r="5640">
      <c r="A5640" s="7" t="n">
        <v>69428</v>
      </c>
      <c r="B5640" s="7" t="n">
        <v>1109601</v>
      </c>
      <c r="C5640" s="7" t="n">
        <v>2001840046</v>
      </c>
      <c r="D5640" s="7" t="n">
        <v>155430</v>
      </c>
      <c r="E5640" s="8" t="n">
        <v>43074</v>
      </c>
      <c r="F5640" s="7" t="n">
        <v>5</v>
      </c>
      <c r="G5640" s="7" t="inlineStr">
        <is>
          <t>Amazing bread. Is there a receipe for whole wheat.</t>
        </is>
      </c>
    </row>
    <row r="5641">
      <c r="A5641" s="7" t="n">
        <v>16477</v>
      </c>
      <c r="B5641" s="7" t="n">
        <v>270482</v>
      </c>
      <c r="C5641" s="7" t="n">
        <v>94864</v>
      </c>
      <c r="D5641" s="7" t="n">
        <v>3662</v>
      </c>
      <c r="E5641" s="8" t="n">
        <v>37908</v>
      </c>
      <c r="F5641" s="7" t="n">
        <v>5</v>
      </c>
      <c r="G5641" s="7" t="inlineStr">
        <is>
          <t>I made this for my husbands b-day, we loved the finished product.  A little nervous going into it with the saurkrautt and all but it was a great adventure and a divine desert.  Thanks for making baking interesting.</t>
        </is>
      </c>
    </row>
    <row r="5642">
      <c r="A5642" s="7" t="n">
        <v>15801</v>
      </c>
      <c r="B5642" s="7" t="n">
        <v>1087793</v>
      </c>
      <c r="C5642" s="7" t="n">
        <v>2001509029</v>
      </c>
      <c r="D5642" s="7" t="n">
        <v>110936</v>
      </c>
      <c r="E5642" s="8" t="n">
        <v>42851</v>
      </c>
      <c r="F5642" s="7" t="n">
        <v>0</v>
      </c>
      <c r="G5642" s="7" t="inlineStr">
        <is>
          <t>This is awesome!!!! The best recipe for chicken livers ever! I added parsley only. Yumm.</t>
        </is>
      </c>
    </row>
    <row r="5643">
      <c r="A5643" s="7" t="n">
        <v>72994</v>
      </c>
      <c r="B5643" s="7" t="n">
        <v>265368</v>
      </c>
      <c r="C5643" s="7" t="n">
        <v>284406</v>
      </c>
      <c r="D5643" s="7" t="n">
        <v>107786</v>
      </c>
      <c r="E5643" s="8" t="n">
        <v>38733</v>
      </c>
      <c r="F5643" s="7" t="n">
        <v>5</v>
      </c>
      <c r="G5643" s="7" t="inlineStr">
        <is>
          <t>Outstanding.  I have used this method several times &amp; it produces delicious, tender ribs.  I've done the same thing with chicken &amp; it came out great, too.</t>
        </is>
      </c>
    </row>
    <row r="5644">
      <c r="A5644" s="7" t="n">
        <v>6135</v>
      </c>
      <c r="B5644" s="7" t="n">
        <v>847015</v>
      </c>
      <c r="C5644" s="7" t="n">
        <v>264017</v>
      </c>
      <c r="D5644" s="7" t="n">
        <v>80617</v>
      </c>
      <c r="E5644" s="8" t="n">
        <v>40488</v>
      </c>
      <c r="F5644" s="7" t="n">
        <v>4</v>
      </c>
      <c r="G5644" s="7" t="inlineStr">
        <is>
          <t>This was super fast and super easy, but we thought it tasted more like a biscuit crust than a pizza crust. Mine was very sticky and difficult to spread in the pan, plus I think it would benefit from some salt. The bonus: it was pulled together in less than an hour and every bite was eaten!</t>
        </is>
      </c>
    </row>
    <row r="5645">
      <c r="A5645" s="7" t="n">
        <v>91219</v>
      </c>
      <c r="B5645" s="7" t="n">
        <v>426959</v>
      </c>
      <c r="C5645" s="7" t="n">
        <v>113928</v>
      </c>
      <c r="D5645" s="7" t="n">
        <v>169088</v>
      </c>
      <c r="E5645" s="8" t="n">
        <v>38875</v>
      </c>
      <c r="F5645" s="7" t="n">
        <v>5</v>
      </c>
      <c r="G5645" s="7" t="inlineStr">
        <is>
          <t>This is a fabulous summer salad.  My husband and son loved it too.  All the flavours go together nicely.  I had dressing left over, which I had the next day on a red cabbage salad.  I will be bringing this to bbq's all summer long.  Thanks so much Kitten!</t>
        </is>
      </c>
    </row>
    <row r="5646">
      <c r="A5646" s="7" t="n">
        <v>102638</v>
      </c>
      <c r="B5646" s="7" t="n">
        <v>147855</v>
      </c>
      <c r="C5646" s="7" t="n">
        <v>2000734929</v>
      </c>
      <c r="D5646" s="7" t="n">
        <v>365725</v>
      </c>
      <c r="E5646" s="8" t="n">
        <v>42959</v>
      </c>
      <c r="F5646" s="7" t="n">
        <v>5</v>
      </c>
      <c r="G5646" s="7" t="inlineStr">
        <is>
          <t>Love this recipe I have been using it for a while to make everything from cinnamon rolls to pizza crust to actual crescent rolls.</t>
        </is>
      </c>
    </row>
    <row r="5647">
      <c r="A5647" s="7" t="n">
        <v>89434</v>
      </c>
      <c r="B5647" s="7" t="n">
        <v>582346</v>
      </c>
      <c r="C5647" s="7" t="n">
        <v>97895</v>
      </c>
      <c r="D5647" s="7" t="n">
        <v>80434</v>
      </c>
      <c r="E5647" s="8" t="n">
        <v>38064</v>
      </c>
      <c r="F5647" s="7" t="n">
        <v>5</v>
      </c>
      <c r="G5647" s="7" t="inlineStr">
        <is>
          <t>I agree with Miraklegirl,I too had never made beef stock before, lots of chicken stock but no beef. This makes a fine stock and again like her I didn't waste the vegetables. The barley soup was outstanding. A neat trick when making stock is to add a cup of white vinegar to it. It leaches calcium from the bones which is better for you than the stuff the vitamin indusrty makes. The vinegar cooks away, leaving no taste. Thanx for posting this great recipe.</t>
        </is>
      </c>
    </row>
    <row r="5648">
      <c r="A5648" s="7" t="n">
        <v>13616</v>
      </c>
      <c r="B5648" s="7" t="n">
        <v>469054</v>
      </c>
      <c r="C5648" s="7" t="n">
        <v>346514</v>
      </c>
      <c r="D5648" s="7" t="n">
        <v>362388</v>
      </c>
      <c r="E5648" s="8" t="n">
        <v>41098</v>
      </c>
      <c r="F5648" s="7" t="n">
        <v>5</v>
      </c>
      <c r="G5648" s="7" t="inlineStr">
        <is>
          <t>Very easy, and finally something my 8 year-old son will eat, other than the ones from the box!  Used 7 c milk (1 c less), based on reviews.  Delicious.</t>
        </is>
      </c>
    </row>
    <row r="5649">
      <c r="A5649" s="7" t="n">
        <v>43040</v>
      </c>
      <c r="B5649" s="7" t="n">
        <v>453280</v>
      </c>
      <c r="C5649" s="7" t="n">
        <v>2845590</v>
      </c>
      <c r="D5649" s="7" t="n">
        <v>354979</v>
      </c>
      <c r="E5649" s="8" t="n">
        <v>41424</v>
      </c>
      <c r="F5649" s="7" t="n">
        <v>5</v>
      </c>
      <c r="G5649" s="7" t="inlineStr">
        <is>
          <t>just did this and wow so juicy ,i had 3 bacon wrapped tenderloins one was prev cooked rare and frozen and defrosted the other two fresh no one could tell the difference. Thanks for the recipe</t>
        </is>
      </c>
    </row>
    <row r="5650">
      <c r="A5650" s="7" t="n">
        <v>82461</v>
      </c>
      <c r="B5650" s="7" t="n">
        <v>178251</v>
      </c>
      <c r="C5650" s="7" t="n">
        <v>204705</v>
      </c>
      <c r="D5650" s="7" t="n">
        <v>22682</v>
      </c>
      <c r="E5650" s="8" t="n">
        <v>38876</v>
      </c>
      <c r="F5650" s="7" t="n">
        <v>3</v>
      </c>
      <c r="G5650" s="7" t="inlineStr">
        <is>
          <t xml:space="preserve">At first I was having one heck of a time making them into pretzel shapes, but them I realized I was trying too hard, it is so easy! But I did find that I had to roll the strips into ropes to make the proper shape. I also made mine a little bigger so it made less and took a bit longer to bake. The flavor was ok, a lot more break like than pretzel. Almost a pretzel shaped biscuit! Maybe I will try them again with the garlic powder or oregano that others suggested. </t>
        </is>
      </c>
    </row>
    <row r="5651">
      <c r="A5651" s="7" t="n">
        <v>114323</v>
      </c>
      <c r="B5651" s="7" t="n">
        <v>157663</v>
      </c>
      <c r="C5651" s="7" t="n">
        <v>378488</v>
      </c>
      <c r="D5651" s="7" t="n">
        <v>77640</v>
      </c>
      <c r="E5651" s="8" t="n">
        <v>39431</v>
      </c>
      <c r="F5651" s="7" t="n">
        <v>5</v>
      </c>
      <c r="G5651" s="7" t="inlineStr">
        <is>
          <t>Love it!  Just like my Aunt Mary's!</t>
        </is>
      </c>
    </row>
    <row r="5652">
      <c r="A5652" s="7" t="n">
        <v>49123</v>
      </c>
      <c r="B5652" s="7" t="n">
        <v>122953</v>
      </c>
      <c r="C5652" s="7" t="n">
        <v>816558</v>
      </c>
      <c r="D5652" s="7" t="n">
        <v>302367</v>
      </c>
      <c r="E5652" s="8" t="n">
        <v>39884</v>
      </c>
      <c r="F5652" s="7" t="n">
        <v>5</v>
      </c>
      <c r="G5652" s="7" t="inlineStr">
        <is>
          <t>I changed it to be gluten free. I used 1 1/2 cups (not 1 1/4 cups) gluten free flour mix :(sorgum,tapioca and cornstarch), 3/4 tsp. xanthan gum and I used the oil version. FANTASTIC, my daughter raved. thank you!!</t>
        </is>
      </c>
    </row>
    <row r="5653">
      <c r="A5653" s="7" t="n">
        <v>36441</v>
      </c>
      <c r="B5653" s="7" t="n">
        <v>1015593</v>
      </c>
      <c r="C5653" s="7" t="n">
        <v>199610</v>
      </c>
      <c r="D5653" s="7" t="n">
        <v>74359</v>
      </c>
      <c r="E5653" s="8" t="n">
        <v>38998</v>
      </c>
      <c r="F5653" s="7" t="n">
        <v>5</v>
      </c>
      <c r="G5653" s="7" t="inlineStr">
        <is>
          <t>You can also use almost 1 cup milk &amp; 1 T lemon juice. Let it sit 10 mins</t>
        </is>
      </c>
    </row>
    <row r="5654" ht="409.5" customHeight="1">
      <c r="A5654" s="7" t="n">
        <v>69631</v>
      </c>
      <c r="B5654" s="7" t="n">
        <v>656060</v>
      </c>
      <c r="C5654" s="7" t="n">
        <v>50114</v>
      </c>
      <c r="D5654" s="7" t="n">
        <v>27208</v>
      </c>
      <c r="E5654" s="8" t="n">
        <v>37543</v>
      </c>
      <c r="F5654" s="7" t="n">
        <v>5</v>
      </c>
      <c r="G5654" s="9" t="inlineStr">
        <is>
          <t xml:space="preserve">this recipe is sooo simple. And the gravy it makes is wonderful. I wasn't so sure about the ingredients when I first saw it._x000D_
But it very very good. Just make sure you use a roast with very little fat._x000D_
_x000D_
</t>
        </is>
      </c>
    </row>
    <row r="5655">
      <c r="A5655" s="7" t="n">
        <v>51571</v>
      </c>
      <c r="B5655" s="7" t="n">
        <v>1017752</v>
      </c>
      <c r="C5655" s="7" t="n">
        <v>428885</v>
      </c>
      <c r="D5655" s="7" t="n">
        <v>37184</v>
      </c>
      <c r="E5655" s="8" t="n">
        <v>39448</v>
      </c>
      <c r="F5655" s="7" t="n">
        <v>5</v>
      </c>
      <c r="G5655" s="7" t="inlineStr">
        <is>
          <t>I made these quick, tasty sandwiches for a nice New Year's Day lunch. Had everything on hand, and followed this exactly. This was as close to "sub shop" type "Steak Subs", without making the trip into town. Wonderful delicious-i-ness that can't be beat. I decreased the butter to 1/2 tablespoon because I just sprayed  the pan with cooking spray and sauteed' the onions, green pepper, and mushrooms until soft and added mixed minute steak in until heated through. Put the whole wonderful mix in the oven to toast. Oh boy, this was a real treat....and will keep this recipe for years to come! Thank you so very much!</t>
        </is>
      </c>
    </row>
    <row r="5656">
      <c r="A5656" s="7" t="n">
        <v>60140</v>
      </c>
      <c r="B5656" s="7" t="n">
        <v>112185</v>
      </c>
      <c r="C5656" s="7" t="n">
        <v>369715</v>
      </c>
      <c r="D5656" s="7" t="n">
        <v>339704</v>
      </c>
      <c r="E5656" s="8" t="n">
        <v>39799</v>
      </c>
      <c r="F5656" s="7" t="n">
        <v>4</v>
      </c>
      <c r="G5656" s="7" t="inlineStr">
        <is>
          <t>Good, quick and easy side dish. I followed the recipe as written but used a can of peas (I don't care for frozen peas and didn't have any fresh). Next time I think I would use butter instead of olive oil though.</t>
        </is>
      </c>
    </row>
    <row r="5657">
      <c r="A5657" s="7" t="n">
        <v>12025</v>
      </c>
      <c r="B5657" s="7" t="n">
        <v>576074</v>
      </c>
      <c r="C5657" s="7" t="n">
        <v>2001907487</v>
      </c>
      <c r="D5657" s="7" t="n">
        <v>15242</v>
      </c>
      <c r="E5657" s="8" t="n">
        <v>43102</v>
      </c>
      <c r="F5657" s="7" t="n">
        <v>5</v>
      </c>
      <c r="G5657" s="7" t="inlineStr">
        <is>
          <t>Tastes just like Cracker Barrel's! I cut the recipe in half and the only thing I changed was I added garlic powder to the mix. Absolutely delicious!!</t>
        </is>
      </c>
    </row>
    <row r="5658">
      <c r="A5658" s="7" t="n">
        <v>124537</v>
      </c>
      <c r="B5658" s="7" t="n">
        <v>126756</v>
      </c>
      <c r="C5658" s="7" t="n">
        <v>1409163</v>
      </c>
      <c r="D5658" s="7" t="n">
        <v>285449</v>
      </c>
      <c r="E5658" s="8" t="n">
        <v>40862</v>
      </c>
      <c r="F5658" s="7" t="n">
        <v>5</v>
      </c>
      <c r="G5658" s="7" t="inlineStr">
        <is>
          <t>These we so good, I can't believe it.  I only needed about 2 1/2 cups of bread flour (I cut the recipe in half) and they were tender and delicious!</t>
        </is>
      </c>
    </row>
    <row r="5659">
      <c r="A5659" s="7" t="n">
        <v>60059</v>
      </c>
      <c r="B5659" s="7" t="n">
        <v>862311</v>
      </c>
      <c r="C5659" s="7" t="n">
        <v>1728414</v>
      </c>
      <c r="D5659" s="7" t="n">
        <v>36806</v>
      </c>
      <c r="E5659" s="8" t="n">
        <v>40494</v>
      </c>
      <c r="F5659" s="7" t="n">
        <v>5</v>
      </c>
      <c r="G5659" s="7" t="inlineStr">
        <is>
          <t>My review came up with only 3 stars even though I hit five stars. This is DEFINATELY a five-star recipe!!!</t>
        </is>
      </c>
    </row>
    <row r="5660">
      <c r="A5660" s="7" t="n">
        <v>6169</v>
      </c>
      <c r="B5660" s="7" t="n">
        <v>946332</v>
      </c>
      <c r="C5660" s="7" t="n">
        <v>682964</v>
      </c>
      <c r="D5660" s="7" t="n">
        <v>48490</v>
      </c>
      <c r="E5660" s="8" t="n">
        <v>39468</v>
      </c>
      <c r="F5660" s="7" t="n">
        <v>5</v>
      </c>
      <c r="G5660" s="7" t="inlineStr">
        <is>
          <t>This was so good!  I made it for a family Christmas party and everyone wanted the recipe.  I have another family get together tomorrow, and I was begged to make this again.  Thanks so much!</t>
        </is>
      </c>
    </row>
    <row r="5661">
      <c r="A5661" s="7" t="n">
        <v>74922</v>
      </c>
      <c r="B5661" s="7" t="n">
        <v>720670</v>
      </c>
      <c r="C5661" s="7" t="n">
        <v>207375</v>
      </c>
      <c r="D5661" s="7" t="n">
        <v>32857</v>
      </c>
      <c r="E5661" s="8" t="n">
        <v>38833</v>
      </c>
      <c r="F5661" s="7" t="n">
        <v>4</v>
      </c>
      <c r="G5661" s="7" t="inlineStr">
        <is>
          <t xml:space="preserve">This was good.  It is pretty quick to make, but it's not very sophisticated.  I want to play aroung with it to see if I can add some flair to it.  </t>
        </is>
      </c>
    </row>
    <row r="5662">
      <c r="A5662" s="7" t="n">
        <v>109779</v>
      </c>
      <c r="B5662" s="7" t="n">
        <v>813108</v>
      </c>
      <c r="C5662" s="7" t="n">
        <v>24323</v>
      </c>
      <c r="D5662" s="7" t="n">
        <v>10837</v>
      </c>
      <c r="E5662" s="8" t="n">
        <v>37508</v>
      </c>
      <c r="F5662" s="7" t="n">
        <v>4</v>
      </c>
      <c r="G5662" s="7" t="inlineStr">
        <is>
          <t>Fresh from the garden taste.  I combined Roma tomatoes with regular ones (with some of the juice and seeds removed) and it worked great.  I'm going to freeze this and what a treat it will be in the middle of the winter to have this sauce as a reminder of summer.</t>
        </is>
      </c>
    </row>
    <row r="5663">
      <c r="A5663" s="7" t="n">
        <v>72771</v>
      </c>
      <c r="B5663" s="7" t="n">
        <v>170758</v>
      </c>
      <c r="C5663" s="7" t="n">
        <v>177443</v>
      </c>
      <c r="D5663" s="7" t="n">
        <v>72316</v>
      </c>
      <c r="E5663" s="8" t="n">
        <v>38444</v>
      </c>
      <c r="F5663" s="7" t="n">
        <v>5</v>
      </c>
      <c r="G5663" s="7" t="inlineStr">
        <is>
          <t xml:space="preserve">Sugarpea, this was delicious. I used double the amount of coarse grain mustard and a 3 lb. boneless pork tenderloin. Very easy and delicious; I have made this twice now. Thanks for a keeper. </t>
        </is>
      </c>
    </row>
    <row r="5664">
      <c r="A5664" s="7" t="n">
        <v>10933</v>
      </c>
      <c r="B5664" s="7" t="n">
        <v>901297</v>
      </c>
      <c r="C5664" s="7" t="n">
        <v>2001322177</v>
      </c>
      <c r="D5664" s="7" t="n">
        <v>340215</v>
      </c>
      <c r="E5664" s="8" t="n">
        <v>42730</v>
      </c>
      <c r="F5664" s="7" t="n">
        <v>5</v>
      </c>
      <c r="G5664" s="7" t="inlineStr">
        <is>
          <t>I made this for my nine month old baby girl. She loved it! This recipe is definitely a keeper. The only changed I made was using homemade chicken broth. I also used red lentils. Thanks for the delicious combination.</t>
        </is>
      </c>
    </row>
    <row r="5665">
      <c r="A5665" s="7" t="n">
        <v>82669</v>
      </c>
      <c r="B5665" s="7" t="n">
        <v>1009831</v>
      </c>
      <c r="C5665" s="7" t="n">
        <v>73836</v>
      </c>
      <c r="D5665" s="7" t="n">
        <v>119487</v>
      </c>
      <c r="E5665" s="8" t="n">
        <v>38747</v>
      </c>
      <c r="F5665" s="7" t="n">
        <v>5</v>
      </c>
      <c r="G5665" s="7" t="inlineStr">
        <is>
          <t>These were really delicious muffins.  They were rising beautifully and I ruined them by taking them out of the oven about 10 minutes before I should have to sprinkle some more shredded cheese on top.  As a result they sank, however they still tasted wonderful.  I will make these again without being greedy with the cheese.  I'll leave well enough alone!  Thanks for a great recipe Rose!</t>
        </is>
      </c>
    </row>
    <row r="5666">
      <c r="A5666" s="7" t="n">
        <v>123042</v>
      </c>
      <c r="B5666" s="7" t="n">
        <v>809697</v>
      </c>
      <c r="C5666" s="7" t="n">
        <v>56181</v>
      </c>
      <c r="D5666" s="7" t="n">
        <v>47167</v>
      </c>
      <c r="E5666" s="8" t="n">
        <v>37909</v>
      </c>
      <c r="F5666" s="7" t="n">
        <v>5</v>
      </c>
      <c r="G5666" s="7" t="inlineStr">
        <is>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is>
      </c>
    </row>
    <row r="5667">
      <c r="A5667" s="7" t="n">
        <v>122721</v>
      </c>
      <c r="B5667" s="7" t="n">
        <v>412767</v>
      </c>
      <c r="C5667" s="7" t="n">
        <v>526666</v>
      </c>
      <c r="D5667" s="7" t="n">
        <v>373386</v>
      </c>
      <c r="E5667" s="8" t="n">
        <v>39973</v>
      </c>
      <c r="F5667" s="7" t="n">
        <v>5</v>
      </c>
      <c r="G5667" s="7" t="inlineStr">
        <is>
          <t>This was super easy and delicious! I especially loved the addition of OJ, maybe gave it a little 'zing!' I did use Myer's rum and served over vanilla bean ice cream. After baking, I also poured the excess liquid over the ice cream. Thanks, FloridaNative, for posting. Made for ZWT 5.</t>
        </is>
      </c>
    </row>
    <row r="5668">
      <c r="A5668" s="7" t="n">
        <v>59168</v>
      </c>
      <c r="B5668" s="7" t="n">
        <v>266034</v>
      </c>
      <c r="C5668" s="7" t="n">
        <v>2678063</v>
      </c>
      <c r="D5668" s="7" t="n">
        <v>107786</v>
      </c>
      <c r="E5668" s="8" t="n">
        <v>41309</v>
      </c>
      <c r="F5668" s="7" t="n">
        <v>5</v>
      </c>
      <c r="G5668" s="7" t="inlineStr">
        <is>
          <t>These are great. I've made ribs in the past where I had to boil them first but they still came out tough. These were perfect. This will be my method of choice from this day forward. Thank you.</t>
        </is>
      </c>
    </row>
    <row r="5669">
      <c r="A5669" s="7" t="n">
        <v>122648</v>
      </c>
      <c r="B5669" s="7" t="n">
        <v>918249</v>
      </c>
      <c r="C5669" s="7" t="n">
        <v>445711</v>
      </c>
      <c r="D5669" s="7" t="n">
        <v>129532</v>
      </c>
      <c r="E5669" s="8" t="n">
        <v>39129</v>
      </c>
      <c r="F5669" s="7" t="n">
        <v>5</v>
      </c>
      <c r="G5669" s="7" t="inlineStr">
        <is>
          <t>The original recipes also called for 1/2 C toasted pine nuts and only 2 oz of the Parmesan, though I prefer it with the extra cheese too.  Try it with the pine nuts, add it in at the same time you add the zucchini.</t>
        </is>
      </c>
    </row>
    <row r="5670">
      <c r="A5670" s="7" t="n">
        <v>5106</v>
      </c>
      <c r="B5670" s="7" t="n">
        <v>899515</v>
      </c>
      <c r="C5670" s="7" t="n">
        <v>4470</v>
      </c>
      <c r="D5670" s="7" t="n">
        <v>391144</v>
      </c>
      <c r="E5670" s="8" t="n">
        <v>40538</v>
      </c>
      <c r="F5670" s="7" t="n">
        <v>5</v>
      </c>
      <c r="G5670" s="7" t="inlineStr">
        <is>
          <t>This was our Christmas dinner this year and it was wonderful.  I cut the recipe in half added Pacific white spot prawns and didn't use any ham or the porkchop. doubled the saffron. Everything worked perfectly - the arborio rice cooks so evenly. The vegetable base adds color and flavor Served with an artichoke mushroom salad, roasted olives and goat cheese stuffed figs.  Heavenly, thanks for a wonderf Christmas</t>
        </is>
      </c>
    </row>
    <row r="5671">
      <c r="A5671" s="7" t="n">
        <v>77933</v>
      </c>
      <c r="B5671" s="7" t="n">
        <v>560911</v>
      </c>
      <c r="C5671" s="7" t="n">
        <v>4470</v>
      </c>
      <c r="D5671" s="7" t="n">
        <v>127187</v>
      </c>
      <c r="E5671" s="8" t="n">
        <v>38529</v>
      </c>
      <c r="F5671" s="7" t="n">
        <v>5</v>
      </c>
      <c r="G5671" s="7" t="inlineStr">
        <is>
          <t xml:space="preserve"> This was a very tasty Chihuahua. I was lucky to find a new sausage maker at our Farmers Market and his specialty is Mexican Chorizo - they were so good.  Too big for a hot dog bun so I used a Portuguese roll. I love the onions carmelized so I put them in the pan before the sausagea and added some sliced mushrooms.Just nice heat (Ilike hot)  This recipe would also be great wrapped in a corn tortilla  Thanks Norm Cooks for a recipe that I will be making again</t>
        </is>
      </c>
    </row>
    <row r="5672">
      <c r="A5672" s="7" t="n">
        <v>55387</v>
      </c>
      <c r="B5672" s="7" t="n">
        <v>841633</v>
      </c>
      <c r="C5672" s="7" t="n">
        <v>168747</v>
      </c>
      <c r="D5672" s="7" t="n">
        <v>104724</v>
      </c>
      <c r="E5672" s="8" t="n">
        <v>38338</v>
      </c>
      <c r="F5672" s="7" t="n">
        <v>5</v>
      </c>
      <c r="G5672" s="7" t="inlineStr">
        <is>
          <t>great dip! Everyone loved it. I ate the bread bowl that was left (THATS ALL I GOT). The water chestnuts made it vert interesting, loved them.</t>
        </is>
      </c>
    </row>
    <row r="5673">
      <c r="A5673" s="7" t="n">
        <v>23241</v>
      </c>
      <c r="B5673" s="7" t="n">
        <v>493655</v>
      </c>
      <c r="C5673" s="7" t="n">
        <v>1296803</v>
      </c>
      <c r="D5673" s="7" t="n">
        <v>71373</v>
      </c>
      <c r="E5673" s="8" t="n">
        <v>40590</v>
      </c>
      <c r="F5673" s="7" t="n">
        <v>5</v>
      </c>
      <c r="G5673" s="7" t="inlineStr">
        <is>
          <t>Came out great! I left out the shortening though, just went with butter. :)</t>
        </is>
      </c>
    </row>
    <row r="5674">
      <c r="A5674" s="7" t="n">
        <v>48953</v>
      </c>
      <c r="B5674" s="7" t="n">
        <v>219330</v>
      </c>
      <c r="C5674" s="7" t="n">
        <v>2001491041</v>
      </c>
      <c r="D5674" s="7" t="n">
        <v>130588</v>
      </c>
      <c r="E5674" s="8" t="n">
        <v>42840</v>
      </c>
      <c r="F5674" s="7" t="n">
        <v>5</v>
      </c>
      <c r="G5674" s="7" t="inlineStr">
        <is>
          <t>Great base recipe. I used butter instead of margarine and added shredded coconut, craisins, pumpkin seeds and sliced almonds.</t>
        </is>
      </c>
    </row>
    <row r="5675">
      <c r="A5675" s="7" t="n">
        <v>70735</v>
      </c>
      <c r="B5675" s="7" t="n">
        <v>848589</v>
      </c>
      <c r="C5675" s="7" t="n">
        <v>95743</v>
      </c>
      <c r="D5675" s="7" t="n">
        <v>156672</v>
      </c>
      <c r="E5675" s="8" t="n">
        <v>39474</v>
      </c>
      <c r="F5675" s="7" t="n">
        <v>5</v>
      </c>
      <c r="G5675" s="7" t="inlineStr">
        <is>
          <t>Can't sub olive oil in this one.  Delicious.</t>
        </is>
      </c>
    </row>
    <row r="5676">
      <c r="A5676" s="7" t="n">
        <v>47647</v>
      </c>
      <c r="B5676" s="7" t="n">
        <v>821261</v>
      </c>
      <c r="C5676" s="7" t="n">
        <v>169430</v>
      </c>
      <c r="D5676" s="7" t="n">
        <v>460690</v>
      </c>
      <c r="E5676" s="8" t="n">
        <v>40834</v>
      </c>
      <c r="F5676" s="7" t="n">
        <v>5</v>
      </c>
      <c r="G5676" s="7" t="inlineStr">
        <is>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is>
      </c>
    </row>
    <row r="5677">
      <c r="A5677" s="7" t="n">
        <v>109647</v>
      </c>
      <c r="B5677" s="7" t="n">
        <v>454441</v>
      </c>
      <c r="C5677" s="7" t="n">
        <v>105601</v>
      </c>
      <c r="D5677" s="7" t="n">
        <v>275486</v>
      </c>
      <c r="E5677" s="8" t="n">
        <v>40798</v>
      </c>
      <c r="F5677" s="7" t="n">
        <v>5</v>
      </c>
      <c r="G5677" s="7" t="inlineStr">
        <is>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is>
      </c>
    </row>
    <row r="5678">
      <c r="A5678" s="7" t="n">
        <v>24412</v>
      </c>
      <c r="B5678" s="7" t="n">
        <v>656761</v>
      </c>
      <c r="C5678" s="7" t="n">
        <v>136299</v>
      </c>
      <c r="D5678" s="7" t="n">
        <v>27208</v>
      </c>
      <c r="E5678" s="8" t="n">
        <v>39606</v>
      </c>
      <c r="F5678" s="7" t="n">
        <v>5</v>
      </c>
      <c r="G5678" s="7" t="inlineStr">
        <is>
          <t>Easy worry free recipe.  I add potatoes and carrots, and spread the seasoning mix all over them too.  Made for a wonderful dinner.  Thanks for the recipe.</t>
        </is>
      </c>
    </row>
    <row r="5679">
      <c r="A5679" s="7" t="n">
        <v>99322</v>
      </c>
      <c r="B5679" s="7" t="n">
        <v>764103</v>
      </c>
      <c r="C5679" s="7" t="n">
        <v>705251</v>
      </c>
      <c r="D5679" s="7" t="n">
        <v>355242</v>
      </c>
      <c r="E5679" s="8" t="n">
        <v>40155</v>
      </c>
      <c r="F5679" s="7" t="n">
        <v>4</v>
      </c>
      <c r="G5679" s="7" t="inlineStr">
        <is>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is>
      </c>
    </row>
    <row r="5680">
      <c r="A5680" s="7" t="n">
        <v>46456</v>
      </c>
      <c r="B5680" s="7" t="n">
        <v>803894</v>
      </c>
      <c r="C5680" s="7" t="n">
        <v>179642</v>
      </c>
      <c r="D5680" s="7" t="n">
        <v>57062</v>
      </c>
      <c r="E5680" s="8" t="n">
        <v>39182</v>
      </c>
      <c r="F5680" s="7" t="n">
        <v>4</v>
      </c>
      <c r="G5680" s="7" t="inlineStr">
        <is>
          <t>These were really good.  But... they don't freeze well for a long period of time.  I would use them up within 3 weeks.  I just made some that had been frozen for over a month and the texture was all wrong and the taste wasn't great.  They were funky enough that we didn't eat them.</t>
        </is>
      </c>
    </row>
    <row r="5681">
      <c r="A5681" s="7" t="n">
        <v>74412</v>
      </c>
      <c r="B5681" s="7" t="n">
        <v>1074732</v>
      </c>
      <c r="C5681" s="7" t="n">
        <v>2338487</v>
      </c>
      <c r="D5681" s="7" t="n">
        <v>135350</v>
      </c>
      <c r="E5681" s="8" t="n">
        <v>41113</v>
      </c>
      <c r="F5681" s="7" t="n">
        <v>5</v>
      </c>
      <c r="G5681" s="7" t="inlineStr">
        <is>
          <t>Don't mess with the classics! Great recipe. I add ritz crackers instead of bread crumbs because I usually have them on hand, but otherwise I've found that I can't really improve on this recipe. It don't take to being fancied up so well.</t>
        </is>
      </c>
    </row>
    <row r="5682">
      <c r="A5682" s="7" t="n">
        <v>36802</v>
      </c>
      <c r="B5682" s="7" t="n">
        <v>817117</v>
      </c>
      <c r="C5682" s="7" t="n">
        <v>158086</v>
      </c>
      <c r="D5682" s="7" t="n">
        <v>347218</v>
      </c>
      <c r="E5682" s="8" t="n">
        <v>40473</v>
      </c>
      <c r="F5682" s="7" t="n">
        <v>5</v>
      </c>
      <c r="G5682" s="7" t="inlineStr">
        <is>
          <t>Can I give this recipe 10 stars?  It was that good...I doubled it because of the piece of meat I had.  I am very glad I did..the only thing I changed was I added a little red wine to it and a little more tomotes...and cooked it quite long...but boy was it tasty...</t>
        </is>
      </c>
    </row>
    <row r="5683">
      <c r="A5683" s="7" t="n">
        <v>93623</v>
      </c>
      <c r="B5683" s="7" t="n">
        <v>247327</v>
      </c>
      <c r="C5683" s="7" t="n">
        <v>464080</v>
      </c>
      <c r="D5683" s="7" t="n">
        <v>268740</v>
      </c>
      <c r="E5683" s="8" t="n">
        <v>40371</v>
      </c>
      <c r="F5683" s="7" t="n">
        <v>5</v>
      </c>
      <c r="G5683" s="7" t="inlineStr">
        <is>
          <t>HUGE fan of marinated olives and these did not disappoint!  Hubby doesn't like pits in olives, so I used the pitted sorts.  I found a can of green olives in a simple light brine (they tasted like just regular black olives) and I also threw in some kalamatas for color and a change of pace.  I let mine marinate for about a day and a half before tasting.  I will certainly make these again,  but I will use only 1 garlic clove.  THANKS for a great recipe!  UPDATE:  These were even MORE fabulous on day 3. . .the orange was much more pronounced and I have to say they were downright OUTSTANDING.</t>
        </is>
      </c>
    </row>
    <row r="5684">
      <c r="A5684" s="7" t="n">
        <v>5953</v>
      </c>
      <c r="B5684" s="7" t="n">
        <v>771779</v>
      </c>
      <c r="C5684" s="7" t="n">
        <v>305531</v>
      </c>
      <c r="D5684" s="7" t="n">
        <v>444647</v>
      </c>
      <c r="E5684" s="8" t="n">
        <v>41449</v>
      </c>
      <c r="F5684" s="7" t="n">
        <v>5</v>
      </c>
      <c r="G5684" s="7" t="inlineStr">
        <is>
          <t>Yummy broccoli. I made as directed and added the chili powder, but threw the broccoli in the pan at the end to mix the sauce with the broccoli. Very simple and good. Thanks for sharing. Made for Bargain Basement Tag.</t>
        </is>
      </c>
    </row>
    <row r="5685">
      <c r="A5685" s="7" t="n">
        <v>22548</v>
      </c>
      <c r="B5685" s="7" t="n">
        <v>559171</v>
      </c>
      <c r="C5685" s="7" t="n">
        <v>287420</v>
      </c>
      <c r="D5685" s="7" t="n">
        <v>230172</v>
      </c>
      <c r="E5685" s="8" t="n">
        <v>39234</v>
      </c>
      <c r="F5685" s="7" t="n">
        <v>5</v>
      </c>
      <c r="G5685" s="7" t="inlineStr">
        <is>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is>
      </c>
    </row>
    <row r="5686">
      <c r="A5686" s="7" t="n">
        <v>33153</v>
      </c>
      <c r="B5686" s="7" t="n">
        <v>497104</v>
      </c>
      <c r="C5686" s="7" t="n">
        <v>405099</v>
      </c>
      <c r="D5686" s="7" t="n">
        <v>52558</v>
      </c>
      <c r="E5686" s="8" t="n">
        <v>39445</v>
      </c>
      <c r="F5686" s="7" t="n">
        <v>4</v>
      </c>
      <c r="G5686" s="7" t="inlineStr">
        <is>
          <t>This is probably the best pound cake recipe I've tried! Thanks for posting!!</t>
        </is>
      </c>
    </row>
    <row r="5687">
      <c r="A5687" t="n">
        <v>73142</v>
      </c>
      <c r="B5687" t="n">
        <v>291847</v>
      </c>
      <c r="C5687" t="n">
        <v>140008</v>
      </c>
      <c r="D5687" t="n">
        <v>17877</v>
      </c>
      <c r="E5687" s="1" t="n">
        <v>40832</v>
      </c>
      <c r="F5687" t="n">
        <v>4</v>
      </c>
      <c r="G5687" t="inlineStr">
        <is>
          <t>This recipe is pretty good.  I made a few changes.  Due to the length of my work day it was in the crock pot for a total of 11 hours.  I used 5 cups of tomato sauce and 2 cups of water.  I shook some extra parsley in and used ground turkey.  I used 16oz of pasta.  It made enough for dinner plus a dinner to freeze for later.  I think it needs more Italian herbs.  Still it was easy, low maintanence.  Definitely will be made again.  Thanks!</t>
        </is>
      </c>
    </row>
    <row r="5688">
      <c r="A5688" s="7" t="n">
        <v>17295</v>
      </c>
      <c r="B5688" s="7" t="n">
        <v>843259</v>
      </c>
      <c r="C5688" s="7" t="n">
        <v>720912</v>
      </c>
      <c r="D5688" s="7" t="n">
        <v>292392</v>
      </c>
      <c r="E5688" s="8" t="n">
        <v>39717</v>
      </c>
      <c r="F5688" s="7" t="n">
        <v>5</v>
      </c>
      <c r="G5688" s="7" t="inlineStr">
        <is>
          <t>great- I made this as directed- rreally wonderful and fragrant rice-thanks for the great recipe.</t>
        </is>
      </c>
    </row>
    <row r="5689">
      <c r="A5689" s="7" t="n">
        <v>51930</v>
      </c>
      <c r="B5689" s="7" t="n">
        <v>462981</v>
      </c>
      <c r="C5689" s="7" t="n">
        <v>552864</v>
      </c>
      <c r="D5689" s="7" t="n">
        <v>118197</v>
      </c>
      <c r="E5689" s="8" t="n">
        <v>39466</v>
      </c>
      <c r="F5689" s="7" t="n">
        <v>4</v>
      </c>
      <c r="G5689" s="7" t="inlineStr">
        <is>
          <t>I made these for a birthday party get together as the host is diabetic.  I had to use half raisin and half apricots to make the correct amount of fruit. I wasn't sure what to expect and had my doubts. After eating 3 cookies I realized that I thought they were pretty darn tasty after all.  The party guest seemed to like them as well. Thank you for a recipe that didn't leave our host out of the goodies tray.</t>
        </is>
      </c>
    </row>
    <row r="5690">
      <c r="A5690" s="7" t="n">
        <v>109037</v>
      </c>
      <c r="B5690" s="7" t="n">
        <v>371481</v>
      </c>
      <c r="C5690" s="7" t="n">
        <v>229940</v>
      </c>
      <c r="D5690" s="7" t="n">
        <v>120396</v>
      </c>
      <c r="E5690" s="8" t="n">
        <v>38614</v>
      </c>
      <c r="F5690" s="7" t="n">
        <v>5</v>
      </c>
      <c r="G5690" s="7" t="inlineStr">
        <is>
          <t>Super-duper easy adn just about as quick as a ray of light to make.from the get-go it smelled wonderful tasted even better once it was done.A excellent  dipping sauce for egg rolls.</t>
        </is>
      </c>
    </row>
    <row r="5691">
      <c r="A5691" s="7" t="n">
        <v>91260</v>
      </c>
      <c r="B5691" s="7" t="n">
        <v>266226</v>
      </c>
      <c r="C5691" s="7" t="n">
        <v>734237</v>
      </c>
      <c r="D5691" s="7" t="n">
        <v>107786</v>
      </c>
      <c r="E5691" s="8" t="n">
        <v>42360</v>
      </c>
      <c r="F5691" s="7" t="n">
        <v>5</v>
      </c>
      <c r="G5691" s="7" t="inlineStr">
        <is>
          <t>This turns out awesome every time I make them.  I use a ready made rub from the store - I think maple smokehouse or something like that.  Also use country style pork ribs already cut up.  I follow the rest of the directions and everyone loves them.</t>
        </is>
      </c>
    </row>
    <row r="5692">
      <c r="A5692" s="7" t="n">
        <v>78857</v>
      </c>
      <c r="B5692" s="7" t="n">
        <v>147618</v>
      </c>
      <c r="C5692" s="7" t="n">
        <v>43654</v>
      </c>
      <c r="D5692" s="7" t="n">
        <v>17874</v>
      </c>
      <c r="E5692" s="8" t="n">
        <v>37453</v>
      </c>
      <c r="F5692" s="7" t="n">
        <v>5</v>
      </c>
      <c r="G5692" s="7" t="inlineStr">
        <is>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is>
      </c>
    </row>
    <row r="5693">
      <c r="A5693" s="7" t="n">
        <v>32748</v>
      </c>
      <c r="B5693" s="7" t="n">
        <v>248046</v>
      </c>
      <c r="C5693" s="7" t="n">
        <v>2002126802</v>
      </c>
      <c r="D5693" s="7" t="n">
        <v>215414</v>
      </c>
      <c r="E5693" s="8" t="n">
        <v>43232</v>
      </c>
      <c r="F5693" s="7" t="n">
        <v>5</v>
      </c>
      <c r="G5693" s="7" t="inlineStr">
        <is>
          <t>We loved this. The only change was I did not have 2 cans cream chicken soup so used one chicken and 1 cream mushroom. Will be making this again. Would like to make it with Italian Sausage next time.</t>
        </is>
      </c>
    </row>
    <row r="5694">
      <c r="A5694" s="7" t="n">
        <v>90806</v>
      </c>
      <c r="B5694" s="7" t="n">
        <v>612116</v>
      </c>
      <c r="C5694" s="7" t="n">
        <v>54678</v>
      </c>
      <c r="D5694" s="7" t="n">
        <v>105102</v>
      </c>
      <c r="E5694" s="8" t="n">
        <v>38329</v>
      </c>
      <c r="F5694" s="7" t="n">
        <v>5</v>
      </c>
      <c r="G5694" s="7" t="inlineStr">
        <is>
          <t>These were awesome. Picked this recipe as the appetizer to bring to our first Christmas party of the year. Easy, quick and mighty tasty. Forgot to mention that we had the butcher cut the rack into thirds and then we cut into single ribs after seasoning. Or just buy the ribs already cut as "sweet n sour". We did not crisp up as we loved them right out of the foil as is.</t>
        </is>
      </c>
    </row>
    <row r="5695">
      <c r="A5695" s="7" t="n">
        <v>8595</v>
      </c>
      <c r="B5695" s="7" t="n">
        <v>868154</v>
      </c>
      <c r="C5695" s="7" t="n">
        <v>113373</v>
      </c>
      <c r="D5695" s="7" t="n">
        <v>267713</v>
      </c>
      <c r="E5695" s="8" t="n">
        <v>39659</v>
      </c>
      <c r="F5695" s="7" t="n">
        <v>5</v>
      </c>
      <c r="G5695" s="7" t="inlineStr">
        <is>
          <t>My daughter made this recipe for us last night, she got the recipe from eating well, and it was easy and delicious!  I was going to add it, but you beat me to it!!!  This one is getting added to my dinner rotation!</t>
        </is>
      </c>
    </row>
    <row r="5696">
      <c r="A5696" s="7" t="n">
        <v>79581</v>
      </c>
      <c r="B5696" s="7" t="n">
        <v>413187</v>
      </c>
      <c r="C5696" s="7" t="n">
        <v>762139</v>
      </c>
      <c r="D5696" s="7" t="n">
        <v>304803</v>
      </c>
      <c r="E5696" s="8" t="n">
        <v>39602</v>
      </c>
      <c r="F5696" s="7" t="n">
        <v>5</v>
      </c>
      <c r="G5696" s="7" t="inlineStr">
        <is>
          <t>Wonderful!  I substituted black beans for the olives (just because I don't like olives) and it was delicious that way, too.</t>
        </is>
      </c>
    </row>
    <row r="5697">
      <c r="A5697" s="7" t="n">
        <v>90773</v>
      </c>
      <c r="B5697" s="7" t="n">
        <v>947130</v>
      </c>
      <c r="C5697" s="7" t="n">
        <v>383346</v>
      </c>
      <c r="D5697" s="7" t="n">
        <v>250232</v>
      </c>
      <c r="E5697" s="8" t="n">
        <v>40312</v>
      </c>
      <c r="F5697" s="7" t="n">
        <v>5</v>
      </c>
      <c r="G5697" s="7" t="inlineStr">
        <is>
          <t>These fries are so yummy and healthy.  1 tablespoon of oil was enough.  I used 2 teaspoon of club house cajun seasoning.  No salt and pepper was needed.  Thanks Paula :)  Made for Healthy tag game</t>
        </is>
      </c>
    </row>
    <row r="5698">
      <c r="A5698" s="7" t="n">
        <v>111579</v>
      </c>
      <c r="B5698" s="7" t="n">
        <v>1074563</v>
      </c>
      <c r="C5698" s="7" t="n">
        <v>1701078</v>
      </c>
      <c r="D5698" s="7" t="n">
        <v>135350</v>
      </c>
      <c r="E5698" s="8" t="n">
        <v>40463</v>
      </c>
      <c r="F5698" s="7" t="n">
        <v>5</v>
      </c>
      <c r="G5698" s="7" t="inlineStr">
        <is>
          <t>I'm a 25 year trying to learn how to cook and this was the first recipe I completed successfully on my own.. It came out so well my brother went back for 4 helpings! Thanks to this recipe my cooking confidence has grown and I definitely have the cooking bug.. My family has even asked me to make this dish for Thanksgiving.. Awesome recipe.. You should try it!</t>
        </is>
      </c>
    </row>
    <row r="5699">
      <c r="A5699" s="7" t="n">
        <v>101362</v>
      </c>
      <c r="B5699" s="7" t="n">
        <v>57411</v>
      </c>
      <c r="C5699" s="7" t="n">
        <v>416113</v>
      </c>
      <c r="D5699" s="7" t="n">
        <v>197712</v>
      </c>
      <c r="E5699" s="8" t="n">
        <v>42309</v>
      </c>
      <c r="F5699" s="7" t="n">
        <v>5</v>
      </c>
      <c r="G5699" s="7" t="inlineStr">
        <is>
          <t>Great flavor and super easy.  The entire family enjoyed.  I used a about 2-3 tbsp of the seasoning salt and about 2 tsp of everything else.  I had about 8 thick chops to season and it was just enough.  Will definitely make again.</t>
        </is>
      </c>
    </row>
    <row r="5700">
      <c r="A5700" s="7" t="n">
        <v>43020</v>
      </c>
      <c r="B5700" s="7" t="n">
        <v>1004572</v>
      </c>
      <c r="C5700" s="7" t="n">
        <v>590105</v>
      </c>
      <c r="D5700" s="7" t="n">
        <v>61610</v>
      </c>
      <c r="E5700" s="8" t="n">
        <v>40452</v>
      </c>
      <c r="F5700" s="7" t="n">
        <v>5</v>
      </c>
      <c r="G5700" s="7" t="inlineStr">
        <is>
          <t>This is delicious! And comforting. Thank you! Reviewed for Healthy Choices ABC.</t>
        </is>
      </c>
    </row>
    <row r="5701">
      <c r="A5701" s="7" t="n">
        <v>43451</v>
      </c>
      <c r="B5701" s="7" t="n">
        <v>140917</v>
      </c>
      <c r="C5701" s="7" t="n">
        <v>283390</v>
      </c>
      <c r="D5701" s="7" t="n">
        <v>179422</v>
      </c>
      <c r="E5701" s="8" t="n">
        <v>38987</v>
      </c>
      <c r="F5701" s="7" t="n">
        <v>5</v>
      </c>
      <c r="G5701" s="7" t="inlineStr">
        <is>
          <t>Delicious! I used this as a sandwich spread, but I think it would be really good on fish, too. I used light mayo, and the other yummy ingredients distracted me from the fact that I wasn't eating the full-fat type. This recipe is a repeater. Thanks!</t>
        </is>
      </c>
    </row>
    <row r="5702">
      <c r="A5702" s="7" t="n">
        <v>113401</v>
      </c>
      <c r="B5702" s="7" t="n">
        <v>925191</v>
      </c>
      <c r="C5702" s="7" t="n">
        <v>41799</v>
      </c>
      <c r="D5702" s="7" t="n">
        <v>26339</v>
      </c>
      <c r="E5702" s="8" t="n">
        <v>39879</v>
      </c>
      <c r="F5702" s="7" t="n">
        <v>5</v>
      </c>
      <c r="G5702" s="7" t="inlineStr">
        <is>
          <t>Outrageously good and easy!  As recommended I used Sweet Baby Ray's BBQ Sauce which was perfect.  I used one 8 oz. pkg. (2 cups) of Cheddar Jack Cheese and approximately 3 slices of pre-cooked bacon per breast of chicken.  I did served the sliced scallions on the side so everyone had a preference as to using them or not.  Thanks Wende for a keeper in our house!</t>
        </is>
      </c>
    </row>
    <row r="5703">
      <c r="A5703" s="7" t="n">
        <v>73464</v>
      </c>
      <c r="B5703" s="7" t="n">
        <v>651440</v>
      </c>
      <c r="C5703" s="7" t="n">
        <v>125388</v>
      </c>
      <c r="D5703" s="7" t="n">
        <v>199510</v>
      </c>
      <c r="E5703" s="8" t="n">
        <v>39811</v>
      </c>
      <c r="F5703" s="7" t="n">
        <v>5</v>
      </c>
      <c r="G5703" s="7" t="inlineStr">
        <is>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is>
      </c>
    </row>
    <row r="5704">
      <c r="A5704" s="7" t="n">
        <v>14783</v>
      </c>
      <c r="B5704" s="7" t="n">
        <v>320700</v>
      </c>
      <c r="C5704" s="7" t="n">
        <v>59686</v>
      </c>
      <c r="D5704" s="7" t="n">
        <v>10404</v>
      </c>
      <c r="E5704" s="8" t="n">
        <v>39699</v>
      </c>
      <c r="F5704" s="7" t="n">
        <v>5</v>
      </c>
      <c r="G5704" s="7" t="inlineStr">
        <is>
          <t>These were very good, but when I made this recipe, I used 7 cups of sliced cucumbers, and layered them along with the onions and chopped green peppers in a large glass bowl; sprinkling one tablespoon of Morton's Canning &amp; Pickling Salt, between the layers, and then let them sit on the kitchen counter for 3 hrs. I then drained the vegetables in a colander. When making the brine, I didn't add the tablespoon of canning salt, no need to, as I've never added any salt to my brine when making refrigerator pickles, especially after I've already added it to the cucumber/onion/green peppers before hand. When I did prepare the brine, I noticed I needed to add more of it, so I doubled the amount of ingredients, using 2 cups of vinegar, but only using 3 cups of sugar, and 4 teaspoons of celery seed. I think the 1-1/2 cups of sugar, (per each batch) is pretty much the right amount for this recipe, as suggested by others, but I think 1 tablespoon of celery seed is a bit much for this recipe, I think 2 teaspoons of celery seed per batch, is more than enough; especially if using 7 cups of sliced cucumbers. I also heated the brine ingrediets, to all most a boil, before pouring over the pickle/onion/peppers. About 36 hrs later, I shared these pickles with 2 of my dd's, my daughter's room-mate, and my granddaughter, which were enjoyed by all. By the time everyone was done snacking on 'em, there weren't many left in the bowl. Janet, thank you for sharing this recipe with fellow Zaar members. They were very good!</t>
        </is>
      </c>
    </row>
    <row r="5705">
      <c r="A5705" s="7" t="n">
        <v>82366</v>
      </c>
      <c r="B5705" s="7" t="n">
        <v>626200</v>
      </c>
      <c r="C5705" s="7" t="n">
        <v>308434</v>
      </c>
      <c r="D5705" s="7" t="n">
        <v>116242</v>
      </c>
      <c r="E5705" s="8" t="n">
        <v>40395</v>
      </c>
      <c r="F5705" s="7" t="n">
        <v>5</v>
      </c>
      <c r="G5705" s="7" t="inlineStr">
        <is>
          <t>We all thoroughly enjoyed this dish!  I had some left over veggies and tossed them in with the onion and made as directed.  As we had our 10 yr old grandson here...we did not add any heat...but plan on doing that next time. I served this with a salad and it was a perfect easy dinner.  Thank you for sharing!</t>
        </is>
      </c>
    </row>
    <row r="5706">
      <c r="A5706" t="n">
        <v>105213</v>
      </c>
      <c r="B5706" t="n">
        <v>621022</v>
      </c>
      <c r="C5706" t="n">
        <v>2673373</v>
      </c>
      <c r="D5706" t="n">
        <v>74629</v>
      </c>
      <c r="E5706" s="1" t="n">
        <v>41332</v>
      </c>
      <c r="F5706" t="n">
        <v>0</v>
      </c>
      <c r="G5706" t="inlineStr">
        <is>
          <t>What a good-tasting, healthy recipe! It cooked perfectly within the time specified in the recipe.&lt;br/&gt;Instead of 2/3 cup, I added 1 cup of lentils (mixed 1/2 brown   1/2 green).&lt;br/&gt;I used brown &amp; wild rice mix, and vegetable stock.&lt;br/&gt;Instead of canned chillies, I used a small red pepper and a teaspoon of chopped jalapeno pepper.&lt;br/&gt;I didn't have Italian dressing so I added 1tsp oregano, 1 tsp rosemary and 1 tsp basil.&lt;br/&gt;The only thing this dish was missing was salt! But it was so good that I didn't even bother to add any salt and had a truly healthy meal! Thanks for posting.</t>
        </is>
      </c>
    </row>
    <row r="5707" ht="409.5" customHeight="1">
      <c r="A5707" s="7" t="n">
        <v>26519</v>
      </c>
      <c r="B5707" s="7" t="n">
        <v>517068</v>
      </c>
      <c r="C5707" s="7" t="n">
        <v>225096</v>
      </c>
      <c r="D5707" s="7" t="n">
        <v>148409</v>
      </c>
      <c r="E5707" s="8" t="n">
        <v>39626</v>
      </c>
      <c r="F5707" s="7" t="n">
        <v>5</v>
      </c>
      <c r="G5707" s="9" t="inlineStr">
        <is>
          <t>I really was happy to notice this recipe when I was craving meatloaf.  I have things I always like in my meatloaf but I have problems with the proportions of the basic stuff (meat, binder, eggs) so this was a very helpful recipe.  I ended up using 1 1/2 lb ground chuck and 1 1/2 lb ground sirloin (forgot the pork) and as I had also forgotten the bread crumbs, I used about 1/2 a sleeve of crushed Ritz crackers.  _x000D_
I like veggies in meatloaf so in the mini chopper I processed one carrot, one small vidalia onion and 1/2 a red bell pepper.  _x000D_
I put the loaf on 3 slices of bread on a foil lined cookie sheet--the bread absorbs the grease.  I formed a big brick shaped loaf and baked per your directions.  Oh, I forgot about the sauce and added it after the first hour.  I put on half the recipe then 30 min later I added the rest.  _x000D_
_x000D_
That topping sauce is awesome!  I love the kick from the vinegar--I was afraid to add the 4 T and did 4 tsp instead and it was still really delicious!   Hope I didn't stray too far from the basic recipe...but like I said, for me this recipe was so helpful and it's going into the regular rotation!_x000D_
Thanks for posting!</t>
        </is>
      </c>
    </row>
    <row r="5708">
      <c r="A5708" s="7" t="n">
        <v>9817</v>
      </c>
      <c r="B5708" s="7" t="n">
        <v>645509</v>
      </c>
      <c r="C5708" s="7" t="n">
        <v>546010</v>
      </c>
      <c r="D5708" s="7" t="n">
        <v>316135</v>
      </c>
      <c r="E5708" s="8" t="n">
        <v>41189</v>
      </c>
      <c r="F5708" s="7" t="n">
        <v>5</v>
      </c>
      <c r="G5708" s="7" t="inlineStr">
        <is>
          <t>Calling all raspberry lovers, this is the recipe for you! OMG, these are amazing! The raspberry flavor &amp; color is intense.  I was skeptical how this would come together but it did beautifully. My only error  was that I wish I would have made them larger. The net result was about 50 small meringues. Not a problem but I will work on my piping skills and make them bigger next time. &lt;br/&gt;Made for Think PInk, October 2012. YUM!</t>
        </is>
      </c>
    </row>
    <row r="5709">
      <c r="A5709" s="7" t="n">
        <v>110752</v>
      </c>
      <c r="B5709" s="7" t="n">
        <v>329540</v>
      </c>
      <c r="C5709" s="7" t="n">
        <v>2001182563</v>
      </c>
      <c r="D5709" s="7" t="n">
        <v>46926</v>
      </c>
      <c r="E5709" s="8" t="n">
        <v>42638</v>
      </c>
      <c r="F5709" s="7" t="n">
        <v>5</v>
      </c>
      <c r="G5709" s="7" t="inlineStr">
        <is>
          <t>My family has been making a similar recipe for years and I love it! I substituted oatmeal for the wheat germ. My loaf pans overflowed in the oven so next time I'll try 3 pans.</t>
        </is>
      </c>
    </row>
    <row r="5710">
      <c r="A5710" s="7" t="n">
        <v>57106</v>
      </c>
      <c r="B5710" s="7" t="n">
        <v>1022241</v>
      </c>
      <c r="C5710" s="7" t="n">
        <v>494867</v>
      </c>
      <c r="D5710" s="7" t="n">
        <v>426809</v>
      </c>
      <c r="E5710" s="8" t="n">
        <v>40333</v>
      </c>
      <c r="F5710" s="7" t="n">
        <v>5</v>
      </c>
      <c r="G5710" s="7" t="inlineStr">
        <is>
          <t>I never thought about using baked beans as an ingredient, or embellishing them -- depending on your perspective.  But these were great! So simple, but it really dresses up the traditional baked bean side dish. I used 2 teaspoons chili powder, and being a spice wimp, I'm going to cut it down to one next time. But that's just personal preference. I used a yellow bell pepper, but I might switch to green next time just for the color contrast (the corn already adds the yellow). Thanks for a great creation!</t>
        </is>
      </c>
    </row>
    <row r="5711">
      <c r="A5711" s="7" t="n">
        <v>4444</v>
      </c>
      <c r="B5711" s="7" t="n">
        <v>22829</v>
      </c>
      <c r="C5711" s="7" t="n">
        <v>424680</v>
      </c>
      <c r="D5711" s="7" t="n">
        <v>463550</v>
      </c>
      <c r="E5711" s="8" t="n">
        <v>40849</v>
      </c>
      <c r="F5711" s="7" t="n">
        <v>5</v>
      </c>
      <c r="G5711" s="7" t="inlineStr">
        <is>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is>
      </c>
    </row>
    <row r="5712">
      <c r="A5712" t="n">
        <v>93602</v>
      </c>
      <c r="B5712" t="n">
        <v>1103965</v>
      </c>
      <c r="C5712" t="n">
        <v>390058</v>
      </c>
      <c r="D5712" t="n">
        <v>64446</v>
      </c>
      <c r="E5712" s="1" t="n">
        <v>39150</v>
      </c>
      <c r="F5712" t="n">
        <v>4</v>
      </c>
      <c r="G5712" t="inlineStr">
        <is>
          <t>Very tasty bread.  Perhaps it was just the rosemary I had, but it was almost too much and next time I make this (oh yes, I'll make this again), I think I'll do like some have suggested here and use Italian Seasonings instead.</t>
        </is>
      </c>
    </row>
    <row r="5713">
      <c r="A5713" s="7" t="n">
        <v>60524</v>
      </c>
      <c r="B5713" s="7" t="n">
        <v>591428</v>
      </c>
      <c r="C5713" s="7" t="n">
        <v>166642</v>
      </c>
      <c r="D5713" s="7" t="n">
        <v>174819</v>
      </c>
      <c r="E5713" s="8" t="n">
        <v>39711</v>
      </c>
      <c r="F5713" s="7" t="n">
        <v>5</v>
      </c>
      <c r="G5713" s="7" t="inlineStr">
        <is>
          <t>These potatoes are outstanding! I used Yukon Gold potatoes and left the skins on - it was delicious with them on. I used 2 T sour cream and all of the whipped cream. I found that I didn't really need to add much more salt, but I added lots of pepper. I served these with "Recipe#324918" but these potatoes are too good to cover up with gravy. Thanks for posting!</t>
        </is>
      </c>
    </row>
    <row r="5714" ht="409.5" customHeight="1">
      <c r="A5714" s="7" t="n">
        <v>82494</v>
      </c>
      <c r="B5714" s="7" t="n">
        <v>1047606</v>
      </c>
      <c r="C5714" s="7" t="n">
        <v>5060</v>
      </c>
      <c r="D5714" s="7" t="n">
        <v>296087</v>
      </c>
      <c r="E5714" s="8" t="n">
        <v>39983</v>
      </c>
      <c r="F5714" s="7" t="n">
        <v>5</v>
      </c>
      <c r="G5714" s="9" t="inlineStr">
        <is>
          <t>very tasty omelette, made it for a quick supper. was out of parsley so used chives, and I added a little shredded cheddar cheese on top, it worked very nicely. good omelette that i will make again, thanks for posting. _x000D_
I had a little trouble getting it out of the pan but it was my own fault, forgot to spray the frypan with veggie spray!!  Loved the touch of allspice.</t>
        </is>
      </c>
    </row>
    <row r="5715" ht="409.5" customHeight="1">
      <c r="A5715" s="7" t="n">
        <v>96790</v>
      </c>
      <c r="B5715" s="7" t="n">
        <v>173354</v>
      </c>
      <c r="C5715" s="7" t="n">
        <v>281319</v>
      </c>
      <c r="D5715" s="7" t="n">
        <v>85332</v>
      </c>
      <c r="E5715" s="8" t="n">
        <v>38795</v>
      </c>
      <c r="F5715" s="7" t="n">
        <v>5</v>
      </c>
      <c r="G5715" s="9" t="inlineStr">
        <is>
          <t>This was really easy to make and gave a couple of poor Brits a chance to taste the real thing! We can only get corned beef in_x000D_
cans over here and it is a completely different thing. I made it for a St Patrick's Day meal and will be making it again "just because". It has definitely gone into my repertoire. It had a very different flavour from the Irish spiced beef that I make for Christmas.</t>
        </is>
      </c>
    </row>
    <row r="5716">
      <c r="A5716" s="7" t="n">
        <v>105687</v>
      </c>
      <c r="B5716" s="7" t="n">
        <v>993941</v>
      </c>
      <c r="C5716" s="7" t="n">
        <v>74887</v>
      </c>
      <c r="D5716" s="7" t="n">
        <v>39165</v>
      </c>
      <c r="E5716" s="8" t="n">
        <v>41116</v>
      </c>
      <c r="F5716" s="7" t="n">
        <v>0</v>
      </c>
      <c r="G5716" s="7" t="inlineStr">
        <is>
          <t>This is my new favorite recipe for cornbread.  I diced the jalapenos, and used lowfat (2%) cheddar and 3 jumbo eggs since it didn't give a size.  I hesitated on the amount of butter in the recipe, but used it all, and found the cornbread so moist it didn't require any additional butter.  Definitely a keeper - thanks!</t>
        </is>
      </c>
    </row>
    <row r="5717">
      <c r="A5717" s="7" t="n">
        <v>22349</v>
      </c>
      <c r="B5717" s="7" t="n">
        <v>115686</v>
      </c>
      <c r="C5717" s="7" t="n">
        <v>709541</v>
      </c>
      <c r="D5717" s="7" t="n">
        <v>154851</v>
      </c>
      <c r="E5717" s="8" t="n">
        <v>40590</v>
      </c>
      <c r="F5717" s="7" t="n">
        <v>5</v>
      </c>
      <c r="G5717" s="7" t="inlineStr">
        <is>
          <t>I cut the recipe in half and had them with some Raspberry Butter which brought them up another level.  We couldn't get enough of them!  My hubby had 3 and I had to hide one for myself for work or he would have eaten that one too!</t>
        </is>
      </c>
    </row>
    <row r="5718">
      <c r="A5718" s="7" t="n">
        <v>29287</v>
      </c>
      <c r="B5718" s="7" t="n">
        <v>673509</v>
      </c>
      <c r="C5718" s="7" t="n">
        <v>5060</v>
      </c>
      <c r="D5718" s="7" t="n">
        <v>55974</v>
      </c>
      <c r="E5718" s="8" t="n">
        <v>37692</v>
      </c>
      <c r="F5718" s="7" t="n">
        <v>5</v>
      </c>
      <c r="G5718" s="7" t="inlineStr">
        <is>
          <t>Excellent bread machine bread Barb!!  DH made it this afternoon and when I walked into the house I couldn't wait to try it , it smelled soooo good!!He said to tell you the directions were great, very easy to follow, he had no problems.  the taste is outstanding , slightly sweet, wonderful still warm with a little butter. We will be making this one again, thanks for sharing.</t>
        </is>
      </c>
    </row>
    <row r="5719">
      <c r="A5719" s="7" t="n">
        <v>57528</v>
      </c>
      <c r="B5719" s="7" t="n">
        <v>1082664</v>
      </c>
      <c r="C5719" s="7" t="n">
        <v>1324068</v>
      </c>
      <c r="D5719" s="7" t="n">
        <v>327634</v>
      </c>
      <c r="E5719" s="8" t="n">
        <v>40036</v>
      </c>
      <c r="F5719" s="7" t="n">
        <v>4</v>
      </c>
      <c r="G5719" s="7" t="inlineStr">
        <is>
          <t>For 8 servings they are big to me. So, it was nice and filling. It was on the heavy side, I guess because of the corn. I will make this again when I am serving a brothy type soup. Thank you for the recipe.</t>
        </is>
      </c>
    </row>
    <row r="5720">
      <c r="A5720" s="7" t="n">
        <v>5658</v>
      </c>
      <c r="B5720" s="7" t="n">
        <v>1080627</v>
      </c>
      <c r="C5720" s="7" t="n">
        <v>424680</v>
      </c>
      <c r="D5720" s="7" t="n">
        <v>359691</v>
      </c>
      <c r="E5720" s="8" t="n">
        <v>40199</v>
      </c>
      <c r="F5720" s="7" t="n">
        <v>5</v>
      </c>
      <c r="G5720" s="7" t="inlineStr">
        <is>
          <t>I'm always interested in trying out how others put together their 'baked beans' &amp;  this one is great! I particularly like the addition of the ground turkey &amp; the sweet potato! Took me a while to find some 'homemade' soup for this recipe, &amp; it always intrigues me how some stores are able to stock can of soups that are labeled as 'homemade !' Will have to make my own next time around! Thanks for sharing your nice side of baked beans! [Tagged &amp; made in Please Review My Recope}</t>
        </is>
      </c>
    </row>
    <row r="5721">
      <c r="A5721" s="7" t="n">
        <v>5197</v>
      </c>
      <c r="B5721" s="7" t="n">
        <v>472802</v>
      </c>
      <c r="C5721" s="7" t="n">
        <v>2000999323</v>
      </c>
      <c r="D5721" s="7" t="n">
        <v>108364</v>
      </c>
      <c r="E5721" s="8" t="n">
        <v>42494</v>
      </c>
      <c r="F5721" s="7" t="n">
        <v>0</v>
      </c>
      <c r="G5721" s="7" t="inlineStr">
        <is>
          <t>Not sure how you do this without burning exterior before interior cooks. I use chicken thighs and have tried it in high temp oil and lowwe temp oil and either way the &amp;quot;golden&amp;quot; exterior is burnt before the chicken can cook.</t>
        </is>
      </c>
    </row>
    <row r="5722">
      <c r="A5722" s="7" t="n">
        <v>64830</v>
      </c>
      <c r="B5722" s="7" t="n">
        <v>1074558</v>
      </c>
      <c r="C5722" s="7" t="n">
        <v>1606951</v>
      </c>
      <c r="D5722" s="7" t="n">
        <v>135350</v>
      </c>
      <c r="E5722" s="8" t="n">
        <v>40451</v>
      </c>
      <c r="F5722" s="7" t="n">
        <v>0</v>
      </c>
      <c r="G5722" s="7" t="inlineStr">
        <is>
          <t>This dish is AWESOME! I tried the recipe 'straight-up' the first time, then I did a little 'tweaking' to suit our tastes. But honestly, this is BY FAR the BEST, EASIEST, and MOST LIKE that HOMEMADE style of baked mac I have found! I add some diced onion, and a little garlic powder. I have also made it with small ham chunks and again with small bacon pieces. It can be modified to fit your taste or occasion very easily. Just follow the recipe and mix in your pre-cooked 'extra stuff' before baking or freezing!!!</t>
        </is>
      </c>
    </row>
    <row r="5723">
      <c r="A5723" t="n">
        <v>56975</v>
      </c>
      <c r="B5723" t="n">
        <v>344852</v>
      </c>
      <c r="C5723" t="n">
        <v>140806</v>
      </c>
      <c r="D5723" t="n">
        <v>75061</v>
      </c>
      <c r="E5723" s="1" t="n">
        <v>40016</v>
      </c>
      <c r="F5723" t="n">
        <v>5</v>
      </c>
      <c r="G5723" t="inlineStr">
        <is>
          <t>I couldn't ask for more from a loaf of white bread. It mixed up perfectly in the bread machine. Smelled wonderful, browned beautifully on the medium function of my machine. I loved the consistency, too. My favorite way to eat this is toasted with homemade strawberry jam.</t>
        </is>
      </c>
    </row>
    <row r="5724">
      <c r="A5724" s="7" t="n">
        <v>16778</v>
      </c>
      <c r="B5724" s="7" t="n">
        <v>801620</v>
      </c>
      <c r="C5724" s="7" t="n">
        <v>452294</v>
      </c>
      <c r="D5724" s="7" t="n">
        <v>116219</v>
      </c>
      <c r="E5724" s="8" t="n">
        <v>39165</v>
      </c>
      <c r="F5724" s="7" t="n">
        <v>5</v>
      </c>
      <c r="G5724" s="7" t="inlineStr">
        <is>
          <t>For low-fat and low-cal brownies, these were pretty good. Soft and moist.</t>
        </is>
      </c>
    </row>
    <row r="5725">
      <c r="A5725" s="7" t="n">
        <v>77348</v>
      </c>
      <c r="B5725" s="7" t="n">
        <v>910668</v>
      </c>
      <c r="C5725" s="7" t="n">
        <v>570154</v>
      </c>
      <c r="D5725" s="7" t="n">
        <v>26420</v>
      </c>
      <c r="E5725" s="8" t="n">
        <v>39627</v>
      </c>
      <c r="F5725" s="7" t="n">
        <v>5</v>
      </c>
      <c r="G5725" s="7" t="inlineStr">
        <is>
          <t>excellent sauce easy thank you for posting</t>
        </is>
      </c>
    </row>
    <row r="5726">
      <c r="A5726" s="7" t="n">
        <v>67061</v>
      </c>
      <c r="B5726" s="7" t="n">
        <v>995540</v>
      </c>
      <c r="C5726" s="7" t="n">
        <v>638875</v>
      </c>
      <c r="D5726" s="7" t="n">
        <v>197000</v>
      </c>
      <c r="E5726" s="8" t="n">
        <v>39398</v>
      </c>
      <c r="F5726" s="7" t="n">
        <v>5</v>
      </c>
      <c r="G5726" s="7" t="inlineStr">
        <is>
          <t>This is very easy and is a big hit around the house.  Everyone loves it!!!!!!</t>
        </is>
      </c>
    </row>
    <row r="5727">
      <c r="A5727" s="7" t="n">
        <v>19669</v>
      </c>
      <c r="B5727" s="7" t="n">
        <v>168394</v>
      </c>
      <c r="C5727" s="7" t="n">
        <v>199213</v>
      </c>
      <c r="D5727" s="7" t="n">
        <v>163204</v>
      </c>
      <c r="E5727" s="8" t="n">
        <v>38999</v>
      </c>
      <c r="F5727" s="7" t="n">
        <v>5</v>
      </c>
      <c r="G5727" s="7" t="inlineStr">
        <is>
          <t>Great way to serve Flank Steak, sauce was outstanding, spoon over rice, yum. Thanks Toni</t>
        </is>
      </c>
    </row>
    <row r="5728">
      <c r="A5728" s="7" t="n">
        <v>123359</v>
      </c>
      <c r="B5728" s="7" t="n">
        <v>18467</v>
      </c>
      <c r="C5728" s="7" t="n">
        <v>235897</v>
      </c>
      <c r="D5728" s="7" t="n">
        <v>354883</v>
      </c>
      <c r="E5728" s="8" t="n">
        <v>42156</v>
      </c>
      <c r="F5728" s="7" t="n">
        <v>5</v>
      </c>
      <c r="G5728" s="7" t="inlineStr">
        <is>
          <t>This is really very good! I followed as written and it was good...and then I added some very finelly chopped red onion about a 1 Tb. there is none left over. Great salad to take to a party!</t>
        </is>
      </c>
    </row>
    <row r="5729" ht="409.5" customHeight="1">
      <c r="A5729" s="7" t="n">
        <v>39130</v>
      </c>
      <c r="B5729" s="7" t="n">
        <v>315706</v>
      </c>
      <c r="C5729" s="7" t="n">
        <v>683416</v>
      </c>
      <c r="D5729" s="7" t="n">
        <v>42892</v>
      </c>
      <c r="E5729" s="8" t="n">
        <v>40163</v>
      </c>
      <c r="F5729" s="7" t="n">
        <v>5</v>
      </c>
      <c r="G5729" s="9" t="inlineStr">
        <is>
          <t>This is terrific! I have tried to make 
this candy for  years and it always
turns to crystals.... This one came out perfect. The only thing I did different was to use dark brown sugar....all I had.  I think they are like pralines.....I'm from the south and love them but could never get 
it to come out.  I can make it now!!
Thanks for the recipe.</t>
        </is>
      </c>
    </row>
    <row r="5730">
      <c r="A5730" s="7" t="n">
        <v>85253</v>
      </c>
      <c r="B5730" s="7" t="n">
        <v>383550</v>
      </c>
      <c r="C5730" s="7" t="n">
        <v>36128</v>
      </c>
      <c r="D5730" s="7" t="n">
        <v>23314</v>
      </c>
      <c r="E5730" s="8" t="n">
        <v>37929</v>
      </c>
      <c r="F5730" s="7" t="n">
        <v>5</v>
      </c>
      <c r="G5730" s="7" t="inlineStr">
        <is>
          <t>This was superb!  I made it in the crockpot in order to save myself some heart ache and cooked it on high for 6 hours (2.75 lbs steak) and it was frozen as well.  I added in 2 sliced onions, and omited the green pepper only because I didnt have any.  It turned out moist and oh so yummy!  Thanks so much for a winner!</t>
        </is>
      </c>
    </row>
    <row r="5731">
      <c r="A5731" s="7" t="n">
        <v>119898</v>
      </c>
      <c r="B5731" s="7" t="n">
        <v>493567</v>
      </c>
      <c r="C5731" s="7" t="n">
        <v>716192</v>
      </c>
      <c r="D5731" s="7" t="n">
        <v>71373</v>
      </c>
      <c r="E5731" s="8" t="n">
        <v>41178</v>
      </c>
      <c r="F5731" s="7" t="n">
        <v>5</v>
      </c>
      <c r="G5731" s="7" t="inlineStr">
        <is>
          <t>Looking for dinner rolls that I could make the dough in the bread machine.... these were perfect.  I used all purpose flour which is what I had on hand.  Came out fine.  Thank you!</t>
        </is>
      </c>
    </row>
    <row r="5732">
      <c r="A5732" s="7" t="n">
        <v>89712</v>
      </c>
      <c r="B5732" s="7" t="n">
        <v>31442</v>
      </c>
      <c r="C5732" s="7" t="n">
        <v>2001298186</v>
      </c>
      <c r="D5732" s="7" t="n">
        <v>8596</v>
      </c>
      <c r="E5732" s="8" t="n">
        <v>42718</v>
      </c>
      <c r="F5732" s="7" t="n">
        <v>0</v>
      </c>
      <c r="G5732" s="7" t="inlineStr">
        <is>
          <t>the original recipe is at Olive Garden.com go to the bottom and you'll see recipes click on it . there be a lot a of recipes</t>
        </is>
      </c>
    </row>
    <row r="5733" ht="405" customHeight="1">
      <c r="A5733" s="7" t="n">
        <v>77495</v>
      </c>
      <c r="B5733" s="7" t="n">
        <v>349933</v>
      </c>
      <c r="C5733" s="7" t="n">
        <v>103826</v>
      </c>
      <c r="D5733" s="7" t="n">
        <v>69493</v>
      </c>
      <c r="E5733" s="8" t="n">
        <v>37877</v>
      </c>
      <c r="F5733" s="7" t="n">
        <v>4</v>
      </c>
      <c r="G5733" s="9" t="inlineStr">
        <is>
          <t>Tasty and very filling._x000D_
I didn't use the edamame and skipped_x000D_
the green chilies to make it more_x000D_
kid-friendly._x000D_
I also used fresh tomatoes instead of_x000D_
canned and used chopped almonds for the_x000D_
nuts.</t>
        </is>
      </c>
    </row>
    <row r="5734" ht="409.5" customHeight="1">
      <c r="A5734" s="7" t="n">
        <v>77894</v>
      </c>
      <c r="B5734" s="7" t="n">
        <v>1034433</v>
      </c>
      <c r="C5734" s="7" t="n">
        <v>496594</v>
      </c>
      <c r="D5734" s="7" t="n">
        <v>58055</v>
      </c>
      <c r="E5734" s="8" t="n">
        <v>39392</v>
      </c>
      <c r="F5734" s="7" t="n">
        <v>4</v>
      </c>
      <c r="G5734" s="9" t="inlineStr">
        <is>
          <t>Delicious! Made the recipe exactly as posted, and it turned out great._x000D_
_x000D_
However, there are two things that weren't clear: what to do with the vanilla essence still left after the soaking, and what crust setting to use. I ended up throwing the left-over essence away and for safety chose a light crust setting. (Just as well or the crust may have been way too dark.)</t>
        </is>
      </c>
    </row>
    <row r="5735">
      <c r="A5735" s="7" t="n">
        <v>8421</v>
      </c>
      <c r="B5735" s="7" t="n">
        <v>355612</v>
      </c>
      <c r="C5735" s="7" t="n">
        <v>498271</v>
      </c>
      <c r="D5735" s="7" t="n">
        <v>373534</v>
      </c>
      <c r="E5735" s="8" t="n">
        <v>39970</v>
      </c>
      <c r="F5735" s="7" t="n">
        <v>5</v>
      </c>
      <c r="G5735" s="7" t="inlineStr">
        <is>
          <t>What a great idea for a quick and easy dessert!  Simple to make, impressive to look at, and delicious.  I'm sure any flavor of pie filling would be great with this.  Served warm with vanilla ice cream and really enjoyed - thanks for posting the recipe!</t>
        </is>
      </c>
    </row>
    <row r="5736">
      <c r="A5736" s="7" t="n">
        <v>116450</v>
      </c>
      <c r="B5736" s="7" t="n">
        <v>304965</v>
      </c>
      <c r="C5736" s="7" t="n">
        <v>204024</v>
      </c>
      <c r="D5736" s="7" t="n">
        <v>169035</v>
      </c>
      <c r="E5736" s="8" t="n">
        <v>41128</v>
      </c>
      <c r="F5736" s="7" t="n">
        <v>5</v>
      </c>
      <c r="G5736" s="7" t="inlineStr">
        <is>
          <t>Totally loved this.  This was so easy and so good.  I actually used mild Picante sauce and it was just perfect for me( I am a spicey wimp)  This went great with our mole sauce recipe#472996 and recipe#484420.  Made for ZWT8.</t>
        </is>
      </c>
    </row>
    <row r="5737">
      <c r="A5737" s="7" t="n">
        <v>11500</v>
      </c>
      <c r="B5737" s="7" t="n">
        <v>517490</v>
      </c>
      <c r="C5737" s="7" t="n">
        <v>239758</v>
      </c>
      <c r="D5737" s="7" t="n">
        <v>249499</v>
      </c>
      <c r="E5737" s="8" t="n">
        <v>43400</v>
      </c>
      <c r="F5737" s="7" t="n">
        <v>5</v>
      </c>
      <c r="G5737" s="7" t="inlineStr">
        <is>
          <t>Hubby, who eats a granny smith apple every day, loved this soup, but the apple made it just a bit too sweet for me. I did love the way it incorporated four vegetables. That's always a big plus in my book. Also, I needed to add an extra cup or so of water to create enough broth.</t>
        </is>
      </c>
    </row>
    <row r="5738">
      <c r="A5738" s="7" t="n">
        <v>65941</v>
      </c>
      <c r="B5738" s="7" t="n">
        <v>462591</v>
      </c>
      <c r="C5738" s="7" t="n">
        <v>400708</v>
      </c>
      <c r="D5738" s="7" t="n">
        <v>396643</v>
      </c>
      <c r="E5738" s="8" t="n">
        <v>40660</v>
      </c>
      <c r="F5738" s="7" t="n">
        <v>5</v>
      </c>
      <c r="G5738" s="7" t="inlineStr">
        <is>
          <t>My sister made these for our Easter Brunch and they are great.  I love capers and lemon so knew this would be great.  I did add some chopped peppercini and sprinkled with paparika when finsihed and they looked great and tasted better.  Differant from the usual deviled eggs.</t>
        </is>
      </c>
    </row>
    <row r="5739">
      <c r="A5739" s="7" t="n">
        <v>35660</v>
      </c>
      <c r="B5739" s="7" t="n">
        <v>550677</v>
      </c>
      <c r="C5739" s="7" t="n">
        <v>539977</v>
      </c>
      <c r="D5739" s="7" t="n">
        <v>19319</v>
      </c>
      <c r="E5739" s="8" t="n">
        <v>39816</v>
      </c>
      <c r="F5739" s="7" t="n">
        <v>5</v>
      </c>
      <c r="G5739" s="7" t="inlineStr">
        <is>
          <t>Another winner as usual Derf!! I used turkey kielbasa as that is what I had. No celery (allergy). SUPER yummy. I also used stock, I don't have canned broth. Needed about another cup of liquid. I cooked mine on hi for 4 hours. Kids loved it. This didn't make as much as I was expecting (no leftovers) but it was well worth the effort (LOL). THANK YOU!!!! UPDATE July 10, 2008: We had this for dinner tonight, and had the in-laws and Aunt over too. I used 8 oz. of bulk italian sausage, again no celery, and carmelized the onions with the sausage as I browned it. My sausage was frozen, so I cut it into cubes and then browned it, this was great! One of my daughters had 4 bowls! Again, this does not make a lot, but is so yummy!!! UPDATE DEC. 28, 2008: Well this time we made it with Sinai sausage from Costco, I just cut it into little cubes. VERY yummy!!  My BIL liked it alot too!  This is so far our favorite pea soup recipe!!</t>
        </is>
      </c>
    </row>
    <row r="5740">
      <c r="A5740" s="7" t="n">
        <v>56288</v>
      </c>
      <c r="B5740" s="7" t="n">
        <v>323964</v>
      </c>
      <c r="C5740" s="7" t="n">
        <v>2126257</v>
      </c>
      <c r="D5740" s="7" t="n">
        <v>339870</v>
      </c>
      <c r="E5740" s="8" t="n">
        <v>40906</v>
      </c>
      <c r="F5740" s="7" t="n">
        <v>5</v>
      </c>
      <c r="G5740" s="7" t="inlineStr">
        <is>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is>
      </c>
    </row>
    <row r="5741">
      <c r="A5741" s="7" t="n">
        <v>21439</v>
      </c>
      <c r="B5741" s="7" t="n">
        <v>141930</v>
      </c>
      <c r="C5741" s="7" t="n">
        <v>899120</v>
      </c>
      <c r="D5741" s="7" t="n">
        <v>180849</v>
      </c>
      <c r="E5741" s="8" t="n">
        <v>40058</v>
      </c>
      <c r="F5741" s="7" t="n">
        <v>5</v>
      </c>
      <c r="G5741" s="7" t="inlineStr">
        <is>
          <t>This was so easy to throw together for dinner tonight and absolutely delicious, to boot!  In lieu of the garlic salt, I sauteed a little fresh minced garlic along with the artichokes (canned), and beat about 1/4 cup cream in with the eggs.  I omitted the top crust and used a rolled, refrigerated pie dough.  Fifty minutes did the trick.  Thanks so much for sharing....I know what I'm having for breakfast tomorrow (and maybe lunch, too!).</t>
        </is>
      </c>
    </row>
    <row r="5742">
      <c r="A5742" s="7" t="n">
        <v>93471</v>
      </c>
      <c r="B5742" s="7" t="n">
        <v>37463</v>
      </c>
      <c r="C5742" s="7" t="n">
        <v>86512</v>
      </c>
      <c r="D5742" s="7" t="n">
        <v>36873</v>
      </c>
      <c r="E5742" s="8" t="n">
        <v>37988</v>
      </c>
      <c r="F5742" s="7" t="n">
        <v>5</v>
      </c>
      <c r="G5742" s="7" t="inlineStr">
        <is>
          <t xml:space="preserve">This was really good. I marinated the chops for a few hours before grilling them. I grilled these on my table top  electric grill. I will be making this again. </t>
        </is>
      </c>
    </row>
    <row r="5743">
      <c r="A5743" s="7" t="n">
        <v>36299</v>
      </c>
      <c r="B5743" s="7" t="n">
        <v>581254</v>
      </c>
      <c r="C5743" s="7" t="n">
        <v>1862126</v>
      </c>
      <c r="D5743" s="7" t="n">
        <v>53909</v>
      </c>
      <c r="E5743" s="8" t="n">
        <v>42517</v>
      </c>
      <c r="F5743" s="7" t="n">
        <v>5</v>
      </c>
      <c r="G5743" s="7" t="inlineStr">
        <is>
          <t>Haven't tried yet, but will this weekend! I love quick and easy recipes....and salmon is a favorite! Thanks so much for sharing! Perfect recipe from start to finish!</t>
        </is>
      </c>
    </row>
    <row r="5744">
      <c r="A5744" s="7" t="n">
        <v>77028</v>
      </c>
      <c r="B5744" s="7" t="n">
        <v>580165</v>
      </c>
      <c r="C5744" s="7" t="n">
        <v>26535</v>
      </c>
      <c r="D5744" s="7" t="n">
        <v>45069</v>
      </c>
      <c r="E5744" s="8" t="n">
        <v>39796</v>
      </c>
      <c r="F5744" s="7" t="n">
        <v>5</v>
      </c>
      <c r="G5744" s="7" t="inlineStr">
        <is>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is>
      </c>
    </row>
    <row r="5745">
      <c r="A5745" s="7" t="n">
        <v>57623</v>
      </c>
      <c r="B5745" s="7" t="n">
        <v>96571</v>
      </c>
      <c r="C5745" s="7" t="n">
        <v>166642</v>
      </c>
      <c r="D5745" s="7" t="n">
        <v>229656</v>
      </c>
      <c r="E5745" s="8" t="n">
        <v>39684</v>
      </c>
      <c r="F5745" s="7" t="n">
        <v>5</v>
      </c>
      <c r="G5745" s="7" t="inlineStr">
        <is>
          <t>This is a delicious caramel peach pie. It is definitely not your ordinary kind. It reminds me of a streusel-topped peach pie and it is wonderful. You get that flavor throughout the pie instead of just on top like most. I did use the canned peaches. Mine was done in about 55 minutes. For the pie crust I used "Recipe#51537" which is easy and delicious. Thanks for sharing!</t>
        </is>
      </c>
    </row>
    <row r="5746">
      <c r="A5746" s="7" t="n">
        <v>125301</v>
      </c>
      <c r="B5746" s="7" t="n">
        <v>669119</v>
      </c>
      <c r="C5746" s="7" t="n">
        <v>27678</v>
      </c>
      <c r="D5746" s="7" t="n">
        <v>14137</v>
      </c>
      <c r="E5746" s="8" t="n">
        <v>38579</v>
      </c>
      <c r="F5746" s="7" t="n">
        <v>5</v>
      </c>
      <c r="G5746" s="7" t="inlineStr">
        <is>
          <t>This is another of my 10-star alerts! It produced the most amazing, tender lamb and the juices were to die for straight out of the pan. We didn't even thicken them into gravy. We had pretty big shanks (one easily fed two of us) and the meat wasn't overly pink so I think if you had slightly smallish cuts of meat you could probably cut at least 15 minutes off the cooking time.</t>
        </is>
      </c>
    </row>
    <row r="5747">
      <c r="A5747" s="7" t="n">
        <v>99155</v>
      </c>
      <c r="B5747" s="7" t="n">
        <v>494922</v>
      </c>
      <c r="C5747" s="7" t="n">
        <v>169430</v>
      </c>
      <c r="D5747" s="7" t="n">
        <v>140868</v>
      </c>
      <c r="E5747" s="8" t="n">
        <v>41219</v>
      </c>
      <c r="F5747" s="7" t="n">
        <v>5</v>
      </c>
      <c r="G5747" s="7" t="inlineStr">
        <is>
          <t>Yummy :D, this is a keeper. I loved the lemon addition in particular but this soup has a deep flavor profile that hits the mark on several points. I must admit that I did use canned chickpeas (it went pretty fast that way, lol).  Worth all 5 stars.</t>
        </is>
      </c>
    </row>
    <row r="5748">
      <c r="A5748" s="7" t="n">
        <v>111276</v>
      </c>
      <c r="B5748" s="7" t="n">
        <v>1123876</v>
      </c>
      <c r="C5748" s="7" t="n">
        <v>1026687</v>
      </c>
      <c r="D5748" s="7" t="n">
        <v>152534</v>
      </c>
      <c r="E5748" s="8" t="n">
        <v>39766</v>
      </c>
      <c r="F5748" s="7" t="n">
        <v>5</v>
      </c>
      <c r="G5748" s="7" t="inlineStr">
        <is>
          <t>If I could give this recipe 10 stars I would!  I took this to my BUNCO group and all the girls whet crazy for it.  I did do a few things different.  I used crescent rolls for the crust and I did not add the bacon or mustard since "Big Macs" do not have that on them.  It tasted exactly like a Big Mac!  I was amazed.  Plus I'm sure this version is much better for you that the real thing!  Awesome recipe!  Thanks!</t>
        </is>
      </c>
    </row>
    <row r="5749">
      <c r="A5749" s="7" t="n">
        <v>22698</v>
      </c>
      <c r="B5749" s="7" t="n">
        <v>1074522</v>
      </c>
      <c r="C5749" s="7" t="n">
        <v>37502</v>
      </c>
      <c r="D5749" s="7" t="n">
        <v>135350</v>
      </c>
      <c r="E5749" s="8" t="n">
        <v>40335</v>
      </c>
      <c r="F5749" s="7" t="n">
        <v>5</v>
      </c>
      <c r="G5749" s="7" t="inlineStr">
        <is>
          <t>This was great.  I used a sharp cheddar from our deli department and it made all the difference!!</t>
        </is>
      </c>
    </row>
    <row r="5750">
      <c r="A5750" s="7" t="n">
        <v>17719</v>
      </c>
      <c r="B5750" s="7" t="n">
        <v>211770</v>
      </c>
      <c r="C5750" s="7" t="n">
        <v>65631</v>
      </c>
      <c r="D5750" s="7" t="n">
        <v>29514</v>
      </c>
      <c r="E5750" s="8" t="n">
        <v>41337</v>
      </c>
      <c r="F5750" s="7" t="n">
        <v>5</v>
      </c>
      <c r="G5750" s="7" t="inlineStr">
        <is>
          <t>I have been looking for recipes that use tarragon, because I love the flavor. And this recipes is perfect! The sauce really lets the tarragon shine. Next time I will double or even triple the sauce, it's that good. I did use chopped sweet onion instead of shallot, and the onion was not overpowering at all. I will make this quite often..thanks for posting.</t>
        </is>
      </c>
    </row>
    <row r="5751">
      <c r="A5751" s="7" t="n">
        <v>28605</v>
      </c>
      <c r="B5751" s="7" t="n">
        <v>772836</v>
      </c>
      <c r="C5751" s="7" t="n">
        <v>1477420</v>
      </c>
      <c r="D5751" s="7" t="n">
        <v>415707</v>
      </c>
      <c r="E5751" s="8" t="n">
        <v>41954</v>
      </c>
      <c r="F5751" s="7" t="n">
        <v>5</v>
      </c>
      <c r="G5751" s="7" t="inlineStr">
        <is>
          <t>Wow! This is hands-down one of the best crock pot recipes I&amp;#039;ve ever made! Delicious, hearty, easy. So glad to have found it, thank you for sharing!</t>
        </is>
      </c>
    </row>
    <row r="5752">
      <c r="A5752" s="7" t="n">
        <v>46625</v>
      </c>
      <c r="B5752" s="7" t="n">
        <v>509931</v>
      </c>
      <c r="C5752" s="7" t="n">
        <v>245871</v>
      </c>
      <c r="D5752" s="7" t="n">
        <v>89207</v>
      </c>
      <c r="E5752" s="8" t="n">
        <v>39277</v>
      </c>
      <c r="F5752" s="7" t="n">
        <v>5</v>
      </c>
      <c r="G5752" s="7" t="inlineStr">
        <is>
          <t>Fabulous and easy recipe for a wonderful icing using common ingredients in your pantry!</t>
        </is>
      </c>
    </row>
    <row r="5753">
      <c r="A5753" s="7" t="n">
        <v>88449</v>
      </c>
      <c r="B5753" s="7" t="n">
        <v>956361</v>
      </c>
      <c r="C5753" s="7" t="n">
        <v>407007</v>
      </c>
      <c r="D5753" s="7" t="n">
        <v>162873</v>
      </c>
      <c r="E5753" s="8" t="n">
        <v>39272</v>
      </c>
      <c r="F5753" s="7" t="n">
        <v>5</v>
      </c>
      <c r="G5753" s="7" t="inlineStr">
        <is>
          <t>YUM! I made these for my hubby, and when I went to taste them before putting them on his plate, I almost didn't want to give them up! lol! :) they were soooooo good, he ate up a whole can by himself! I will use this recipe often! thanks so much for sharing and for a wonderful keeper.</t>
        </is>
      </c>
    </row>
    <row r="5754">
      <c r="A5754" s="7" t="n">
        <v>40174</v>
      </c>
      <c r="B5754" s="7" t="n">
        <v>265812</v>
      </c>
      <c r="C5754" s="7" t="n">
        <v>329671</v>
      </c>
      <c r="D5754" s="7" t="n">
        <v>107786</v>
      </c>
      <c r="E5754" s="8" t="n">
        <v>39845</v>
      </c>
      <c r="F5754" s="7" t="n">
        <v>5</v>
      </c>
      <c r="G5754" s="7" t="inlineStr">
        <is>
          <t>Beth, I've made these ribs 3 times now and have to let you know that each time they have come out tender and juicy just as you promised!  I wouldn't change a thing and love the liquid smoke or smoked paprika...either way they come out delicious! My son will always come home to Mama now, too!  Bless your heart!  VAL</t>
        </is>
      </c>
    </row>
    <row r="5755">
      <c r="A5755" s="7" t="n">
        <v>112533</v>
      </c>
      <c r="B5755" s="7" t="n">
        <v>809812</v>
      </c>
      <c r="C5755" s="7" t="n">
        <v>5185</v>
      </c>
      <c r="D5755" s="7" t="n">
        <v>55506</v>
      </c>
      <c r="E5755" s="8" t="n">
        <v>41269</v>
      </c>
      <c r="F5755" s="7" t="n">
        <v>4</v>
      </c>
      <c r="G5755" s="7" t="inlineStr">
        <is>
          <t>It couldn't have been simpler to make and it was delicious.</t>
        </is>
      </c>
    </row>
    <row r="5756">
      <c r="A5756" s="7" t="n">
        <v>34234</v>
      </c>
      <c r="B5756" s="7" t="n">
        <v>42564</v>
      </c>
      <c r="C5756" s="7" t="n">
        <v>1786621</v>
      </c>
      <c r="D5756" s="7" t="n">
        <v>152693</v>
      </c>
      <c r="E5756" s="8" t="n">
        <v>40554</v>
      </c>
      <c r="F5756" s="7" t="n">
        <v>3</v>
      </c>
      <c r="G5756" s="7" t="inlineStr">
        <is>
          <t>These weren't bad, but weren't exactly good either.  The texture was strange and they tasted like French toast more than a pancake.  It was nice to eat something that at least looked like a pancake though after a week of eating eggs for breakfast.</t>
        </is>
      </c>
    </row>
    <row r="5757">
      <c r="A5757" s="7" t="n">
        <v>43820</v>
      </c>
      <c r="B5757" s="7" t="n">
        <v>1131043</v>
      </c>
      <c r="C5757" s="7" t="n">
        <v>350938</v>
      </c>
      <c r="D5757" s="7" t="n">
        <v>433203</v>
      </c>
      <c r="E5757" s="8" t="n">
        <v>40417</v>
      </c>
      <c r="F5757" s="7" t="n">
        <v>5</v>
      </c>
      <c r="G5757" s="7" t="inlineStr">
        <is>
          <t>These are simply delicious! I thought I would of missed the creamyness milk gives to mashed potatoes, but, to my surprise,  they turned out rich and creamy with just enough garlic. Thanks for sharing.</t>
        </is>
      </c>
    </row>
    <row r="5758">
      <c r="A5758" s="7" t="n">
        <v>45041</v>
      </c>
      <c r="B5758" s="7" t="n">
        <v>576026</v>
      </c>
      <c r="C5758" s="7" t="n">
        <v>2754389</v>
      </c>
      <c r="D5758" s="7" t="n">
        <v>15242</v>
      </c>
      <c r="E5758" s="8" t="n">
        <v>41923</v>
      </c>
      <c r="F5758" s="7" t="n">
        <v>0</v>
      </c>
      <c r="G5758" s="7" t="inlineStr">
        <is>
          <t>I used cubed hashbrowns, only 3T. butter, NO sour cream, dash of garlic salt, and 3 c. COLBY cheese (2 c. in the mixture and 1 c. on top about 15 minutes before end of baking time).  If the center seems too wet, I stir halfway through baking time.  Great side dish with just about anything, never any leftovers!  Not rating since I modified</t>
        </is>
      </c>
    </row>
    <row r="5759">
      <c r="A5759" s="7" t="n">
        <v>115729</v>
      </c>
      <c r="B5759" s="7" t="n">
        <v>297762</v>
      </c>
      <c r="C5759" s="7" t="n">
        <v>2000390703</v>
      </c>
      <c r="D5759" s="7" t="n">
        <v>173284</v>
      </c>
      <c r="E5759" s="8" t="n">
        <v>42224</v>
      </c>
      <c r="F5759" s="7" t="n">
        <v>5</v>
      </c>
      <c r="G5759" s="7" t="inlineStr">
        <is>
          <t>Like many reviewers, I have tried a lot of pancake recipes and this is by far the best tasting pancakes I&amp;#039;ve made. The pancakes are eggie but they add  richness, fluffiness and are light. The separation of egg yolks from egg whites is a little extra work but totally worth making and eating.  Unlike other recipes, these pancakes don&amp;#039;t make you feel tired, drowsy and lethargic after eating them as other pancake recipes do.</t>
        </is>
      </c>
    </row>
    <row r="5760">
      <c r="A5760" s="7" t="n">
        <v>55706</v>
      </c>
      <c r="B5760" s="7" t="n">
        <v>401217</v>
      </c>
      <c r="C5760" s="7" t="n">
        <v>605696</v>
      </c>
      <c r="D5760" s="7" t="n">
        <v>144736</v>
      </c>
      <c r="E5760" s="8" t="n">
        <v>39549</v>
      </c>
      <c r="F5760" s="7" t="n">
        <v>5</v>
      </c>
      <c r="G5760" s="7" t="inlineStr">
        <is>
          <t>Another of my hubby's favorite recipes.  I use whatever brand of sundried tomato vinagrette that is available at my store.</t>
        </is>
      </c>
    </row>
    <row r="5761" ht="409.5" customHeight="1">
      <c r="A5761" s="7" t="n">
        <v>124907</v>
      </c>
      <c r="B5761" s="7" t="n">
        <v>848947</v>
      </c>
      <c r="C5761" s="7" t="n">
        <v>173815</v>
      </c>
      <c r="D5761" s="7" t="n">
        <v>28969</v>
      </c>
      <c r="E5761" s="8" t="n">
        <v>38410</v>
      </c>
      <c r="F5761" s="7" t="n">
        <v>5</v>
      </c>
      <c r="G5761" s="9" t="inlineStr">
        <is>
          <t xml:space="preserve">This is very good and adaptable. I used large seashell pasta, chicken soup(out of mushroom), Tyson chicken chunks(out of Tuna), can of baby peas with mushrooms and pearl onions and added cheddar and chips on top. This made a great lunch for me. Thanks, can't wait to try with ingredients called for._x000D_
_x000D_
</t>
        </is>
      </c>
    </row>
    <row r="5762">
      <c r="A5762" s="7" t="n">
        <v>93751</v>
      </c>
      <c r="B5762" s="7" t="n">
        <v>508670</v>
      </c>
      <c r="C5762" s="7" t="n">
        <v>736554</v>
      </c>
      <c r="D5762" s="7" t="n">
        <v>161236</v>
      </c>
      <c r="E5762" s="8" t="n">
        <v>39728</v>
      </c>
      <c r="F5762" s="7" t="n">
        <v>5</v>
      </c>
      <c r="G5762" s="7" t="inlineStr">
        <is>
          <t>I went to add this recipe and was happy that it was posted.  Very rich and very good.  I used walnuts instead of pecans and only used 1/2 cup.  Did everything else as directed.  Thanks for posting and sharing.</t>
        </is>
      </c>
    </row>
    <row r="5763">
      <c r="A5763" s="7" t="n">
        <v>72555</v>
      </c>
      <c r="B5763" s="7" t="n">
        <v>210694</v>
      </c>
      <c r="C5763" s="7" t="n">
        <v>80353</v>
      </c>
      <c r="D5763" s="7" t="n">
        <v>121005</v>
      </c>
      <c r="E5763" s="8" t="n">
        <v>39614</v>
      </c>
      <c r="F5763" s="7" t="n">
        <v>5</v>
      </c>
      <c r="G5763" s="7" t="inlineStr">
        <is>
          <t>I made this for our Father's Day Lunch and we all loved it.  Only change was to use orange peel as you can't find tangerines anywhere this time of year.</t>
        </is>
      </c>
    </row>
    <row r="5764">
      <c r="A5764" s="7" t="n">
        <v>33735</v>
      </c>
      <c r="B5764" s="7" t="n">
        <v>262741</v>
      </c>
      <c r="C5764" s="7" t="n">
        <v>1287956</v>
      </c>
      <c r="D5764" s="7" t="n">
        <v>518045</v>
      </c>
      <c r="E5764" s="8" t="n">
        <v>41879</v>
      </c>
      <c r="F5764" s="7" t="n">
        <v>3</v>
      </c>
      <c r="G5764" s="7" t="inlineStr">
        <is>
          <t>My family didn&amp;#039;t like this one too well, but if I make it again, it&amp;#039;ll go over mashed potatos instead of puff pastry.  I&amp;#039;d also cut back on the A-1 sauce, which is odd because I usually drench my steaks in it.</t>
        </is>
      </c>
    </row>
    <row r="5765">
      <c r="A5765" s="7" t="n">
        <v>51736</v>
      </c>
      <c r="B5765" s="7" t="n">
        <v>410462</v>
      </c>
      <c r="C5765" s="7" t="n">
        <v>50969</v>
      </c>
      <c r="D5765" s="7" t="n">
        <v>107674</v>
      </c>
      <c r="E5765" s="8" t="n">
        <v>39960</v>
      </c>
      <c r="F5765" s="7" t="n">
        <v>4</v>
      </c>
      <c r="G5765" s="7" t="inlineStr">
        <is>
          <t>I made this recipe on 5/26/09 as part of mine and SO's dinner.I sort of followed the recipe, instead of using a cut-up chicken, thighs and legs were used.And I added some Creole Seasoning to the cracker crumbs.After the first 30 minutes in the oven, the chicken was uncovered then baked for about 10 to 15 minutes.( I didn't want to become to dried out ). Both SO and I liked the taste, but it wasn't crispy enough,maybe I should have let it baked longer. But this is a repeat. Thanks for posting and, " Keep Smiling :) "</t>
        </is>
      </c>
    </row>
    <row r="5766">
      <c r="A5766" s="7" t="n">
        <v>6580</v>
      </c>
      <c r="B5766" s="7" t="n">
        <v>242780</v>
      </c>
      <c r="C5766" s="7" t="n">
        <v>359804</v>
      </c>
      <c r="D5766" s="7" t="n">
        <v>43136</v>
      </c>
      <c r="E5766" s="8" t="n">
        <v>39641</v>
      </c>
      <c r="F5766" s="7" t="n">
        <v>0</v>
      </c>
      <c r="G5766" s="7" t="inlineStr">
        <is>
          <t>Excellent recipe! Followed it as written and they turned out wonderfully. A keeper for sure.</t>
        </is>
      </c>
    </row>
    <row r="5767">
      <c r="A5767" s="7" t="n">
        <v>66840</v>
      </c>
      <c r="B5767" s="7" t="n">
        <v>296976</v>
      </c>
      <c r="C5767" s="7" t="n">
        <v>204735</v>
      </c>
      <c r="D5767" s="7" t="n">
        <v>50385</v>
      </c>
      <c r="E5767" s="8" t="n">
        <v>39469</v>
      </c>
      <c r="F5767" s="7" t="n">
        <v>4</v>
      </c>
      <c r="G5767" s="7" t="inlineStr">
        <is>
          <t>Excellent taste, but I think it needed more sauce or less chicken.  I will make it again, but add more cream, or maybe even doubling everything, but the chicken.</t>
        </is>
      </c>
    </row>
    <row r="5768">
      <c r="A5768" s="7" t="n">
        <v>73223</v>
      </c>
      <c r="B5768" s="7" t="n">
        <v>139511</v>
      </c>
      <c r="C5768" s="7" t="n">
        <v>545825</v>
      </c>
      <c r="D5768" s="7" t="n">
        <v>99746</v>
      </c>
      <c r="E5768" s="8" t="n">
        <v>40119</v>
      </c>
      <c r="F5768" s="7" t="n">
        <v>4</v>
      </c>
      <c r="G5768" s="7" t="inlineStr">
        <is>
          <t>I liked the flavor of this, but it seemed like a lot of work and a big mess.  I think I'd like it a lot more if someone else fixed it for me.  :-)</t>
        </is>
      </c>
    </row>
    <row r="5769">
      <c r="A5769" s="7" t="n">
        <v>100294</v>
      </c>
      <c r="B5769" s="7" t="n">
        <v>763484</v>
      </c>
      <c r="C5769" s="7" t="n">
        <v>2716333</v>
      </c>
      <c r="D5769" s="7" t="n">
        <v>10140</v>
      </c>
      <c r="E5769" s="8" t="n">
        <v>41513</v>
      </c>
      <c r="F5769" s="7" t="n">
        <v>5</v>
      </c>
      <c r="G5769" s="7" t="inlineStr">
        <is>
          <t>Excellent, used egg white and panko with walla walla sweets.  Oiled a cookie sheet with grape seed oil and turned onion rings the last 5 minutes to brown on the other side.  I did use only small batches of panko at a time, as soon as rings got to wet they wouldn&amp;#039;t hold the breading.  The sweets are important, also added a small amount of parmesan to breading&amp;lt;br/&amp;gt;and sprayed the tops with canolila oil before baking.  Very good</t>
        </is>
      </c>
    </row>
    <row r="5770">
      <c r="A5770" s="7" t="n">
        <v>68059</v>
      </c>
      <c r="B5770" s="7" t="n">
        <v>248024</v>
      </c>
      <c r="C5770" s="7" t="n">
        <v>1844337</v>
      </c>
      <c r="D5770" s="7" t="n">
        <v>215414</v>
      </c>
      <c r="E5770" s="8" t="n">
        <v>41293</v>
      </c>
      <c r="F5770" s="7" t="n">
        <v>4</v>
      </c>
      <c r="G5770" s="7" t="inlineStr">
        <is>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is>
      </c>
    </row>
    <row r="5771">
      <c r="A5771" s="7" t="n">
        <v>27957</v>
      </c>
      <c r="B5771" s="7" t="n">
        <v>524177</v>
      </c>
      <c r="C5771" s="7" t="n">
        <v>128473</v>
      </c>
      <c r="D5771" s="7" t="n">
        <v>101747</v>
      </c>
      <c r="E5771" s="8" t="n">
        <v>38301</v>
      </c>
      <c r="F5771" s="7" t="n">
        <v>5</v>
      </c>
      <c r="G5771" s="7" t="inlineStr">
        <is>
          <t>Marie, what can I say...I love banana bread and yours is yummy. I just loved the addition of the raspberries. This bread is moist, not overly sweet, flavourful and has a lovely texture. Best of all this excellant bread is very easy to make.</t>
        </is>
      </c>
    </row>
    <row r="5772">
      <c r="A5772" s="7" t="n">
        <v>60462</v>
      </c>
      <c r="B5772" s="7" t="n">
        <v>574332</v>
      </c>
      <c r="C5772" s="7" t="n">
        <v>216320</v>
      </c>
      <c r="D5772" s="7" t="n">
        <v>13320</v>
      </c>
      <c r="E5772" s="8" t="n">
        <v>38994</v>
      </c>
      <c r="F5772" s="7" t="n">
        <v>5</v>
      </c>
      <c r="G5772" s="7" t="inlineStr">
        <is>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is>
      </c>
    </row>
    <row r="5773" ht="409.5" customHeight="1">
      <c r="A5773" s="7" t="n">
        <v>6536</v>
      </c>
      <c r="B5773" s="7" t="n">
        <v>205423</v>
      </c>
      <c r="C5773" s="7" t="n">
        <v>1803786474</v>
      </c>
      <c r="D5773" s="7" t="n">
        <v>12313</v>
      </c>
      <c r="E5773" s="8" t="n">
        <v>42184</v>
      </c>
      <c r="F5773" s="7" t="n">
        <v>5</v>
      </c>
      <c r="G5773" s="9" t="inlineStr">
        <is>
          <t>Best fudge cake ever! I made it for my husband&amp;#039;s birthday and he loved it. I used 1/4 cup vegetable oil instead of margarine.  I will use this recipe forever.
I also make it in the slow cooker with the bread/cake insert by rival. 1 1/2 to 2 hours on high. Lined the bottom of insert with wax paper before spraying with cooking spray. Take insert out of crock pot when done, cool on wire rack for 5 minutes. Remove from pan and peel wax paper off, cool completely on wire rack.</t>
        </is>
      </c>
    </row>
    <row r="5774">
      <c r="A5774" s="7" t="n">
        <v>94591</v>
      </c>
      <c r="B5774" s="7" t="n">
        <v>56885</v>
      </c>
      <c r="C5774" s="7" t="n">
        <v>711968</v>
      </c>
      <c r="D5774" s="7" t="n">
        <v>9054</v>
      </c>
      <c r="E5774" s="8" t="n">
        <v>39449</v>
      </c>
      <c r="F5774" s="7" t="n">
        <v>1</v>
      </c>
      <c r="G5774" s="7" t="inlineStr">
        <is>
          <t>I think it was my potatoes (they were very stiff) but I had problems getting a batter consistency and then I couldn't flip them without them breaking apart. I also like a stronger potato taste.</t>
        </is>
      </c>
    </row>
    <row r="5775">
      <c r="A5775" s="7" t="n">
        <v>58853</v>
      </c>
      <c r="B5775" s="7" t="n">
        <v>825060</v>
      </c>
      <c r="C5775" s="7" t="n">
        <v>15521</v>
      </c>
      <c r="D5775" s="7" t="n">
        <v>209655</v>
      </c>
      <c r="E5775" s="8" t="n">
        <v>40126</v>
      </c>
      <c r="F5775" s="7" t="n">
        <v>5</v>
      </c>
      <c r="G5775" s="7" t="inlineStr">
        <is>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is>
      </c>
    </row>
    <row r="5776" ht="409.5" customHeight="1">
      <c r="A5776" s="7" t="n">
        <v>74232</v>
      </c>
      <c r="B5776" s="7" t="n">
        <v>799806</v>
      </c>
      <c r="C5776" s="7" t="n">
        <v>2000210185</v>
      </c>
      <c r="D5776" s="7" t="n">
        <v>237769</v>
      </c>
      <c r="E5776" s="8" t="n">
        <v>42142</v>
      </c>
      <c r="F5776" s="7" t="n">
        <v>0</v>
      </c>
      <c r="G5776" s="9" t="inlineStr">
        <is>
          <t>Absolutely wonderful recipe, I&amp;#039;m new to this malarkey but I found it easy to follow and even the sauce wasn&amp;#039;t lumpy.
We had it as a main course as my partner is a vegetarian but found it too much for two people.
I will definitely be cooking this again.</t>
        </is>
      </c>
    </row>
    <row r="5777">
      <c r="A5777" s="7" t="n">
        <v>58244</v>
      </c>
      <c r="B5777" s="7" t="n">
        <v>905086</v>
      </c>
      <c r="C5777" s="7" t="n">
        <v>1165667</v>
      </c>
      <c r="D5777" s="7" t="n">
        <v>349530</v>
      </c>
      <c r="E5777" s="8" t="n">
        <v>39854</v>
      </c>
      <c r="F5777" s="7" t="n">
        <v>5</v>
      </c>
      <c r="G5777" s="7" t="inlineStr">
        <is>
          <t>This recipe is very easy.  It just takes a lot of stirring.  My first batch is cooling now - but it looks and smells good!</t>
        </is>
      </c>
    </row>
    <row r="5778">
      <c r="A5778" s="7" t="n">
        <v>112806</v>
      </c>
      <c r="B5778" s="7" t="n">
        <v>218677</v>
      </c>
      <c r="C5778" s="7" t="n">
        <v>88099</v>
      </c>
      <c r="D5778" s="7" t="n">
        <v>96464</v>
      </c>
      <c r="E5778" s="8" t="n">
        <v>38898</v>
      </c>
      <c r="F5778" s="7" t="n">
        <v>5</v>
      </c>
      <c r="G5778" s="7" t="inlineStr">
        <is>
          <t xml:space="preserve">Absolutely wonderful.  Loved the texture and the flavor was outstanding.  I made these in my Belgian Waffle iron, and they turned out great.  Thanks Paula for another great sourdough recipe.  </t>
        </is>
      </c>
    </row>
    <row r="5779">
      <c r="A5779" s="7" t="n">
        <v>43423</v>
      </c>
      <c r="B5779" s="7" t="n">
        <v>447258</v>
      </c>
      <c r="C5779" s="7" t="n">
        <v>63550</v>
      </c>
      <c r="D5779" s="7" t="n">
        <v>109536</v>
      </c>
      <c r="E5779" s="8" t="n">
        <v>38418</v>
      </c>
      <c r="F5779" s="7" t="n">
        <v>5</v>
      </c>
      <c r="G5779" s="7" t="inlineStr">
        <is>
          <t>This was awesome!!!!  My husband loved it and he is very picky :)  The only thing I will do differently next time is to crush the croutons up some like Tarynne suggested.  Thanks for posting this wonderful dish!!!!</t>
        </is>
      </c>
    </row>
    <row r="5780">
      <c r="A5780" s="7" t="n">
        <v>30196</v>
      </c>
      <c r="B5780" s="7" t="n">
        <v>365710</v>
      </c>
      <c r="C5780" s="7" t="n">
        <v>93006</v>
      </c>
      <c r="D5780" s="7" t="n">
        <v>43267</v>
      </c>
      <c r="E5780" s="8" t="n">
        <v>38259</v>
      </c>
      <c r="F5780" s="7" t="n">
        <v>5</v>
      </c>
      <c r="G5780" s="7" t="inlineStr">
        <is>
          <t>These really are wonderful - the vanilla adds a terrific smoothness, and you don't feel like you're eating 3 million calories, like typical sweet potato dishes (and you're not!)  Very easy to put together, and the perfect recipe when you don't want your sweet potatoes all dressed up!</t>
        </is>
      </c>
    </row>
    <row r="5781">
      <c r="A5781" s="7" t="n">
        <v>7</v>
      </c>
      <c r="B5781" s="7" t="n">
        <v>815389</v>
      </c>
      <c r="C5781" s="7" t="n">
        <v>162888</v>
      </c>
      <c r="D5781" s="7" t="n">
        <v>16067</v>
      </c>
      <c r="E5781" s="8" t="n">
        <v>38695</v>
      </c>
      <c r="F5781" s="7" t="n">
        <v>5</v>
      </c>
      <c r="G5781" s="7" t="inlineStr">
        <is>
          <t>When I snapped the picture, I forgot to review the recipe. I added toasted pecans to this dish, and I served it at a dinner party with Prime Rib. Ten stars Lennie !!</t>
        </is>
      </c>
    </row>
    <row r="5782">
      <c r="A5782" s="7" t="n">
        <v>32532</v>
      </c>
      <c r="B5782" s="7" t="n">
        <v>62271</v>
      </c>
      <c r="C5782" s="7" t="n">
        <v>373018</v>
      </c>
      <c r="D5782" s="7" t="n">
        <v>94031</v>
      </c>
      <c r="E5782" s="8" t="n">
        <v>39883</v>
      </c>
      <c r="F5782" s="7" t="n">
        <v>3</v>
      </c>
      <c r="G5782" s="7" t="inlineStr">
        <is>
          <t>We didn't care for this using deli roast beef.   I'll use a rib eye next time.</t>
        </is>
      </c>
    </row>
    <row r="5783">
      <c r="A5783" s="7" t="n">
        <v>31987</v>
      </c>
      <c r="B5783" s="7" t="n">
        <v>849641</v>
      </c>
      <c r="C5783" s="7" t="n">
        <v>128473</v>
      </c>
      <c r="D5783" s="7" t="n">
        <v>357019</v>
      </c>
      <c r="E5783" s="8" t="n">
        <v>42036</v>
      </c>
      <c r="F5783" s="7" t="n">
        <v>5</v>
      </c>
      <c r="G5783" s="7" t="inlineStr">
        <is>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is>
      </c>
    </row>
    <row r="5784">
      <c r="A5784" s="7" t="n">
        <v>64721</v>
      </c>
      <c r="B5784" s="7" t="n">
        <v>1003767</v>
      </c>
      <c r="C5784" s="7" t="n">
        <v>1800057548</v>
      </c>
      <c r="D5784" s="7" t="n">
        <v>505477</v>
      </c>
      <c r="E5784" s="8" t="n">
        <v>41529</v>
      </c>
      <c r="F5784" s="7" t="n">
        <v>5</v>
      </c>
      <c r="G5784" s="7" t="inlineStr">
        <is>
          <t>I like these. Think of a granola bar. I taste banana, peanut, chocolate. They are plenty sweet for me. I used 3 bananas do med size. Just getting brown spots. I cut them up and them mashed them with a potato masher. I added 1 heaping tblsp.  Real vanilla. I used natural very chunky peanut butter with no added sugar. I enjoy dark chocolate and do not like really sweet things. These met the criteria. Baked 10 min @ 350. Didn&amp;#039;t stick on regular cookie sheet. Enjoy.</t>
        </is>
      </c>
    </row>
    <row r="5785">
      <c r="A5785" s="7" t="n">
        <v>121658</v>
      </c>
      <c r="B5785" s="7" t="n">
        <v>1108774</v>
      </c>
      <c r="C5785" s="7" t="n">
        <v>361931</v>
      </c>
      <c r="D5785" s="7" t="n">
        <v>30358</v>
      </c>
      <c r="E5785" s="8" t="n">
        <v>39520</v>
      </c>
      <c r="F5785" s="7" t="n">
        <v>5</v>
      </c>
      <c r="G5785" s="7" t="inlineStr">
        <is>
          <t>This worked well!  I will def use this during the summer months when I don't want the heat from the stove.  Could have really used this in our old house -- I couldn't cooking anything in the oven or stovetop there during the summer months :)  Thanks!</t>
        </is>
      </c>
    </row>
    <row r="5786">
      <c r="A5786" s="7" t="n">
        <v>75291</v>
      </c>
      <c r="B5786" s="7" t="n">
        <v>923325</v>
      </c>
      <c r="C5786" s="7" t="n">
        <v>100147</v>
      </c>
      <c r="D5786" s="7" t="n">
        <v>68816</v>
      </c>
      <c r="E5786" s="8" t="n">
        <v>37921</v>
      </c>
      <c r="F5786" s="7" t="n">
        <v>4</v>
      </c>
      <c r="G5786" s="7" t="inlineStr">
        <is>
          <t>This was very simple and good.  I made it with 98% fat free cream of chicken soup and fat free sour cream.  Would've been better with the fat, but at least I didn't have any regrets!</t>
        </is>
      </c>
    </row>
    <row r="5787">
      <c r="A5787" s="7" t="n">
        <v>9271</v>
      </c>
      <c r="B5787" s="7" t="n">
        <v>124048</v>
      </c>
      <c r="C5787" s="7" t="n">
        <v>614389</v>
      </c>
      <c r="D5787" s="7" t="n">
        <v>355413</v>
      </c>
      <c r="E5787" s="8" t="n">
        <v>40062</v>
      </c>
      <c r="F5787" s="7" t="n">
        <v>5</v>
      </c>
      <c r="G5787" s="7" t="inlineStr">
        <is>
          <t>These were so easy to make and delicious ! I used real bacon bits and it turned out great. My husband and I will be making this again and again.</t>
        </is>
      </c>
    </row>
    <row r="5788">
      <c r="A5788" s="7" t="n">
        <v>44065</v>
      </c>
      <c r="B5788" s="7" t="n">
        <v>13834</v>
      </c>
      <c r="C5788" s="7" t="n">
        <v>2002320938</v>
      </c>
      <c r="D5788" s="7" t="n">
        <v>82226</v>
      </c>
      <c r="E5788" s="8" t="n">
        <v>43408</v>
      </c>
      <c r="F5788" s="7" t="n">
        <v>5</v>
      </c>
      <c r="G5788" s="7" t="inlineStr">
        <is>
          <t>mm.. can't stop sipping. you're like a drug dealer :p this is really good</t>
        </is>
      </c>
    </row>
    <row r="5789">
      <c r="A5789" s="7" t="n">
        <v>119135</v>
      </c>
      <c r="B5789" s="7" t="n">
        <v>638475</v>
      </c>
      <c r="C5789" s="7" t="n">
        <v>945289</v>
      </c>
      <c r="D5789" s="7" t="n">
        <v>220639</v>
      </c>
      <c r="E5789" s="8" t="n">
        <v>39715</v>
      </c>
      <c r="F5789" s="7" t="n">
        <v>5</v>
      </c>
      <c r="G5789" s="7" t="inlineStr">
        <is>
          <t>Can't have Recipe #100379 without having some tasty biscuits to go along with it to sop up the juices!  These biscuits are so delicious you will be eating every last one and wishing for more.  They are THAT good! I put this recipe in my favorites because they will go great with so many of the recipes I make. Thanks!</t>
        </is>
      </c>
    </row>
    <row r="5790">
      <c r="A5790" s="7" t="n">
        <v>3058</v>
      </c>
      <c r="B5790" s="7" t="n">
        <v>265985</v>
      </c>
      <c r="C5790" s="7" t="n">
        <v>2290787</v>
      </c>
      <c r="D5790" s="7" t="n">
        <v>107786</v>
      </c>
      <c r="E5790" s="8" t="n">
        <v>41071</v>
      </c>
      <c r="F5790" s="7" t="n">
        <v>5</v>
      </c>
      <c r="G5790" s="7" t="inlineStr">
        <is>
          <t>I've made the ribs twice now in the last month.  Extremely easy recipe, easy to clean up, and taste is out of this WORLD!</t>
        </is>
      </c>
    </row>
    <row r="5791">
      <c r="A5791" s="7" t="n">
        <v>44018</v>
      </c>
      <c r="B5791" s="7" t="n">
        <v>677329</v>
      </c>
      <c r="C5791" s="7" t="n">
        <v>105804</v>
      </c>
      <c r="D5791" s="7" t="n">
        <v>406420</v>
      </c>
      <c r="E5791" s="8" t="n">
        <v>41330</v>
      </c>
      <c r="F5791" s="7" t="n">
        <v>4</v>
      </c>
      <c r="G5791" s="7" t="inlineStr">
        <is>
          <t>didn't measure the spices (by-golly method).  used three peaches from the freezer we had picked last summer (I freeze them whole and then pit them when they're partially defrosted, didn't remove peels though).  after cooking, thickened "sauce" with flour and pureed the peaches to add back into sauce.  pork roast was probably 2-3lb, had more than enough sauce for it.&lt;br/&gt;&lt;br/&gt;want to try it stovetop with pork chops (with garlic salt).  could do as chops in the crock; or deep-prick the roast in the crockpot to help flavor reach further in.&lt;br/&gt;&lt;br/&gt;well received by entire family (including my mom).</t>
        </is>
      </c>
    </row>
    <row r="5792">
      <c r="A5792" s="7" t="n">
        <v>108438</v>
      </c>
      <c r="B5792" s="7" t="n">
        <v>548508</v>
      </c>
      <c r="C5792" s="7" t="n">
        <v>191990</v>
      </c>
      <c r="D5792" s="7" t="n">
        <v>102775</v>
      </c>
      <c r="E5792" s="8" t="n">
        <v>38495</v>
      </c>
      <c r="F5792" s="7" t="n">
        <v>5</v>
      </c>
      <c r="G5792" s="7" t="inlineStr">
        <is>
          <t>This was EXTREMELY good.  I also am a loyal starbucks drinker, but this is just as yummy. I made sure the espresso was cooled before mixing it, and even topped it with some caramel...  Ooooh, this was wonderful! THANX!!</t>
        </is>
      </c>
    </row>
    <row r="5793">
      <c r="A5793" s="7" t="n">
        <v>118956</v>
      </c>
      <c r="B5793" s="7" t="n">
        <v>196158</v>
      </c>
      <c r="C5793" s="7" t="n">
        <v>267713</v>
      </c>
      <c r="D5793" s="7" t="n">
        <v>182625</v>
      </c>
      <c r="E5793" s="8" t="n">
        <v>38974</v>
      </c>
      <c r="F5793" s="7" t="n">
        <v>4</v>
      </c>
      <c r="G5793" s="7" t="inlineStr">
        <is>
          <t>This is the first time I brined chicken.  I put it on the grill with barbecue sauce.  It was moist and tasty.  My husband loved it even better leftover the next day.  I would do it this way again, since I have a hard time keeping my barbecued chicken moist.  Thanks for the recipe SkinnyMinnie.</t>
        </is>
      </c>
    </row>
    <row r="5794" ht="409.5" customHeight="1">
      <c r="A5794" s="7" t="n">
        <v>2996</v>
      </c>
      <c r="B5794" s="7" t="n">
        <v>1094738</v>
      </c>
      <c r="C5794" s="7" t="n">
        <v>129201</v>
      </c>
      <c r="D5794" s="7" t="n">
        <v>345109</v>
      </c>
      <c r="E5794" s="8" t="n">
        <v>39874</v>
      </c>
      <c r="F5794" s="7" t="n">
        <v>5</v>
      </c>
      <c r="G5794" s="9" t="inlineStr">
        <is>
          <t>Very, very tasty recipe!  I used chicken breast fillets for the meat and recipe #70574 for the red curry paste.  Although I followed your directions for the cooking process I did change a couple of things.  We love our curries and we like them hot, so I used 3 tablespoons of curry paste.  I also left out the zucchini as we didn't have any, used lime juice rather than lemon for the same reason. And at the end I garnished with sliced birds eye chillies and coriander/cilantro. Didn't feel that the curry needed thickening so didn't use the cornstarch.
We loved the flavours of this red curry and it really takes very little time to make, a very big hit with us. Thanks for the recipe!!</t>
        </is>
      </c>
    </row>
    <row r="5795">
      <c r="A5795" s="7" t="n">
        <v>15526</v>
      </c>
      <c r="B5795" s="7" t="n">
        <v>863088</v>
      </c>
      <c r="C5795" s="7" t="n">
        <v>334010</v>
      </c>
      <c r="D5795" s="7" t="n">
        <v>317291</v>
      </c>
      <c r="E5795" s="8" t="n">
        <v>39678</v>
      </c>
      <c r="F5795" s="7" t="n">
        <v>5</v>
      </c>
      <c r="G5795" s="7" t="inlineStr">
        <is>
          <t>Turned out amazing! Thanks you for this extremely tasty and easy recipe.</t>
        </is>
      </c>
    </row>
    <row r="5796">
      <c r="A5796" s="7" t="n">
        <v>119960</v>
      </c>
      <c r="B5796" s="7" t="n">
        <v>149017</v>
      </c>
      <c r="C5796" s="7" t="n">
        <v>337668</v>
      </c>
      <c r="D5796" s="7" t="n">
        <v>269017</v>
      </c>
      <c r="E5796" s="8" t="n">
        <v>39461</v>
      </c>
      <c r="F5796" s="7" t="n">
        <v>5</v>
      </c>
      <c r="G5796" s="7" t="inlineStr">
        <is>
          <t>This should be called the fat fisherman!  I couldn't find a round loaf so I used foccatia.  I also made an olive tapenade, which went really well with the bread.  This is on my list to make again. I froze the leftovers since there was no vegies to get soggy.  Thanks for the recipe!</t>
        </is>
      </c>
    </row>
    <row r="5797">
      <c r="A5797" s="7" t="n">
        <v>100433</v>
      </c>
      <c r="B5797" s="7" t="n">
        <v>477670</v>
      </c>
      <c r="C5797" s="7" t="n">
        <v>83093</v>
      </c>
      <c r="D5797" s="7" t="n">
        <v>92036</v>
      </c>
      <c r="E5797" s="8" t="n">
        <v>39201</v>
      </c>
      <c r="F5797" s="7" t="n">
        <v>0</v>
      </c>
      <c r="G5797" s="7" t="inlineStr">
        <is>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is>
      </c>
    </row>
    <row r="5798">
      <c r="A5798" s="7" t="n">
        <v>83160</v>
      </c>
      <c r="B5798" s="7" t="n">
        <v>449688</v>
      </c>
      <c r="C5798" s="7" t="n">
        <v>92816</v>
      </c>
      <c r="D5798" s="7" t="n">
        <v>33652</v>
      </c>
      <c r="E5798" s="8" t="n">
        <v>40803</v>
      </c>
      <c r="F5798" s="7" t="n">
        <v>5</v>
      </c>
      <c r="G5798" s="7" t="inlineStr">
        <is>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is>
      </c>
    </row>
    <row r="5799">
      <c r="A5799" s="7" t="n">
        <v>94112</v>
      </c>
      <c r="B5799" s="7" t="n">
        <v>326761</v>
      </c>
      <c r="C5799" s="7" t="n">
        <v>593927</v>
      </c>
      <c r="D5799" s="7" t="n">
        <v>53844</v>
      </c>
      <c r="E5799" s="8" t="n">
        <v>41138</v>
      </c>
      <c r="F5799" s="7" t="n">
        <v>5</v>
      </c>
      <c r="G5799" s="7" t="inlineStr">
        <is>
          <t>I love the smell of this cooking. I love this warm from the oven! Not as tasty room temperature the next day. I loved that it was slightly sweet not too much. This was my first experience of a Kugel. I used cooked white Basmati rice with just a little sea salt in it and no fat, sweet butter (unsalted), evaporated milk in place of the heavy cream as that is what I had on hand but I'm sure the cream would make this creamier and if I make this for guests I would use the heavy cream, I opted out of adding raisins, used extra apple as another reviewer said she would (one red delicious &amp; one granny smith) I would use a sweet apple and no granny smith next time, I would also cut the banana a bit smaller next time as well. I had to omit the mango as I didn't have any and then went out and bought canned peach for next time forgetting it called for mango. (Will update when I make it with the peach *did that and it just wasn't as good, DH didn't like it). I used organic cane sugar (no headaches), plus the rest of the ingredients. I may make this again! Originally made for Veggie Swap #49 ~ August ~</t>
        </is>
      </c>
    </row>
    <row r="5800">
      <c r="A5800" s="7" t="n">
        <v>108745</v>
      </c>
      <c r="B5800" s="7" t="n">
        <v>683334</v>
      </c>
      <c r="C5800" s="7" t="n">
        <v>101732</v>
      </c>
      <c r="D5800" s="7" t="n">
        <v>226274</v>
      </c>
      <c r="E5800" s="8" t="n">
        <v>39548</v>
      </c>
      <c r="F5800" s="7" t="n">
        <v>5</v>
      </c>
      <c r="G5800" s="7" t="inlineStr">
        <is>
          <t>I looked forward to this all day long and it was not a disappointment!! This salad was fantastic! I roasted my corn like suggested,skipped the bacon bits and used fat free cheese. I made the dressing using fat free ranch dressing. I let the dressing sit in the fridge for about 2 hours to let the flavors blend. I also marinated the breasts in fat free zesty Italian dressing for about 4 hours before I grilled them. I can't say enough about how good this salad was! All of the different flavors just came together so well. Thank you so much for posting this!! :)</t>
        </is>
      </c>
    </row>
    <row r="5801">
      <c r="A5801" s="7" t="n">
        <v>75904</v>
      </c>
      <c r="B5801" s="7" t="n">
        <v>424414</v>
      </c>
      <c r="C5801" s="7" t="n">
        <v>394085</v>
      </c>
      <c r="D5801" s="7" t="n">
        <v>220924</v>
      </c>
      <c r="E5801" s="8" t="n">
        <v>39271</v>
      </c>
      <c r="F5801" s="7" t="n">
        <v>5</v>
      </c>
      <c r="G5801" s="7" t="inlineStr">
        <is>
          <t>This is a wonderful salad--healthy, so fresh and crunchy. Actually, it was just delicious even before I put the dressing on. I certainly shall make it again.</t>
        </is>
      </c>
    </row>
    <row r="5802">
      <c r="A5802" s="7" t="n">
        <v>66721</v>
      </c>
      <c r="B5802" s="7" t="n">
        <v>911534</v>
      </c>
      <c r="C5802" s="7" t="n">
        <v>216249</v>
      </c>
      <c r="D5802" s="7" t="n">
        <v>40473</v>
      </c>
      <c r="E5802" s="8" t="n">
        <v>39733</v>
      </c>
      <c r="F5802" s="7" t="n">
        <v>5</v>
      </c>
      <c r="G5802" s="7" t="inlineStr">
        <is>
          <t>Wonderful muffins!  I did make these changes.  I decreased the oil to 3/4 cup and added 1/2 sour cream.  I used 2 cups all-purpose flour and 1 cup whole wheat flour. They were very moist and not at all oily.  My family loved them. Will definitely make these during pear season. Thanks "ratherbeswimmin' for this great muffin recipe.</t>
        </is>
      </c>
    </row>
    <row r="5803">
      <c r="A5803" s="7" t="n">
        <v>16748</v>
      </c>
      <c r="B5803" s="7" t="n">
        <v>1026960</v>
      </c>
      <c r="C5803" s="7" t="n">
        <v>1025408</v>
      </c>
      <c r="D5803" s="7" t="n">
        <v>214318</v>
      </c>
      <c r="E5803" s="8" t="n">
        <v>40255</v>
      </c>
      <c r="F5803" s="7" t="n">
        <v>5</v>
      </c>
      <c r="G5803" s="7" t="inlineStr">
        <is>
          <t>I love it!!!  I have been doing mine in the crockpot or stovetop for 30 years, but this was truly the best.</t>
        </is>
      </c>
    </row>
    <row r="5804">
      <c r="A5804" s="7" t="n">
        <v>43279</v>
      </c>
      <c r="B5804" s="7" t="n">
        <v>362926</v>
      </c>
      <c r="C5804" s="7" t="n">
        <v>50472</v>
      </c>
      <c r="D5804" s="7" t="n">
        <v>68063</v>
      </c>
      <c r="E5804" s="8" t="n">
        <v>38155</v>
      </c>
      <c r="F5804" s="7" t="n">
        <v>5</v>
      </c>
      <c r="G5804" s="7" t="inlineStr">
        <is>
          <t xml:space="preserve">These were the most moist pork chops I ever cooked on the stove.  I was amazed at how easy it was!  This really works! Thanks!      </t>
        </is>
      </c>
    </row>
    <row r="5805">
      <c r="A5805" s="7" t="n">
        <v>65551</v>
      </c>
      <c r="B5805" s="7" t="n">
        <v>1042903</v>
      </c>
      <c r="C5805" s="7" t="n">
        <v>362919</v>
      </c>
      <c r="D5805" s="7" t="n">
        <v>17073</v>
      </c>
      <c r="E5805" s="8" t="n">
        <v>39869</v>
      </c>
      <c r="F5805" s="7" t="n">
        <v>4</v>
      </c>
      <c r="G5805" s="7" t="inlineStr">
        <is>
          <t>I had no problem getting it thick, it defiantly looked and has the slightly Jelly texture the Jack Daniels sauce does but the taste... not so much. It did taste really good, I added some extra cayenne pepper for that bite that the original has. Maybe it was the actual jack, I read somewhere the original doesn't have it, or the strong roasted garlic flavor... something was just off to me and I can't pin it. I will defiantly roast my own garlic next time and I'll watch it better because I think I may have let it over boil a little (I was more worried about trying to reduce it) but still a very tasty sauce - Dbf doesn't like Friday's sauce and he liked this, and I liked it too so it was a happy medium. Made just the stated size batch and had enough to baste and dip 3 breasts with some to spare. Served with Recipe #26389 and honey butter carrots.</t>
        </is>
      </c>
    </row>
    <row r="5806">
      <c r="A5806" s="7" t="n">
        <v>18177</v>
      </c>
      <c r="B5806" s="7" t="n">
        <v>119248</v>
      </c>
      <c r="C5806" s="7" t="n">
        <v>1643588</v>
      </c>
      <c r="D5806" s="7" t="n">
        <v>159787</v>
      </c>
      <c r="E5806" s="8" t="n">
        <v>40360</v>
      </c>
      <c r="F5806" s="7" t="n">
        <v>5</v>
      </c>
      <c r="G5806" s="7" t="inlineStr">
        <is>
          <t>this cake is EXCELLENT!  a very nice alternative to an every day cake.  I brought it in to work and the reviews are A+++ all the way!  I was worried about the flan not cooking, as others had said, but I cooked it for 55 minutes to be sure, and it was PERFECTION!  Thanks so much....a new favorite!!</t>
        </is>
      </c>
    </row>
    <row r="5807">
      <c r="A5807" s="7" t="n">
        <v>118098</v>
      </c>
      <c r="B5807" s="7" t="n">
        <v>38060</v>
      </c>
      <c r="C5807" s="7" t="n">
        <v>477448</v>
      </c>
      <c r="D5807" s="7" t="n">
        <v>15003</v>
      </c>
      <c r="E5807" s="8" t="n">
        <v>39178</v>
      </c>
      <c r="F5807" s="7" t="n">
        <v>5</v>
      </c>
      <c r="G5807" s="7" t="inlineStr">
        <is>
          <t>Thank you for your recipe!</t>
        </is>
      </c>
    </row>
    <row r="5808">
      <c r="A5808" s="7" t="n">
        <v>111550</v>
      </c>
      <c r="B5808" s="7" t="n">
        <v>255203</v>
      </c>
      <c r="C5808" s="7" t="n">
        <v>218309</v>
      </c>
      <c r="D5808" s="7" t="n">
        <v>55796</v>
      </c>
      <c r="E5808" s="8" t="n">
        <v>40232</v>
      </c>
      <c r="F5808" s="7" t="n">
        <v>0</v>
      </c>
      <c r="G5808" s="7" t="inlineStr">
        <is>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is>
      </c>
    </row>
    <row r="5809">
      <c r="A5809" s="7" t="n">
        <v>27954</v>
      </c>
      <c r="B5809" s="7" t="n">
        <v>284036</v>
      </c>
      <c r="C5809" s="7" t="n">
        <v>1064617</v>
      </c>
      <c r="D5809" s="7" t="n">
        <v>354876</v>
      </c>
      <c r="E5809" s="8" t="n">
        <v>40021</v>
      </c>
      <c r="F5809" s="7" t="n">
        <v>4</v>
      </c>
      <c r="G5809" s="7" t="inlineStr">
        <is>
          <t>Pretty good sauce.  A bit sweet for my tastes, but good overall.</t>
        </is>
      </c>
    </row>
    <row r="5810">
      <c r="A5810" s="7" t="n">
        <v>106693</v>
      </c>
      <c r="B5810" s="7" t="n">
        <v>135386</v>
      </c>
      <c r="C5810" s="7" t="n">
        <v>197023</v>
      </c>
      <c r="D5810" s="7" t="n">
        <v>109206</v>
      </c>
      <c r="E5810" s="8" t="n">
        <v>38524</v>
      </c>
      <c r="F5810" s="7" t="n">
        <v>5</v>
      </c>
      <c r="G5810" s="7" t="inlineStr">
        <is>
          <t>Fabulous recipe: SO flavoursome and so easy to make.  And great for occasions when you need a tasty vegetarian dish.  I followed the suggestion of several reviewers and added the can of soup and it did seem essential to add that extra moisture.  I doubled the recipe and used three eggs.  I also added some herbs: thyme, marjoram and basil.  And because I love spinach – it’s what had initially drawn me to the recipe – I doubled the amount of spinach: I used 4 packets of thawed, thoroughly drained and squeeze-dried frozen spinach.  I cooked it covered with kitchen foil, except for the last 10 minutes.  I served it on two separate occasions, one at work to colleagues and everyone loved it.  For the next couple of hours, people coming into the room kept commenting on the delicious smell!  It smelt lovely when being cooked and when reheated.  And everyone just loved it.  I do urge you to make this, and to make it with the angel hair pasta.  I’d never used it before, so as well as having discovered a wonderful new recipe, I’ve discovered a lovely new pasta.  I’ll be making this again often.  Next time, I’ll probably add garlic.  I was going to this time, but I had run out of garlic!  Thank you so much, Marsha D, for a truly wonderful recipe.</t>
        </is>
      </c>
    </row>
    <row r="5811">
      <c r="A5811" s="7" t="n">
        <v>92213</v>
      </c>
      <c r="B5811" s="7" t="n">
        <v>442217</v>
      </c>
      <c r="C5811" s="7" t="n">
        <v>29920</v>
      </c>
      <c r="D5811" s="7" t="n">
        <v>17375</v>
      </c>
      <c r="E5811" s="8" t="n">
        <v>37358</v>
      </c>
      <c r="F5811" s="7" t="n">
        <v>5</v>
      </c>
      <c r="G5811" s="7" t="inlineStr">
        <is>
          <t>I am grateful for finding this recipe,even more grateful to you Bergy for posting it!!!These were the quickest cinnamon rolls I have ever made.They tasted scrumptious and I will for sure make these again.I added more cinnamon cause we like um cinnamonny(is that a word?),left out the nuts and these were winners!!!!Great!Thanks again,Bergy.</t>
        </is>
      </c>
    </row>
    <row r="5812">
      <c r="A5812" s="7" t="n">
        <v>14691</v>
      </c>
      <c r="B5812" s="7" t="n">
        <v>312934</v>
      </c>
      <c r="C5812" s="7" t="n">
        <v>2960197</v>
      </c>
      <c r="D5812" s="7" t="n">
        <v>124259</v>
      </c>
      <c r="E5812" s="8" t="n">
        <v>41818</v>
      </c>
      <c r="F5812" s="7" t="n">
        <v>0</v>
      </c>
      <c r="G5812" s="7" t="inlineStr">
        <is>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is>
      </c>
    </row>
    <row r="5813">
      <c r="A5813" s="7" t="n">
        <v>88149</v>
      </c>
      <c r="B5813" s="7" t="n">
        <v>879782</v>
      </c>
      <c r="C5813" s="7" t="n">
        <v>5060</v>
      </c>
      <c r="D5813" s="7" t="n">
        <v>7404</v>
      </c>
      <c r="E5813" s="8" t="n">
        <v>39966</v>
      </c>
      <c r="F5813" s="7" t="n">
        <v>5</v>
      </c>
      <c r="G5813" s="7" t="inlineStr">
        <is>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is>
      </c>
    </row>
    <row r="5814">
      <c r="A5814" s="7" t="n">
        <v>73870</v>
      </c>
      <c r="B5814" s="7" t="n">
        <v>848035</v>
      </c>
      <c r="C5814" s="7" t="n">
        <v>65056</v>
      </c>
      <c r="D5814" s="7" t="n">
        <v>15250</v>
      </c>
      <c r="E5814" s="8" t="n">
        <v>38296</v>
      </c>
      <c r="F5814" s="7" t="n">
        <v>5</v>
      </c>
      <c r="G5814" s="7" t="inlineStr">
        <is>
          <t>Nummy mashed potatoes!  I actually made a half recipe and only used 2 large russet poatoes, which I left unpeeled.  I used frozen spinach as my green, which worked very well.  The scallion added great flavor to this- I have never added (nor thought to add) green onion to mashed potatoes before and it just added a wonderful burst of flavor.  Like Derf, I think that the full amount of milk called for is a bit too much, but that can vary a lot based on how creamy you like your potatoes and based on the potatoes themselves.  I mashed mine quite well with the spinach, so the potatoes themselves did turn green with lovely green flecks.  Next time I will Derf's suggestion of adding a couple garlic cloves to the potato cooking water- sounds yummy.  This is a great way to kick your mashed potatoes up a notch on both the healthfulness scale and the flavor scale!  Thanks for the recipe, Mirj!  It's yummy.</t>
        </is>
      </c>
    </row>
    <row r="5815">
      <c r="A5815" s="7" t="n">
        <v>18879</v>
      </c>
      <c r="B5815" s="7" t="n">
        <v>994106</v>
      </c>
      <c r="C5815" s="7" t="n">
        <v>166642</v>
      </c>
      <c r="D5815" s="7" t="n">
        <v>191490</v>
      </c>
      <c r="E5815" s="8" t="n">
        <v>39047</v>
      </c>
      <c r="F5815" s="7" t="n">
        <v>5</v>
      </c>
      <c r="G5815" s="7" t="inlineStr">
        <is>
          <t>These are so very good. I doubled the recipe and made these for Thanksgiving dinner and everyone loved them. I used Yukon gold, whipping cream and butter - just like it says - and they were "perfect". These were made for "Zaar Tag", but I will make them again and again!</t>
        </is>
      </c>
    </row>
    <row r="5816">
      <c r="A5816" s="7" t="n">
        <v>19303</v>
      </c>
      <c r="B5816" s="7" t="n">
        <v>190965</v>
      </c>
      <c r="C5816" s="7" t="n">
        <v>1014979</v>
      </c>
      <c r="D5816" s="7" t="n">
        <v>109348</v>
      </c>
      <c r="E5816" s="8" t="n">
        <v>41516</v>
      </c>
      <c r="F5816" s="7" t="n">
        <v>5</v>
      </c>
      <c r="G5816" s="7" t="inlineStr">
        <is>
          <t>This was super yummy, skipped the tomatoes and added jalapeno and okra instead.</t>
        </is>
      </c>
    </row>
    <row r="5817">
      <c r="A5817" s="7" t="n">
        <v>96965</v>
      </c>
      <c r="B5817" s="7" t="n">
        <v>147327</v>
      </c>
      <c r="C5817" s="7" t="n">
        <v>28649</v>
      </c>
      <c r="D5817" s="7" t="n">
        <v>26030</v>
      </c>
      <c r="E5817" s="8" t="n">
        <v>37470</v>
      </c>
      <c r="F5817" s="7" t="n">
        <v>5</v>
      </c>
      <c r="G5817" s="7" t="inlineStr">
        <is>
          <t>These were very quick to make.  The muffins were very good and were moist.  I brought these into work and everyone loved them.  I like the cream cheese in the muffins.  I will make these again.</t>
        </is>
      </c>
    </row>
    <row r="5818">
      <c r="A5818" s="7" t="n">
        <v>6666</v>
      </c>
      <c r="B5818" s="7" t="n">
        <v>749631</v>
      </c>
      <c r="C5818" s="7" t="n">
        <v>77276</v>
      </c>
      <c r="D5818" s="7" t="n">
        <v>170013</v>
      </c>
      <c r="E5818" s="8" t="n">
        <v>39120</v>
      </c>
      <c r="F5818" s="7" t="n">
        <v>5</v>
      </c>
      <c r="G5818" s="7" t="inlineStr">
        <is>
          <t>This recipe was so easy to make!!!!!  I didn't have garlic salt so I added extra garlic powder and a little bit of salt as a substitution. They smelled and tasted just like Pizza Hut's!!!  My daughter loves these and I will definitely be making them again!!!</t>
        </is>
      </c>
    </row>
    <row r="5819">
      <c r="A5819" s="7" t="n">
        <v>7063</v>
      </c>
      <c r="B5819" s="7" t="n">
        <v>657081</v>
      </c>
      <c r="C5819" s="7" t="n">
        <v>716930</v>
      </c>
      <c r="D5819" s="7" t="n">
        <v>27208</v>
      </c>
      <c r="E5819" s="8" t="n">
        <v>40271</v>
      </c>
      <c r="F5819" s="7" t="n">
        <v>3</v>
      </c>
      <c r="G5819" s="7" t="inlineStr">
        <is>
          <t>I would use half of all the seasonings. This was way too salty and I LOVE salty food. Or you could use the same amount of seasoning and more water to dilute the salt.</t>
        </is>
      </c>
    </row>
    <row r="5820">
      <c r="A5820" s="7" t="n">
        <v>8726</v>
      </c>
      <c r="B5820" s="7" t="n">
        <v>246598</v>
      </c>
      <c r="C5820" s="7" t="n">
        <v>221810</v>
      </c>
      <c r="D5820" s="7" t="n">
        <v>115110</v>
      </c>
      <c r="E5820" s="8" t="n">
        <v>39771</v>
      </c>
      <c r="F5820" s="7" t="n">
        <v>5</v>
      </c>
      <c r="G5820" s="7" t="inlineStr">
        <is>
          <t>I made this for lunch today and was it ever good! I don't have any pie plates, so i turned a glass lid upside down and propped it in a muffin tin! LOL My tortilla wasn't quite big enough to hold everything, so I cut back on the ingredients a bit. Every one that tried it loved it and my niece wouldn't leave without the recipe. :) Will make again and again. Thanks for the great recipe!</t>
        </is>
      </c>
    </row>
    <row r="5821">
      <c r="A5821" s="7" t="n">
        <v>94650</v>
      </c>
      <c r="B5821" s="7" t="n">
        <v>545106</v>
      </c>
      <c r="C5821" s="7" t="n">
        <v>61660</v>
      </c>
      <c r="D5821" s="7" t="n">
        <v>302321</v>
      </c>
      <c r="E5821" s="8" t="n">
        <v>39972</v>
      </c>
      <c r="F5821" s="7" t="n">
        <v>5</v>
      </c>
      <c r="G5821" s="7" t="inlineStr">
        <is>
          <t>Fantastic!! I used the 1/4 cup sugar and it was a little sweet, but still tasted great. The brandy and grand marnier mellowed nicely with the wine and fruit juices. I tried it with Fresca, ginger ale, club soda and on its own. Enjoyed them all :) Made for ZWT 5.  Updated to add...I"ve made this 3 times in the last month!!  Yummy.</t>
        </is>
      </c>
    </row>
    <row r="5822">
      <c r="A5822" s="7" t="n">
        <v>53625</v>
      </c>
      <c r="B5822" s="7" t="n">
        <v>459351</v>
      </c>
      <c r="C5822" s="7" t="n">
        <v>2001154841</v>
      </c>
      <c r="D5822" s="7" t="n">
        <v>102524</v>
      </c>
      <c r="E5822" s="8" t="n">
        <v>43038</v>
      </c>
      <c r="F5822" s="7" t="n">
        <v>0</v>
      </c>
      <c r="G5822" s="7" t="inlineStr">
        <is>
          <t>I have tried this with a friend and it was delicious. I lost the recipe but glad I googled it. Thank you so much.</t>
        </is>
      </c>
    </row>
    <row r="5823">
      <c r="A5823" s="7" t="n">
        <v>7858</v>
      </c>
      <c r="B5823" s="7" t="n">
        <v>495010</v>
      </c>
      <c r="C5823" s="7" t="n">
        <v>322571</v>
      </c>
      <c r="D5823" s="7" t="n">
        <v>133919</v>
      </c>
      <c r="E5823" s="8" t="n">
        <v>39624</v>
      </c>
      <c r="F5823" s="7" t="n">
        <v>1</v>
      </c>
      <c r="G5823" s="7" t="inlineStr">
        <is>
          <t>I'm not sure what went wrong, what with the other glowing reviews.  I made this exactly as written, used regular (not thick) bacon, etc.  After more than an hour in the oven at 325F the bacon was still not cooked, and the asparagus was destroyed.  We tried our best to eat it but had to throw it away and just had eggs and toast.  I'm sorry.  I don't ususally feel this way about a recipe.  Especially one that looks so good!</t>
        </is>
      </c>
    </row>
    <row r="5824" ht="409.5" customHeight="1">
      <c r="A5824" s="7" t="n">
        <v>94843</v>
      </c>
      <c r="B5824" s="7" t="n">
        <v>968417</v>
      </c>
      <c r="C5824" s="7" t="n">
        <v>888828</v>
      </c>
      <c r="D5824" s="7" t="n">
        <v>218617</v>
      </c>
      <c r="E5824" s="8" t="n">
        <v>39641</v>
      </c>
      <c r="F5824" s="7" t="n">
        <v>5</v>
      </c>
      <c r="G5824" s="9" t="inlineStr">
        <is>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is>
      </c>
    </row>
    <row r="5825">
      <c r="A5825" s="7" t="n">
        <v>92873</v>
      </c>
      <c r="B5825" s="7" t="n">
        <v>376681</v>
      </c>
      <c r="C5825" s="7" t="n">
        <v>128473</v>
      </c>
      <c r="D5825" s="7" t="n">
        <v>178445</v>
      </c>
      <c r="E5825" s="8" t="n">
        <v>39253</v>
      </c>
      <c r="F5825" s="7" t="n">
        <v>5</v>
      </c>
      <c r="G5825" s="7" t="inlineStr">
        <is>
          <t>This was wonderful Mary, sweet and satisfying, so quick and easy to make. I doubled all the ingredients and added ice cubes that I had made with fresh pineapple juice. The finished results were two very flavourful, frozen drink, a nice alternative to your standard  pina colada. Thanks so much for sharing, my neighbours &amp; I are going to enjoy this while we sit around their  pool...kudos</t>
        </is>
      </c>
    </row>
    <row r="5826">
      <c r="A5826" s="7" t="n">
        <v>95360</v>
      </c>
      <c r="B5826" s="7" t="n">
        <v>157705</v>
      </c>
      <c r="C5826" s="7" t="n">
        <v>29450</v>
      </c>
      <c r="D5826" s="7" t="n">
        <v>46967</v>
      </c>
      <c r="E5826" s="8" t="n">
        <v>38469</v>
      </c>
      <c r="F5826" s="7" t="n">
        <v>5</v>
      </c>
      <c r="G5826" s="7" t="inlineStr">
        <is>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is>
      </c>
    </row>
    <row r="5827">
      <c r="A5827" t="n">
        <v>35575</v>
      </c>
      <c r="B5827" t="n">
        <v>1104126</v>
      </c>
      <c r="C5827" t="n">
        <v>1623007</v>
      </c>
      <c r="D5827" t="n">
        <v>64446</v>
      </c>
      <c r="E5827" s="1" t="n">
        <v>40507</v>
      </c>
      <c r="F5827" t="n">
        <v>5</v>
      </c>
      <c r="G5827" t="inlineStr">
        <is>
          <t>Excellent! Made this for the first time 2 wks ago and, because there were two loaves, I intended to freeze one. Made the Carraba's olive oil dip. Snacked. Ate up the whole two loaves and that was dinner enough, what with some Pinot Grigio. A real keeper!</t>
        </is>
      </c>
    </row>
    <row r="5828">
      <c r="A5828" s="7" t="n">
        <v>93210</v>
      </c>
      <c r="B5828" s="7" t="n">
        <v>1016745</v>
      </c>
      <c r="C5828" s="7" t="n">
        <v>2000363335</v>
      </c>
      <c r="D5828" s="7" t="n">
        <v>349246</v>
      </c>
      <c r="E5828" s="8" t="n">
        <v>42211</v>
      </c>
      <c r="F5828" s="7" t="n">
        <v>1</v>
      </c>
      <c r="G5828" s="7" t="inlineStr">
        <is>
          <t>I keep trying to get a good brownie in a cup recipe.  Came by another and it wasn&amp;#039;t that good but still edible.  I&amp;#039;m sorry but this one we couldn&amp;#039;t even eat half of it. Maybe with corrections or less coco powder.  But as is. It&amp;#039;s a no</t>
        </is>
      </c>
    </row>
    <row r="5829">
      <c r="A5829" s="7" t="n">
        <v>80174</v>
      </c>
      <c r="B5829" s="7" t="n">
        <v>814656</v>
      </c>
      <c r="C5829" s="7" t="n">
        <v>22015</v>
      </c>
      <c r="D5829" s="7" t="n">
        <v>49125</v>
      </c>
      <c r="E5829" s="8" t="n">
        <v>38022</v>
      </c>
      <c r="F5829" s="7" t="n">
        <v>5</v>
      </c>
      <c r="G5829" s="7" t="inlineStr">
        <is>
          <t>This was great!  I have to admit that I was a bit of a skeptic because of the peppers but dh wanted this so we had it for dinner  Cooking the onions and peppers till they were carmelized just made the flavor of this dish.</t>
        </is>
      </c>
    </row>
    <row r="5830">
      <c r="A5830" s="7" t="n">
        <v>12292</v>
      </c>
      <c r="B5830" s="7" t="n">
        <v>5022</v>
      </c>
      <c r="C5830" s="7" t="n">
        <v>1002265</v>
      </c>
      <c r="D5830" s="7" t="n">
        <v>258345</v>
      </c>
      <c r="E5830" s="8" t="n">
        <v>40931</v>
      </c>
      <c r="F5830" s="7" t="n">
        <v>5</v>
      </c>
      <c r="G5830" s="7" t="inlineStr">
        <is>
          <t>Great recipe!  My kid (who shuns homemade potato anything) loved them.  Took a little longer than I expected though to get the crunch I wanted.  Thank you so much!  There was a little too much salt but that's just my personal taste (and we're low sodium here).</t>
        </is>
      </c>
    </row>
    <row r="5831">
      <c r="A5831" s="7" t="n">
        <v>109515</v>
      </c>
      <c r="B5831" s="7" t="n">
        <v>277888</v>
      </c>
      <c r="C5831" s="7" t="n">
        <v>226863</v>
      </c>
      <c r="D5831" s="7" t="n">
        <v>279747</v>
      </c>
      <c r="E5831" s="8" t="n">
        <v>41025</v>
      </c>
      <c r="F5831" s="7" t="n">
        <v>5</v>
      </c>
      <c r="G5831" s="7" t="inlineStr">
        <is>
          <t>My chicken turned out so moist and delicious!  I grabbed a bite while I was slicing it, and I almost didn't have any chicken for my salad! LOL! This is just wonderful.  I made this last night after I got home from work for dinner.  I enjoyed it so much I forgot to vote after American Idol went off!  Delicious, and I'll enjoy this often.</t>
        </is>
      </c>
    </row>
    <row r="5832">
      <c r="A5832" s="7" t="n">
        <v>62196</v>
      </c>
      <c r="B5832" s="7" t="n">
        <v>934353</v>
      </c>
      <c r="C5832" s="7" t="n">
        <v>537188</v>
      </c>
      <c r="D5832" s="7" t="n">
        <v>20736</v>
      </c>
      <c r="E5832" s="8" t="n">
        <v>39543</v>
      </c>
      <c r="F5832" s="7" t="n">
        <v>5</v>
      </c>
      <c r="G5832" s="7" t="inlineStr">
        <is>
          <t>I couldn't say whether this tastes like the original or not...but I can say that this bread was lovely! I was persuaded that I had messed it up, as it didn't seem to rise much but obviously I was wrong. It made great sandwiches!</t>
        </is>
      </c>
    </row>
    <row r="5833">
      <c r="A5833" s="7" t="n">
        <v>87886</v>
      </c>
      <c r="B5833" s="7" t="n">
        <v>833435</v>
      </c>
      <c r="C5833" s="7" t="n">
        <v>163112</v>
      </c>
      <c r="D5833" s="7" t="n">
        <v>153217</v>
      </c>
      <c r="E5833" s="8" t="n">
        <v>38843</v>
      </c>
      <c r="F5833" s="7" t="n">
        <v>4</v>
      </c>
      <c r="G5833" s="7" t="inlineStr">
        <is>
          <t>This was good &amp; very easy to make.  The marjoram was different for me but I enjoyed the soup.  My 6yo who claims to hate leeks was licking her bowl.  ;)</t>
        </is>
      </c>
    </row>
    <row r="5834">
      <c r="A5834" s="7" t="n">
        <v>54193</v>
      </c>
      <c r="B5834" s="7" t="n">
        <v>509945</v>
      </c>
      <c r="C5834" s="7" t="n">
        <v>180904</v>
      </c>
      <c r="D5834" s="7" t="n">
        <v>89207</v>
      </c>
      <c r="E5834" s="8" t="n">
        <v>39350</v>
      </c>
      <c r="F5834" s="7" t="n">
        <v>5</v>
      </c>
      <c r="G5834" s="7" t="inlineStr">
        <is>
          <t>WOWZERS!!!!  This is more than amazing!!! It is so easy you can't beat the taste it is 150% better than bought stuff!!  You can make it quicker then you can get to the store to buy that yucky premade stuff.  If you try it just once there is no going back!!!!!!</t>
        </is>
      </c>
    </row>
    <row r="5835">
      <c r="A5835" s="7" t="n">
        <v>33263</v>
      </c>
      <c r="B5835" s="7" t="n">
        <v>927549</v>
      </c>
      <c r="C5835" s="7" t="n">
        <v>424680</v>
      </c>
      <c r="D5835" s="7" t="n">
        <v>461613</v>
      </c>
      <c r="E5835" s="8" t="n">
        <v>40801</v>
      </c>
      <c r="F5835" s="7" t="n">
        <v>5</v>
      </c>
      <c r="G5835" s="7" t="inlineStr">
        <is>
          <t>When making this recipe I did cut it in half for just the 2 of us, but otherwise followed the ingredients right on down! Crumbled the bacon before adding it &amp; enjoyed this somewhat unusual side dish very much! Will be keeping the recipe around for future making, too! Thanks for sharing it! [Made &amp; reviewed in New Kids on the Block recipe tag]</t>
        </is>
      </c>
    </row>
    <row r="5836">
      <c r="A5836" s="7" t="n">
        <v>107004</v>
      </c>
      <c r="B5836" s="7" t="n">
        <v>646172</v>
      </c>
      <c r="C5836" s="7" t="n">
        <v>796254</v>
      </c>
      <c r="D5836" s="7" t="n">
        <v>142791</v>
      </c>
      <c r="E5836" s="8" t="n">
        <v>40549</v>
      </c>
      <c r="F5836" s="7" t="n">
        <v>5</v>
      </c>
      <c r="G5836" s="7" t="inlineStr">
        <is>
          <t>This was fabulous! This has all my favorite ingredients from smoked salmon to mushrooms. I quartered the recipe using smoked salmon trim from a nearby Maine "fish smoking company.. cheaper and so fresh. How many ways can I say I completely enjoyed this? Loved the smoky salmon, the salty capers, the smooth creaminess of cream and parmesan, the subtle wine and lemon and the slight bit of heat from the cayenne made this absolute perfection.... (I could go on - really!) I was out of shallots so substituted a green onion - can't wait to try the shallots called for. I am thinking tomorrow for lunch - you should join me for this one.</t>
        </is>
      </c>
    </row>
    <row r="5837" ht="390" customHeight="1">
      <c r="A5837" s="7" t="n">
        <v>64064</v>
      </c>
      <c r="B5837" s="7" t="n">
        <v>729346</v>
      </c>
      <c r="C5837" s="7" t="n">
        <v>476526</v>
      </c>
      <c r="D5837" s="7" t="n">
        <v>42367</v>
      </c>
      <c r="E5837" s="8" t="n">
        <v>39329</v>
      </c>
      <c r="F5837" s="7" t="n">
        <v>5</v>
      </c>
      <c r="G5837" s="9" t="inlineStr">
        <is>
          <t>GrEaT rEcIpE!_x000D_
Me and my friends are having a picnic for the last day of summer, and i was in charge of dessert... i've already tried one myself and they are delicious! Thanks for a great recipe!</t>
        </is>
      </c>
    </row>
    <row r="5838">
      <c r="A5838" s="7" t="n">
        <v>85568</v>
      </c>
      <c r="B5838" s="7" t="n">
        <v>438596</v>
      </c>
      <c r="C5838" s="7" t="n">
        <v>584134</v>
      </c>
      <c r="D5838" s="7" t="n">
        <v>5293</v>
      </c>
      <c r="E5838" s="8" t="n">
        <v>39574</v>
      </c>
      <c r="F5838" s="7" t="n">
        <v>5</v>
      </c>
      <c r="G5838" s="7" t="inlineStr">
        <is>
          <t>Way back when I was in elementary school, a friend's mother used to make these.  I loved them so much I had her mom give me the recipe.  I still have that tattered old card in my files and I still think these are the best stuffed mushrooms ever!</t>
        </is>
      </c>
    </row>
    <row r="5839" ht="409.5" customHeight="1">
      <c r="A5839" s="7" t="n">
        <v>22659</v>
      </c>
      <c r="B5839" s="7" t="n">
        <v>591826</v>
      </c>
      <c r="C5839" s="7" t="n">
        <v>55773</v>
      </c>
      <c r="D5839" s="7" t="n">
        <v>26090</v>
      </c>
      <c r="E5839" s="8" t="n">
        <v>38547</v>
      </c>
      <c r="F5839" s="7" t="n">
        <v>5</v>
      </c>
      <c r="G5839" s="9" t="inlineStr">
        <is>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is>
      </c>
    </row>
    <row r="5840">
      <c r="A5840" s="7" t="n">
        <v>118980</v>
      </c>
      <c r="B5840" s="7" t="n">
        <v>965423</v>
      </c>
      <c r="C5840" s="7" t="n">
        <v>285039</v>
      </c>
      <c r="D5840" s="7" t="n">
        <v>287412</v>
      </c>
      <c r="E5840" s="8" t="n">
        <v>39796</v>
      </c>
      <c r="F5840" s="7" t="n">
        <v>5</v>
      </c>
      <c r="G5840" s="7" t="inlineStr">
        <is>
          <t>I am not a fan of fudge, but my dh is and he raved about this....and could not believe it was not bad him!  He said it is definitely a keeper!</t>
        </is>
      </c>
    </row>
    <row r="5841">
      <c r="A5841" s="7" t="n">
        <v>49043</v>
      </c>
      <c r="B5841" s="7" t="n">
        <v>489686</v>
      </c>
      <c r="C5841" s="7" t="n">
        <v>250238</v>
      </c>
      <c r="D5841" s="7" t="n">
        <v>150898</v>
      </c>
      <c r="E5841" s="8" t="n">
        <v>40561</v>
      </c>
      <c r="F5841" s="7" t="n">
        <v>5</v>
      </c>
      <c r="G5841" s="7" t="inlineStr">
        <is>
          <t>I've made this soup a number of times and it is easy and delicious. I sometimes add protein, usually italian sausage,  mini meatballs or ground beef. My DH will often request I make a batch so he can take it to work for lunches all week. It's nice to have a little of control over the salt content and as previous reviewers have said "hiding the veggies". One of the fastest dinners in my quick fix repetoire.</t>
        </is>
      </c>
    </row>
    <row r="5842">
      <c r="A5842" s="7" t="n">
        <v>4023</v>
      </c>
      <c r="B5842" s="7" t="n">
        <v>774093</v>
      </c>
      <c r="C5842" s="7" t="n">
        <v>620072</v>
      </c>
      <c r="D5842" s="7" t="n">
        <v>128956</v>
      </c>
      <c r="E5842" s="8" t="n">
        <v>39761</v>
      </c>
      <c r="F5842" s="7" t="n">
        <v>5</v>
      </c>
      <c r="G5842" s="7" t="inlineStr">
        <is>
          <t>Wow, this tastes almost exactly like the cabbage soup my mom used to make, except hers took 3 hours and mine took 40 mins! :) I had to alter it a bit based on what I had on hand: 2 cups of chicken broth, 1 cup of beef broth, no green beans or zucchini in the fridge, so I added more of the other veggies and threw in some fresh baby spinach just before serving. I also added 1-2 cups of water to dilute some of salt. I'll be sure to use low sodium broth next time... each regular can has 890 mg of sodium!! Yikes! Anyway, great recipe, thanks!</t>
        </is>
      </c>
    </row>
    <row r="5843">
      <c r="A5843" s="7" t="n">
        <v>70576</v>
      </c>
      <c r="B5843" s="7" t="n">
        <v>247937</v>
      </c>
      <c r="C5843" s="7" t="n">
        <v>772912</v>
      </c>
      <c r="D5843" s="7" t="n">
        <v>215414</v>
      </c>
      <c r="E5843" s="8" t="n">
        <v>39790</v>
      </c>
      <c r="F5843" s="7" t="n">
        <v>4</v>
      </c>
      <c r="G5843" s="7" t="inlineStr">
        <is>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is>
      </c>
    </row>
    <row r="5844">
      <c r="A5844" s="7" t="n">
        <v>60862</v>
      </c>
      <c r="B5844" s="7" t="n">
        <v>613688</v>
      </c>
      <c r="C5844" s="7" t="n">
        <v>452940</v>
      </c>
      <c r="D5844" s="7" t="n">
        <v>120846</v>
      </c>
      <c r="E5844" s="8" t="n">
        <v>39810</v>
      </c>
      <c r="F5844" s="7" t="n">
        <v>5</v>
      </c>
      <c r="G5844" s="7" t="inlineStr">
        <is>
          <t>This recipe made it into our Book #231450. 7/24/08 - Unique and wonderful! I made this all in our KitchenAid and had to add 1/2 cup additonal flour. Mace is a very tasty yet strong spice, and we love finding recipes for it. We were not dissapointed by this recipe. the cake has a nice density yet is still very light. The only thing we would do different next time is to leave out the sugar/mace topping and just dust with powdered sugar or serve with berries and whipped cream. This is a devine recipe and we will definitely be making this again around the holidays. Thanks for posting! ~Buddha. Some info on Mace: The fragrance and flavor of mace is similar to that of nutmeg because it's made from the dried outer covering of nutmeg. :)</t>
        </is>
      </c>
    </row>
    <row r="5845">
      <c r="A5845" s="7" t="n">
        <v>48869</v>
      </c>
      <c r="B5845" s="7" t="n">
        <v>561689</v>
      </c>
      <c r="C5845" s="7" t="n">
        <v>1803601714</v>
      </c>
      <c r="D5845" s="7" t="n">
        <v>4098</v>
      </c>
      <c r="E5845" s="8" t="n">
        <v>42564</v>
      </c>
      <c r="F5845" s="7" t="n">
        <v>0</v>
      </c>
      <c r="G5845" s="7" t="inlineStr">
        <is>
          <t>Love this recipe but I made a few changes. Butter instead of margarine and raw unfiltered honey instead of brown sugar. The second time I made it I didn't put water inside when baking because the cushaw contained more than enough water on its own. I had to let it drain after baking it.</t>
        </is>
      </c>
    </row>
    <row r="5846">
      <c r="A5846" s="7" t="n">
        <v>95415</v>
      </c>
      <c r="B5846" s="7" t="n">
        <v>254588</v>
      </c>
      <c r="C5846" s="7" t="n">
        <v>167324</v>
      </c>
      <c r="D5846" s="7" t="n">
        <v>16797</v>
      </c>
      <c r="E5846" s="8" t="n">
        <v>38631</v>
      </c>
      <c r="F5846" s="7" t="n">
        <v>2</v>
      </c>
      <c r="G5846" s="7" t="inlineStr">
        <is>
          <t>I admit that I followed yogi's idea of adding more vinegar because this blend was truly tasteless except for the garlic.  I tried with 1 tsp of garlic, added about 1.5 TBSP of white vinegar, and subbed yellow mustard for the Dijon, it's a little more tasty this way.</t>
        </is>
      </c>
    </row>
    <row r="5847">
      <c r="A5847" s="7" t="n">
        <v>4227</v>
      </c>
      <c r="B5847" s="7" t="n">
        <v>395284</v>
      </c>
      <c r="C5847" s="7" t="n">
        <v>456390</v>
      </c>
      <c r="D5847" s="7" t="n">
        <v>52095</v>
      </c>
      <c r="E5847" s="8" t="n">
        <v>39138</v>
      </c>
      <c r="F5847" s="7" t="n">
        <v>5</v>
      </c>
      <c r="G5847" s="7" t="inlineStr">
        <is>
          <t>Soooo good!</t>
        </is>
      </c>
    </row>
    <row r="5848">
      <c r="A5848" s="7" t="n">
        <v>69835</v>
      </c>
      <c r="B5848" s="7" t="n">
        <v>323882</v>
      </c>
      <c r="C5848" s="7" t="n">
        <v>73680</v>
      </c>
      <c r="D5848" s="7" t="n">
        <v>80118</v>
      </c>
      <c r="E5848" s="8" t="n">
        <v>38019</v>
      </c>
      <c r="F5848" s="7" t="n">
        <v>5</v>
      </c>
      <c r="G5848" s="7" t="inlineStr">
        <is>
          <t>It was delicious!  I didn't have cream, so used milk and it was still good.  Not perfectly creamy, as the recipe stipulates must be whipping cream, but still quite creamy and yummy.</t>
        </is>
      </c>
    </row>
    <row r="5849">
      <c r="A5849" s="7" t="n">
        <v>61979</v>
      </c>
      <c r="B5849" s="7" t="n">
        <v>675794</v>
      </c>
      <c r="C5849" s="7" t="n">
        <v>232190</v>
      </c>
      <c r="D5849" s="7" t="n">
        <v>32316</v>
      </c>
      <c r="E5849" s="8" t="n">
        <v>39605</v>
      </c>
      <c r="F5849" s="7" t="n">
        <v>4</v>
      </c>
      <c r="G5849" s="7" t="inlineStr">
        <is>
          <t>Super easy and very tasty!  Next time I will start watching it around 15 minutes, mine was a little darker than I'd prefer.  Also will add some brown mustard next time, as another poster mentioned, to give it a little more kick.</t>
        </is>
      </c>
    </row>
    <row r="5850">
      <c r="A5850" s="7" t="n">
        <v>38365</v>
      </c>
      <c r="B5850" s="7" t="n">
        <v>365747</v>
      </c>
      <c r="C5850" s="7" t="n">
        <v>463202</v>
      </c>
      <c r="D5850" s="7" t="n">
        <v>43267</v>
      </c>
      <c r="E5850" s="8" t="n">
        <v>39916</v>
      </c>
      <c r="F5850" s="7" t="n">
        <v>5</v>
      </c>
      <c r="G5850" s="7" t="inlineStr">
        <is>
          <t>This was soooooo good!  It reminded my mother and me of a sweet potato pone recipe she made years ago, which used a lot of heavy cream.  She never made the recipe again because of that, and then lost the recipe.  This is certainly a healthy version and soooo easy.  I think the vanilla is what makes it taste like it has the extra creaminess.  Thank you so much for posting, this is definitely a keeper.</t>
        </is>
      </c>
    </row>
    <row r="5851">
      <c r="A5851" s="7" t="n">
        <v>100829</v>
      </c>
      <c r="B5851" s="7" t="n">
        <v>265858</v>
      </c>
      <c r="C5851" s="7" t="n">
        <v>1501617</v>
      </c>
      <c r="D5851" s="7" t="n">
        <v>107786</v>
      </c>
      <c r="E5851" s="8" t="n">
        <v>40175</v>
      </c>
      <c r="F5851" s="7" t="n">
        <v>5</v>
      </c>
      <c r="G5851" s="7" t="inlineStr">
        <is>
          <t>OMG!!  These are hands down the best ribs I have ever ate.  I totally love this recipe and will make these again and again.  I didn't change anything at all. It is PERFECT!!!!!!</t>
        </is>
      </c>
    </row>
    <row r="5852">
      <c r="A5852" s="7" t="n">
        <v>79679</v>
      </c>
      <c r="B5852" s="7" t="n">
        <v>546899</v>
      </c>
      <c r="C5852" s="7" t="n">
        <v>393251</v>
      </c>
      <c r="D5852" s="7" t="n">
        <v>159963</v>
      </c>
      <c r="E5852" s="8" t="n">
        <v>40811</v>
      </c>
      <c r="F5852" s="7" t="n">
        <v>3</v>
      </c>
      <c r="G5852" s="7" t="inlineStr">
        <is>
          <t>I don't know what I did wrong, but this was so heavy and bland.  It tasted more like flour and baking products than dessert.  I made it for my husband's birthday and we had to throw it away.  I'm giving it three stars because I probably messed it up somehow, although I followed the instructions.</t>
        </is>
      </c>
    </row>
    <row r="5853">
      <c r="A5853" s="7" t="n">
        <v>82526</v>
      </c>
      <c r="B5853" s="7" t="n">
        <v>54096</v>
      </c>
      <c r="C5853" s="7" t="n">
        <v>970071</v>
      </c>
      <c r="D5853" s="7" t="n">
        <v>294062</v>
      </c>
      <c r="E5853" s="8" t="n">
        <v>39824</v>
      </c>
      <c r="F5853" s="7" t="n">
        <v>4</v>
      </c>
      <c r="G5853" s="7" t="inlineStr">
        <is>
          <t>Made this for the family and used pre-made tartar sauce.  DH appreciated being able to put it all together to his liking. Very good for getting in "fish night" for the meat eaters.</t>
        </is>
      </c>
    </row>
    <row r="5854">
      <c r="A5854" s="7" t="n">
        <v>31136</v>
      </c>
      <c r="B5854" s="7" t="n">
        <v>1012458</v>
      </c>
      <c r="C5854" s="7" t="n">
        <v>143721</v>
      </c>
      <c r="D5854" s="7" t="n">
        <v>32865</v>
      </c>
      <c r="E5854" s="8" t="n">
        <v>39761</v>
      </c>
      <c r="F5854" s="7" t="n">
        <v>5</v>
      </c>
      <c r="G5854" s="7" t="inlineStr">
        <is>
          <t>Had a couple of "very" ripe bananas and found this recipe.  I used my homemade blackberry jam.  WOW, these are really good.   Thanks for a great new muffin recipe.</t>
        </is>
      </c>
    </row>
    <row r="5855">
      <c r="A5855" s="7" t="n">
        <v>93734</v>
      </c>
      <c r="B5855" s="7" t="n">
        <v>266522</v>
      </c>
      <c r="C5855" s="7" t="n">
        <v>482933</v>
      </c>
      <c r="D5855" s="7" t="n">
        <v>297274</v>
      </c>
      <c r="E5855" s="8" t="n">
        <v>40038</v>
      </c>
      <c r="F5855" s="7" t="n">
        <v>5</v>
      </c>
      <c r="G5855" s="7" t="inlineStr">
        <is>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is>
      </c>
    </row>
    <row r="5856">
      <c r="A5856" s="7" t="n">
        <v>102676</v>
      </c>
      <c r="B5856" s="7" t="n">
        <v>575816</v>
      </c>
      <c r="C5856" s="7" t="n">
        <v>673161</v>
      </c>
      <c r="D5856" s="7" t="n">
        <v>15242</v>
      </c>
      <c r="E5856" s="8" t="n">
        <v>39493</v>
      </c>
      <c r="F5856" s="7" t="n">
        <v>5</v>
      </c>
      <c r="G5856" s="7" t="inlineStr">
        <is>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is>
      </c>
    </row>
    <row r="5857">
      <c r="A5857" s="7" t="n">
        <v>698</v>
      </c>
      <c r="B5857" s="7" t="n">
        <v>895600</v>
      </c>
      <c r="C5857" s="7" t="n">
        <v>482376</v>
      </c>
      <c r="D5857" s="7" t="n">
        <v>461168</v>
      </c>
      <c r="E5857" s="8" t="n">
        <v>41137</v>
      </c>
      <c r="F5857" s="7" t="n">
        <v>4</v>
      </c>
      <c r="G5857" s="7" t="inlineStr">
        <is>
          <t>We liked this a lot. I doubled the recipe to serve four and used a combination of chicken thighs and legs. I appreciated the detail of taking the chicken skin off, which saves a lot of fat and calories. I also loved the marinade. It made the recipe so quick to prepare at dinner time. Made for ZWT8 India.</t>
        </is>
      </c>
    </row>
    <row r="5858">
      <c r="A5858" s="7" t="n">
        <v>102350</v>
      </c>
      <c r="B5858" s="7" t="n">
        <v>588876</v>
      </c>
      <c r="C5858" s="7" t="n">
        <v>7108</v>
      </c>
      <c r="D5858" s="7" t="n">
        <v>17865</v>
      </c>
      <c r="E5858" s="8" t="n">
        <v>38135</v>
      </c>
      <c r="F5858" s="7" t="n">
        <v>5</v>
      </c>
      <c r="G5858" s="7" t="inlineStr">
        <is>
          <t>The preschoolers loved these!  Very easy to make.  I frosted half of them with chocolate and the other half french vanilla frosting, both with colored sprinkles.  The only problem I had was trying to transport them from home to the school...I took a rectangle-shaped cardboard box from the bottom of a 24 pack can of canned soda or canned good packaging and cut out the holes to fit in the cones.  Thanks for suggesting this one, Lennie!</t>
        </is>
      </c>
    </row>
    <row r="5859">
      <c r="A5859" s="7" t="n">
        <v>113824</v>
      </c>
      <c r="B5859" s="7" t="n">
        <v>291071</v>
      </c>
      <c r="C5859" s="7" t="n">
        <v>736703</v>
      </c>
      <c r="D5859" s="7" t="n">
        <v>50767</v>
      </c>
      <c r="E5859" s="8" t="n">
        <v>39484</v>
      </c>
      <c r="F5859" s="7" t="n">
        <v>4</v>
      </c>
      <c r="G5859" s="7" t="inlineStr">
        <is>
          <t>My kids really loved these, but I found them just a tad bland--I wouldn't mind jazzing them up a bit with more seasoning.  They were very easy to make!</t>
        </is>
      </c>
    </row>
    <row r="5860">
      <c r="A5860" s="7" t="n">
        <v>87468</v>
      </c>
      <c r="B5860" s="7" t="n">
        <v>605738</v>
      </c>
      <c r="C5860" s="7" t="n">
        <v>461834</v>
      </c>
      <c r="D5860" s="7" t="n">
        <v>264276</v>
      </c>
      <c r="E5860" s="8" t="n">
        <v>39665</v>
      </c>
      <c r="F5860" s="7" t="n">
        <v>5</v>
      </c>
      <c r="G5860" s="7" t="inlineStr">
        <is>
          <t>This is so yummy!!!  I didn't read the top part, just the ingredients, so didn't get candy to add to it.  I cut the recipe in half, which worked out to be one full-size bag of microwave plain popcorn.  Made for photo tag.  Thanks Coffee for a great treat!!!!</t>
        </is>
      </c>
    </row>
    <row r="5861">
      <c r="A5861" s="7" t="n">
        <v>67130</v>
      </c>
      <c r="B5861" s="7" t="n">
        <v>484761</v>
      </c>
      <c r="C5861" s="7" t="n">
        <v>82902</v>
      </c>
      <c r="D5861" s="7" t="n">
        <v>94528</v>
      </c>
      <c r="E5861" s="8" t="n">
        <v>41671</v>
      </c>
      <c r="F5861" s="7" t="n">
        <v>4</v>
      </c>
      <c r="G5861" s="7" t="inlineStr">
        <is>
          <t>They were very good but next time I will add some raisins or substitute applesauce for the oil.They need a little something to make them 5 star.  I didn&amp;#039;t have a problem with them sticking to the paper.</t>
        </is>
      </c>
    </row>
    <row r="5862">
      <c r="A5862" s="7" t="n">
        <v>12267</v>
      </c>
      <c r="B5862" s="7" t="n">
        <v>546506</v>
      </c>
      <c r="C5862" s="7" t="n">
        <v>60260</v>
      </c>
      <c r="D5862" s="7" t="n">
        <v>72895</v>
      </c>
      <c r="E5862" s="8" t="n">
        <v>37931</v>
      </c>
      <c r="F5862" s="7" t="n">
        <v>4</v>
      </c>
      <c r="G5862" s="7" t="inlineStr">
        <is>
          <t>My kids enjoyed this salad very much.  I left out the peanuts becuase they don't like nuts.  Quick and Easy.</t>
        </is>
      </c>
    </row>
    <row r="5863">
      <c r="A5863" s="7" t="n">
        <v>110167</v>
      </c>
      <c r="B5863" s="7" t="n">
        <v>1075854</v>
      </c>
      <c r="C5863" s="7" t="n">
        <v>930100</v>
      </c>
      <c r="D5863" s="7" t="n">
        <v>379273</v>
      </c>
      <c r="E5863" s="8" t="n">
        <v>40281</v>
      </c>
      <c r="F5863" s="7" t="n">
        <v>5</v>
      </c>
      <c r="G5863" s="7" t="inlineStr">
        <is>
          <t>I cut this recipe in half since it's just me and Cam. I grilled two large salmon fillets and several spears of asparagus, and still had PLENTY of butter left over. This was a delicious and attractive dish, unfortunately I forgot to take a picture of everything :-(    Made for PAC Spring 2010.</t>
        </is>
      </c>
    </row>
    <row r="5864">
      <c r="A5864" s="7" t="n">
        <v>6228</v>
      </c>
      <c r="B5864" s="7" t="n">
        <v>28849</v>
      </c>
      <c r="C5864" s="7" t="n">
        <v>145489</v>
      </c>
      <c r="D5864" s="7" t="n">
        <v>78973</v>
      </c>
      <c r="E5864" s="8" t="n">
        <v>39740</v>
      </c>
      <c r="F5864" s="7" t="n">
        <v>5</v>
      </c>
      <c r="G5864" s="7" t="inlineStr">
        <is>
          <t>Wow!  Love this!  My favorite bread comfort food is cornbread and I love pumpkin &amp; cranberries.  What could be better all together?  It is very moist too.  Lovely flavor.  Next time I might even add more cranberries.  Also used canola oil instead of butter &amp; eggbeaters instead of eggs &amp; fatfree plain yogurt instead of sour cream.  All worked very well as substitutions.</t>
        </is>
      </c>
    </row>
    <row r="5865">
      <c r="A5865" s="7" t="n">
        <v>123252</v>
      </c>
      <c r="B5865" s="7" t="n">
        <v>299220</v>
      </c>
      <c r="C5865" s="7" t="n">
        <v>495381</v>
      </c>
      <c r="D5865" s="7" t="n">
        <v>119994</v>
      </c>
      <c r="E5865" s="8" t="n">
        <v>39915</v>
      </c>
      <c r="F5865" s="7" t="n">
        <v>5</v>
      </c>
      <c r="G5865" s="7" t="inlineStr">
        <is>
          <t>Really tasty!  I like the flavor combination and its a very different way to prepare leeks.  A great vegetarian dish.</t>
        </is>
      </c>
    </row>
    <row r="5866">
      <c r="A5866" s="7" t="n">
        <v>89488</v>
      </c>
      <c r="B5866" s="7" t="n">
        <v>771074</v>
      </c>
      <c r="C5866" s="7" t="n">
        <v>11297</v>
      </c>
      <c r="D5866" s="7" t="n">
        <v>204281</v>
      </c>
      <c r="E5866" s="8" t="n">
        <v>39182</v>
      </c>
      <c r="F5866" s="7" t="n">
        <v>4</v>
      </c>
      <c r="G5866" s="7" t="inlineStr">
        <is>
          <t>This made for a very tender roast lamb.  I used a small leg as that was all I had in the freezer. In spite of adding the peanut butter to the marinade before marinating the lamb this didn't prove a problem. I just squeezed it all out when time came for heating it :)  Trust me to mis read the instructions.....I was in a hurry .. LOL  A new way &amp; flavour for lamb. Thanks Jewelies for a keeper. :)</t>
        </is>
      </c>
    </row>
    <row r="5867">
      <c r="A5867" s="7" t="n">
        <v>76181</v>
      </c>
      <c r="B5867" s="7" t="n">
        <v>638430</v>
      </c>
      <c r="C5867" s="7" t="n">
        <v>486725</v>
      </c>
      <c r="D5867" s="7" t="n">
        <v>68202</v>
      </c>
      <c r="E5867" s="8" t="n">
        <v>42052</v>
      </c>
      <c r="F5867" s="7" t="n">
        <v>4</v>
      </c>
      <c r="G5867" s="7" t="inlineStr">
        <is>
          <t>Very good combination! I used more horseradish on mine.</t>
        </is>
      </c>
    </row>
    <row r="5868" ht="390" customHeight="1">
      <c r="A5868" s="7" t="n">
        <v>45615</v>
      </c>
      <c r="B5868" s="7" t="n">
        <v>987281</v>
      </c>
      <c r="C5868" s="7" t="n">
        <v>2000916437</v>
      </c>
      <c r="D5868" s="7" t="n">
        <v>306649</v>
      </c>
      <c r="E5868" s="8" t="n">
        <v>42442</v>
      </c>
      <c r="F5868" s="7" t="n">
        <v>2</v>
      </c>
      <c r="G5868" s="9" t="inlineStr">
        <is>
          <t>Not even remotely close to the taste of a cinnabon roll....
But note to others the topping is not in the least bit runny. The butter is SOFTENED not melted.
Would not make again :-(</t>
        </is>
      </c>
    </row>
    <row r="5869">
      <c r="A5869" s="7" t="n">
        <v>77275</v>
      </c>
      <c r="B5869" s="7" t="n">
        <v>1074329</v>
      </c>
      <c r="C5869" s="7" t="n">
        <v>431955</v>
      </c>
      <c r="D5869" s="7" t="n">
        <v>135350</v>
      </c>
      <c r="E5869" s="8" t="n">
        <v>39913</v>
      </c>
      <c r="F5869" s="7" t="n">
        <v>5</v>
      </c>
      <c r="G5869" s="7" t="inlineStr">
        <is>
          <t>Perfect!</t>
        </is>
      </c>
    </row>
    <row r="5870">
      <c r="A5870" s="7" t="n">
        <v>94412</v>
      </c>
      <c r="B5870" s="7" t="n">
        <v>1038867</v>
      </c>
      <c r="C5870" s="7" t="n">
        <v>92886</v>
      </c>
      <c r="D5870" s="7" t="n">
        <v>64209</v>
      </c>
      <c r="E5870" s="8" t="n">
        <v>38201</v>
      </c>
      <c r="F5870" s="7" t="n">
        <v>4</v>
      </c>
      <c r="G5870" s="7" t="inlineStr">
        <is>
          <t>Used in tiny little portions it was quite nice, but I can't quite imagine eating it like cole slaw, it really packs a vingary punch!  I put a little bit on fish tacos.</t>
        </is>
      </c>
    </row>
    <row r="5871">
      <c r="A5871" s="7" t="n">
        <v>87189</v>
      </c>
      <c r="B5871" s="7" t="n">
        <v>528260</v>
      </c>
      <c r="C5871" s="7" t="n">
        <v>204261</v>
      </c>
      <c r="D5871" s="7" t="n">
        <v>171097</v>
      </c>
      <c r="E5871" s="8" t="n">
        <v>39624</v>
      </c>
      <c r="F5871" s="7" t="n">
        <v>5</v>
      </c>
      <c r="G5871" s="7" t="inlineStr">
        <is>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is>
      </c>
    </row>
    <row r="5872">
      <c r="A5872" s="7" t="n">
        <v>102455</v>
      </c>
      <c r="B5872" s="7" t="n">
        <v>33752</v>
      </c>
      <c r="C5872" s="7" t="n">
        <v>153971</v>
      </c>
      <c r="D5872" s="7" t="n">
        <v>66241</v>
      </c>
      <c r="E5872" s="8" t="n">
        <v>38900</v>
      </c>
      <c r="F5872" s="7" t="n">
        <v>5</v>
      </c>
      <c r="G5872" s="7" t="inlineStr">
        <is>
          <t>Fantastic taste! This recipe is a winner and so easy to make. They smell wonderful and taste great even when they are reheated! Ty for posting the recipe...I loved these! :)</t>
        </is>
      </c>
    </row>
    <row r="5873">
      <c r="A5873" s="7" t="n">
        <v>105992</v>
      </c>
      <c r="B5873" s="7" t="n">
        <v>340733</v>
      </c>
      <c r="C5873" s="7" t="n">
        <v>98951</v>
      </c>
      <c r="D5873" s="7" t="n">
        <v>136589</v>
      </c>
      <c r="E5873" s="8" t="n">
        <v>40083</v>
      </c>
      <c r="F5873" s="7" t="n">
        <v>5</v>
      </c>
      <c r="G5873" s="7" t="inlineStr">
        <is>
          <t>Dense, sweet, rich, and lovely even with some modifications to make it gluten free... I used GF flour plus 3 tsp xanthan gum, added a quarter cup of yogurt, and subbed milk for the apple juice (just because I didn't have any juice.)  I had to add a little extra milk to get the texture right but it cooked up beautifully and the sauce was great.  I did add a little cinnamon and next time I would cut back the sugar by at least 1/2 a cup but that's just my taste.  Thanks for the great recipe!</t>
        </is>
      </c>
    </row>
    <row r="5874">
      <c r="A5874" s="7" t="n">
        <v>6379</v>
      </c>
      <c r="B5874" s="7" t="n">
        <v>474662</v>
      </c>
      <c r="C5874" s="7" t="n">
        <v>573544</v>
      </c>
      <c r="D5874" s="7" t="n">
        <v>279909</v>
      </c>
      <c r="E5874" s="8" t="n">
        <v>39632</v>
      </c>
      <c r="F5874" s="7" t="n">
        <v>0</v>
      </c>
      <c r="G5874" s="7" t="inlineStr">
        <is>
          <t>I would like to try this, but need to know if the 1 C of rice is cooked or uncooked.  I'm thinking uncooked due to the time in the oven...but I've been wrong before (not that I let my husband know that...) Please advise. Thanks!</t>
        </is>
      </c>
    </row>
    <row r="5875">
      <c r="A5875" s="7" t="n">
        <v>12910</v>
      </c>
      <c r="B5875" s="7" t="n">
        <v>449558</v>
      </c>
      <c r="C5875" s="7" t="n">
        <v>432917</v>
      </c>
      <c r="D5875" s="7" t="n">
        <v>218237</v>
      </c>
      <c r="E5875" s="8" t="n">
        <v>39164</v>
      </c>
      <c r="F5875" s="7" t="n">
        <v>4</v>
      </c>
      <c r="G5875" s="7" t="inlineStr">
        <is>
          <t>My husband does something similar like this except with ginger ale.  Tastes great!</t>
        </is>
      </c>
    </row>
    <row r="5876">
      <c r="A5876" s="7" t="n">
        <v>37736</v>
      </c>
      <c r="B5876" s="7" t="n">
        <v>1126604</v>
      </c>
      <c r="C5876" s="7" t="n">
        <v>95743</v>
      </c>
      <c r="D5876" s="7" t="n">
        <v>131423</v>
      </c>
      <c r="E5876" s="8" t="n">
        <v>38762</v>
      </c>
      <c r="F5876" s="7" t="n">
        <v>5</v>
      </c>
      <c r="G5876" s="7" t="inlineStr">
        <is>
          <t>I never feed Dh burgers so this was quite a Valentine's treat for him.  We both loved them.  I used creamy roasted garlic, and a lot of it, squeezed from its papery shells, and enough chipotle AND hot sauce to make the sauce burn deliciously.  Quite the sensory experience, this burger.  I skipped the bacon in the sauce and topped the patty with melted smoked gouda. I highly recommend the slight bitterness of the aqrugula-it's a nice foil for the rich mayonnaise.  All-in-all, an outstanding burger, Chris.</t>
        </is>
      </c>
    </row>
    <row r="5877">
      <c r="A5877" s="7" t="n">
        <v>27887</v>
      </c>
      <c r="B5877" s="7" t="n">
        <v>365919</v>
      </c>
      <c r="C5877" s="7" t="n">
        <v>788275</v>
      </c>
      <c r="D5877" s="7" t="n">
        <v>63212</v>
      </c>
      <c r="E5877" s="8" t="n">
        <v>39541</v>
      </c>
      <c r="F5877" s="7" t="n">
        <v>5</v>
      </c>
      <c r="G5877" s="7" t="inlineStr">
        <is>
          <t>We had this a couple nights ago and it was so yummy!  I did forget the bacon accidentally but it was still fantastic.  We will be having this again but definitely won't forget the bacon again.  I doubled the dressing because I thought if we didn't use it all then I could use it for other lunch time sandwiches.  I had never used sun-dried tomatoes before so thanks for inspiring me to try something new.  This was an awesome meal!</t>
        </is>
      </c>
    </row>
    <row r="5878">
      <c r="A5878" s="7" t="n">
        <v>18002</v>
      </c>
      <c r="B5878" s="7" t="n">
        <v>879698</v>
      </c>
      <c r="C5878" s="7" t="n">
        <v>1491036</v>
      </c>
      <c r="D5878" s="7" t="n">
        <v>76513</v>
      </c>
      <c r="E5878" s="8" t="n">
        <v>40169</v>
      </c>
      <c r="F5878" s="7" t="n">
        <v>5</v>
      </c>
      <c r="G5878" s="7" t="inlineStr">
        <is>
          <t>Thank you so much for this recipe ! My giagia is sick and had to undergo surgery and she makes them every year and I didn't want them to not be made so I found this recipe and did it today to see if I'd make them for Christmas ...  They're amazing ! Just like ones from Greek bakeries. I was looking for other ones online before I found this one, but since none of the bakers were Greek the other recipes weren't at all authentic and were more like Americanized interpretations of the kourambiedes. THESE are the best ! I didn't have brandy on hand and used mastic ouzo from Xios and they still came out really good. Thanks for this recipe &lt;3</t>
        </is>
      </c>
    </row>
    <row r="5879">
      <c r="A5879" t="n">
        <v>41441</v>
      </c>
      <c r="B5879" t="n">
        <v>404449</v>
      </c>
      <c r="C5879" t="n">
        <v>1105991</v>
      </c>
      <c r="D5879" t="n">
        <v>380164</v>
      </c>
      <c r="E5879" s="1" t="n">
        <v>40111</v>
      </c>
      <c r="F5879" t="n">
        <v>5</v>
      </c>
      <c r="G5879" t="inlineStr">
        <is>
          <t>5 stars are not enough for this luscious, creamy, rich, light and chocolatey dessert.  The truffle layer really makes it extra special.  It was surprisingly easy to make, too.  We just  loved it.  I will be making this again for the holidays.  This is a real KEEPER!  Thanks, GailAnn!  Made for Photo Tag.</t>
        </is>
      </c>
    </row>
    <row r="5880">
      <c r="A5880" s="7" t="n">
        <v>13899</v>
      </c>
      <c r="B5880" s="7" t="n">
        <v>872111</v>
      </c>
      <c r="C5880" s="7" t="n">
        <v>480280</v>
      </c>
      <c r="D5880" s="7" t="n">
        <v>54345</v>
      </c>
      <c r="E5880" s="8" t="n">
        <v>39181</v>
      </c>
      <c r="F5880" s="7" t="n">
        <v>5</v>
      </c>
      <c r="G5880" s="7" t="inlineStr">
        <is>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is>
      </c>
    </row>
    <row r="5881">
      <c r="A5881" s="7" t="n">
        <v>70189</v>
      </c>
      <c r="B5881" s="7" t="n">
        <v>251473</v>
      </c>
      <c r="C5881" s="7" t="n">
        <v>209572</v>
      </c>
      <c r="D5881" s="7" t="n">
        <v>22227</v>
      </c>
      <c r="E5881" s="8" t="n">
        <v>38456</v>
      </c>
      <c r="F5881" s="7" t="n">
        <v>1</v>
      </c>
      <c r="G5881" s="7" t="inlineStr">
        <is>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is>
      </c>
    </row>
    <row r="5882">
      <c r="A5882" s="7" t="n">
        <v>78866</v>
      </c>
      <c r="B5882" s="7" t="n">
        <v>429392</v>
      </c>
      <c r="C5882" s="7" t="n">
        <v>351811</v>
      </c>
      <c r="D5882" s="7" t="n">
        <v>214204</v>
      </c>
      <c r="E5882" s="8" t="n">
        <v>39315</v>
      </c>
      <c r="F5882" s="7" t="n">
        <v>5</v>
      </c>
      <c r="G5882" s="7" t="inlineStr">
        <is>
          <t>This is a *keeper* My family loves Chicken Parmesan and this was so easy to make. The Chicken was nice and tender and the flavors were perfect. I may not ever make my own recipe again ;) Thanks for sharing. (Made for 1-2-3 Hit Wonders) ~V</t>
        </is>
      </c>
    </row>
    <row r="5883" ht="225" customHeight="1">
      <c r="A5883" s="7" t="n">
        <v>64779</v>
      </c>
      <c r="B5883" s="7" t="n">
        <v>1120220</v>
      </c>
      <c r="C5883" s="7" t="n">
        <v>272100</v>
      </c>
      <c r="D5883" s="7" t="n">
        <v>119395</v>
      </c>
      <c r="E5883" s="8" t="n">
        <v>39118</v>
      </c>
      <c r="F5883" s="7" t="n">
        <v>5</v>
      </c>
      <c r="G5883" s="9" t="inlineStr">
        <is>
          <t>so goood i could eat more then i need thats for sure. i will be making these again and again_x000D_
 thank you</t>
        </is>
      </c>
    </row>
    <row r="5884">
      <c r="A5884" s="7" t="n">
        <v>109743</v>
      </c>
      <c r="B5884" s="7" t="n">
        <v>467232</v>
      </c>
      <c r="C5884" s="7" t="n">
        <v>191533</v>
      </c>
      <c r="D5884" s="7" t="n">
        <v>42719</v>
      </c>
      <c r="E5884" s="8" t="n">
        <v>39802</v>
      </c>
      <c r="F5884" s="7" t="n">
        <v>5</v>
      </c>
      <c r="G5884" s="7" t="inlineStr">
        <is>
          <t>These are so delicious, and like another reviewer, I am glad they don't have added fat with cream soup or sour cream. But they are still full of flavor! I even made them without peas or onion. I have one disagreement with the recipe: in 2 hours at high temp, the potatoes were burning on the edges. (I use a 6qt crockpot.) I also would recommend stirring the whole shebang when the potatoes begin to thaw.</t>
        </is>
      </c>
    </row>
    <row r="5885">
      <c r="A5885" s="7" t="n">
        <v>682</v>
      </c>
      <c r="B5885" s="7" t="n">
        <v>1057761</v>
      </c>
      <c r="C5885" s="7" t="n">
        <v>2081926</v>
      </c>
      <c r="D5885" s="7" t="n">
        <v>25082</v>
      </c>
      <c r="E5885" s="8" t="n">
        <v>40871</v>
      </c>
      <c r="F5885" s="7" t="n">
        <v>4</v>
      </c>
      <c r="G5885" s="7" t="inlineStr">
        <is>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is>
      </c>
    </row>
    <row r="5886">
      <c r="A5886" s="7" t="n">
        <v>24488</v>
      </c>
      <c r="B5886" s="7" t="n">
        <v>296995</v>
      </c>
      <c r="C5886" s="7" t="n">
        <v>121185</v>
      </c>
      <c r="D5886" s="7" t="n">
        <v>50385</v>
      </c>
      <c r="E5886" s="8" t="n">
        <v>39900</v>
      </c>
      <c r="F5886" s="7" t="n">
        <v>0</v>
      </c>
      <c r="G5886" s="7" t="inlineStr">
        <is>
          <t>I'm going to post a comment - we used fat free half n' half and it curdled on us...still edible - but awfully odd looking...</t>
        </is>
      </c>
    </row>
    <row r="5887">
      <c r="A5887" s="7" t="n">
        <v>118276</v>
      </c>
      <c r="B5887" s="7" t="n">
        <v>73547</v>
      </c>
      <c r="C5887" s="7" t="n">
        <v>445492</v>
      </c>
      <c r="D5887" s="7" t="n">
        <v>78563</v>
      </c>
      <c r="E5887" s="8" t="n">
        <v>39280</v>
      </c>
      <c r="F5887" s="7" t="n">
        <v>5</v>
      </c>
      <c r="G5887" s="7" t="inlineStr">
        <is>
          <t>SOOOO GOOD! Easy and inexpensive to make, too. I served these with Mango Chutney which was wonderful!</t>
        </is>
      </c>
    </row>
    <row r="5888">
      <c r="A5888" s="7" t="n">
        <v>56149</v>
      </c>
      <c r="B5888" s="7" t="n">
        <v>747363</v>
      </c>
      <c r="C5888" s="7" t="n">
        <v>350577</v>
      </c>
      <c r="D5888" s="7" t="n">
        <v>135814</v>
      </c>
      <c r="E5888" s="8" t="n">
        <v>40800</v>
      </c>
      <c r="F5888" s="7" t="n">
        <v>5</v>
      </c>
      <c r="G5888" s="7" t="inlineStr">
        <is>
          <t>I made this with the assistance of my twelve year old daughter so level of difficulty was perfect for her as an introduction to cooking.  Both my children (almost 11, and 12) loved it!  &lt;br/&gt;&lt;br/&gt;Alterations:  I did used the canned tomatoes and didn't drain them.  I also used a mix of mozzerlla and some mexican mixed cheese because that was what I had on hand.  I added about a full cup of cheese.  I also used full fat sour cream because I needed to get it out of the kitchen, but I only used about 1/2 cup not 3/4 cup.  I used 80/20 meat and added sliced black olives as well.  I did not have the right sized dish but instead booked it on a liped baking sheet which needed 8 more corn tortillas to line.  &lt;br/&gt;&lt;br/&gt;However, this made more than 6 servings for me as it is VERY filling.  I would say that it could easily serve 9.&lt;br/&gt;&lt;br/&gt;Yum, we will make it again!</t>
        </is>
      </c>
    </row>
    <row r="5889">
      <c r="A5889" s="7" t="n">
        <v>115383</v>
      </c>
      <c r="B5889" s="7" t="n">
        <v>744119</v>
      </c>
      <c r="C5889" s="7" t="n">
        <v>107651</v>
      </c>
      <c r="D5889" s="7" t="n">
        <v>48635</v>
      </c>
      <c r="E5889" s="8" t="n">
        <v>38006</v>
      </c>
      <c r="F5889" s="7" t="n">
        <v>5</v>
      </c>
      <c r="G5889" s="7" t="inlineStr">
        <is>
          <t>These deserve all the 5 star ratings they have!!! great tasting with the addition of the vanilla, easy to make and YUMMY!</t>
        </is>
      </c>
    </row>
    <row r="5890">
      <c r="A5890" s="7" t="n">
        <v>54093</v>
      </c>
      <c r="B5890" s="7" t="n">
        <v>358181</v>
      </c>
      <c r="C5890" s="7" t="n">
        <v>486718</v>
      </c>
      <c r="D5890" s="7" t="n">
        <v>24217</v>
      </c>
      <c r="E5890" s="8" t="n">
        <v>39522</v>
      </c>
      <c r="F5890" s="7" t="n">
        <v>5</v>
      </c>
      <c r="G5890" s="7" t="inlineStr">
        <is>
          <t>This was very good.  My DH hates instanst so he was skeptical but was very impressed with the outcome.  Thanks!</t>
        </is>
      </c>
    </row>
    <row r="5891">
      <c r="A5891" s="7" t="n">
        <v>119318</v>
      </c>
      <c r="B5891" s="7" t="n">
        <v>585635</v>
      </c>
      <c r="C5891" s="7" t="n">
        <v>143318</v>
      </c>
      <c r="D5891" s="7" t="n">
        <v>241544</v>
      </c>
      <c r="E5891" s="8" t="n">
        <v>39459</v>
      </c>
      <c r="F5891" s="7" t="n">
        <v>5</v>
      </c>
      <c r="G5891" s="7" t="inlineStr">
        <is>
          <t>This is delicious - very fresh tasting and I love the mustard in the sauce. Thanks for a great recipe.</t>
        </is>
      </c>
    </row>
    <row r="5892">
      <c r="A5892" s="7" t="n">
        <v>105893</v>
      </c>
      <c r="B5892" s="7" t="n">
        <v>865629</v>
      </c>
      <c r="C5892" s="7" t="n">
        <v>2002028633</v>
      </c>
      <c r="D5892" s="7" t="n">
        <v>195881</v>
      </c>
      <c r="E5892" s="8" t="n">
        <v>43163</v>
      </c>
      <c r="F5892" s="7" t="n">
        <v>5</v>
      </c>
      <c r="G5892" s="7" t="inlineStr">
        <is>
          <t>Amazing recipe! Cooked it for an hour not 2, but only added 1 cup of water as I didn't have enough time. It was still so delicious.</t>
        </is>
      </c>
    </row>
    <row r="5893">
      <c r="A5893" s="7" t="n">
        <v>10889</v>
      </c>
      <c r="B5893" s="7" t="n">
        <v>234480</v>
      </c>
      <c r="C5893" s="7" t="n">
        <v>865936</v>
      </c>
      <c r="D5893" s="7" t="n">
        <v>125630</v>
      </c>
      <c r="E5893" s="8" t="n">
        <v>40471</v>
      </c>
      <c r="F5893" s="7" t="n">
        <v>4</v>
      </c>
      <c r="G5893" s="7" t="inlineStr">
        <is>
          <t>Very good frittata.  I never made one before where the eggs were entirely cooked in the oven.  It worked out perfectly.</t>
        </is>
      </c>
    </row>
    <row r="5894">
      <c r="A5894" s="7" t="n">
        <v>84803</v>
      </c>
      <c r="B5894" s="7" t="n">
        <v>513886</v>
      </c>
      <c r="C5894" s="7" t="n">
        <v>54537</v>
      </c>
      <c r="D5894" s="7" t="n">
        <v>28604</v>
      </c>
      <c r="E5894" s="8" t="n">
        <v>38439</v>
      </c>
      <c r="F5894" s="7" t="n">
        <v>4</v>
      </c>
      <c r="G5894" s="7" t="inlineStr">
        <is>
          <t>NurseDi, this is a keeper.  Combination of flavors is wonderful.  I used the fat free cream cheese and lite sour cream along with becel margarine.  I think the first eight ingredients would also be great in crepes. I'm going to try that next time for a change from eggs.  Thanks for posting.</t>
        </is>
      </c>
    </row>
    <row r="5895">
      <c r="A5895" s="7" t="n">
        <v>51621</v>
      </c>
      <c r="B5895" s="7" t="n">
        <v>421390</v>
      </c>
      <c r="C5895" s="7" t="n">
        <v>7888220</v>
      </c>
      <c r="D5895" s="7" t="n">
        <v>278998</v>
      </c>
      <c r="E5895" s="8" t="n">
        <v>41514</v>
      </c>
      <c r="F5895" s="7" t="n">
        <v>1</v>
      </c>
      <c r="G5895" s="7" t="inlineStr">
        <is>
          <t>I am so disappointed in this recipe.  Was super excited about it but none of my kids (3) liked it and then I offered it to three neighbor kids and only one liked it.  I have like 20 of these frozen now, and don&amp;#039;t know what I am going to do with them!  :o(  Smoothies???  The only thing I can think of is that I couldn&amp;#039;t find pineapple/orange concentrate and I used regular orange concentrate and my mandarins were in water so I drained them.  Maybe this made the slush too bitter and not sweet enough....</t>
        </is>
      </c>
    </row>
    <row r="5896">
      <c r="A5896" s="7" t="n">
        <v>16670</v>
      </c>
      <c r="B5896" s="7" t="n">
        <v>554952</v>
      </c>
      <c r="C5896" s="7" t="n">
        <v>95810</v>
      </c>
      <c r="D5896" s="7" t="n">
        <v>226045</v>
      </c>
      <c r="E5896" s="8" t="n">
        <v>39518</v>
      </c>
      <c r="F5896" s="7" t="n">
        <v>5</v>
      </c>
      <c r="G5896" s="7" t="inlineStr">
        <is>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is>
      </c>
    </row>
    <row r="5897">
      <c r="A5897" s="7" t="n">
        <v>81891</v>
      </c>
      <c r="B5897" s="7" t="n">
        <v>543042</v>
      </c>
      <c r="C5897" s="7" t="n">
        <v>67656</v>
      </c>
      <c r="D5897" s="7" t="n">
        <v>138316</v>
      </c>
      <c r="E5897" s="8" t="n">
        <v>38915</v>
      </c>
      <c r="F5897" s="7" t="n">
        <v>5</v>
      </c>
      <c r="G5897" s="7" t="inlineStr">
        <is>
          <t xml:space="preserve">Theses were very easy to make and the cookie was to be very soft and tender, much like a shortbread. Decided to do something diferent and used pecans in my cookies. Also, I added mini chips which appeared to be a good choice given the size of the cookie. Ultimately, I chose to skip the chocolate on the top as it felt a bit like gilding the lily - as the cookies were so rich and delicious without it. After the fact it occured to me  a great touch might have been to roll the hot cookies in a mix of powdered sugar (traditional) mixed with cocoa and cinnamon (the twist). These were served at a potluck and gone in a heartbeat competely for attention with some pretty fancy fare. Thanks Lauralie. </t>
        </is>
      </c>
    </row>
    <row r="5898">
      <c r="A5898" s="7" t="n">
        <v>125459</v>
      </c>
      <c r="B5898" s="7" t="n">
        <v>433170</v>
      </c>
      <c r="C5898" s="7" t="n">
        <v>382203</v>
      </c>
      <c r="D5898" s="7" t="n">
        <v>28648</v>
      </c>
      <c r="E5898" s="8" t="n">
        <v>40174</v>
      </c>
      <c r="F5898" s="7" t="n">
        <v>5</v>
      </c>
      <c r="G5898" s="7" t="inlineStr">
        <is>
          <t>what can I say, It's fabulous.  easy to made and delicious.  Thanks</t>
        </is>
      </c>
    </row>
    <row r="5899">
      <c r="A5899" s="7" t="n">
        <v>45504</v>
      </c>
      <c r="B5899" s="7" t="n">
        <v>157330</v>
      </c>
      <c r="C5899" s="7" t="n">
        <v>817413</v>
      </c>
      <c r="D5899" s="7" t="n">
        <v>139492</v>
      </c>
      <c r="E5899" s="8" t="n">
        <v>39552</v>
      </c>
      <c r="F5899" s="7" t="n">
        <v>5</v>
      </c>
      <c r="G5899" s="7" t="inlineStr">
        <is>
          <t>This recipe worked nicely but I made a few changes to suit the tastes of my family and I thought I would share them.  I used red pepper in place of the green pepper.  I added garlic when I put in the onion and pepper.  I used beef broth instead of water and I added celery salt, cayenne pepper and a few tablespoons of worchestershire sauce.  It was delicious and my husband has asked that it be put into "the rotation".  I'm very pleased.  Thanks for sharing!</t>
        </is>
      </c>
    </row>
    <row r="5900">
      <c r="A5900" s="7" t="n">
        <v>115513</v>
      </c>
      <c r="B5900" s="7" t="n">
        <v>1024405</v>
      </c>
      <c r="C5900" s="7" t="n">
        <v>2001991208</v>
      </c>
      <c r="D5900" s="7" t="n">
        <v>111777</v>
      </c>
      <c r="E5900" s="8" t="n">
        <v>43145</v>
      </c>
      <c r="F5900" s="7" t="n">
        <v>5</v>
      </c>
      <c r="G5900" s="7" t="inlineStr">
        <is>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is>
      </c>
    </row>
    <row r="5901">
      <c r="A5901" s="7" t="n">
        <v>56233</v>
      </c>
      <c r="B5901" s="7" t="n">
        <v>920131</v>
      </c>
      <c r="C5901" s="7" t="n">
        <v>632249</v>
      </c>
      <c r="D5901" s="7" t="n">
        <v>256153</v>
      </c>
      <c r="E5901" s="8" t="n">
        <v>39749</v>
      </c>
      <c r="F5901" s="7" t="n">
        <v>5</v>
      </c>
      <c r="G5901" s="7" t="inlineStr">
        <is>
          <t>My daughter loved this at breakfast this morning.  Thx 2Bleu</t>
        </is>
      </c>
    </row>
    <row r="5902">
      <c r="A5902" s="7" t="n">
        <v>79966</v>
      </c>
      <c r="B5902" s="7" t="n">
        <v>569542</v>
      </c>
      <c r="C5902" s="7" t="n">
        <v>2001695687</v>
      </c>
      <c r="D5902" s="7" t="n">
        <v>372087</v>
      </c>
      <c r="E5902" s="8" t="n">
        <v>42979</v>
      </c>
      <c r="F5902" s="7" t="n">
        <v>0</v>
      </c>
      <c r="G5902" s="7" t="inlineStr">
        <is>
          <t>This is a great recipe! I had to add more flour to make it less sticky. Once i could slightly roll into a ball and press into sugar i put them on the cookie sheet. Came out fluffy then hardened after sitting. So darn good!</t>
        </is>
      </c>
    </row>
    <row r="5903">
      <c r="A5903" s="7" t="n">
        <v>122166</v>
      </c>
      <c r="B5903" s="7" t="n">
        <v>74032</v>
      </c>
      <c r="C5903" s="7" t="n">
        <v>2001492976</v>
      </c>
      <c r="D5903" s="7" t="n">
        <v>326718</v>
      </c>
      <c r="E5903" s="8" t="n">
        <v>42841</v>
      </c>
      <c r="F5903" s="7" t="n">
        <v>5</v>
      </c>
      <c r="G5903" s="7" t="inlineStr">
        <is>
          <t>Lovely and moist. I put the chopped dates and orange juice into the micowave for a couple of minutes on low. Great recipe.</t>
        </is>
      </c>
    </row>
    <row r="5904">
      <c r="A5904" s="7" t="n">
        <v>81262</v>
      </c>
      <c r="B5904" s="7" t="n">
        <v>1114851</v>
      </c>
      <c r="C5904" s="7" t="n">
        <v>1366254</v>
      </c>
      <c r="D5904" s="7" t="n">
        <v>342260</v>
      </c>
      <c r="E5904" s="8" t="n">
        <v>40825</v>
      </c>
      <c r="F5904" s="7" t="n">
        <v>0</v>
      </c>
      <c r="G5904" s="7" t="inlineStr">
        <is>
          <t>I have never had or heard of oreo balls but these are out of this world!!</t>
        </is>
      </c>
    </row>
    <row r="5905">
      <c r="A5905" s="7" t="n">
        <v>1009</v>
      </c>
      <c r="B5905" s="7" t="n">
        <v>500911</v>
      </c>
      <c r="C5905" s="7" t="n">
        <v>9441</v>
      </c>
      <c r="D5905" s="7" t="n">
        <v>1442</v>
      </c>
      <c r="E5905" s="8" t="n">
        <v>37027</v>
      </c>
      <c r="F5905" s="7" t="n">
        <v>5</v>
      </c>
      <c r="G5905" s="7" t="inlineStr">
        <is>
          <t>YUMMM!  Growing up in a Dutch family in Mid-Michigan (yes, I also have family in Holland, MI), this recipe brings back memories of my childhood!  Thanks for reminding me how good they are!</t>
        </is>
      </c>
    </row>
    <row r="5906">
      <c r="A5906" s="7" t="n">
        <v>46883</v>
      </c>
      <c r="B5906" s="7" t="n">
        <v>230946</v>
      </c>
      <c r="C5906" s="7" t="n">
        <v>323186</v>
      </c>
      <c r="D5906" s="7" t="n">
        <v>413735</v>
      </c>
      <c r="E5906" s="8" t="n">
        <v>41618</v>
      </c>
      <c r="F5906" s="7" t="n">
        <v>5</v>
      </c>
      <c r="G5906" s="7" t="inlineStr">
        <is>
          <t>Made exactly as directed, I wouldnt change a thing!   I suspect I may have used a bit less spinach since my dish doesnt look as spinachy as the other photo, but I assure you, it was fabulous!    A regular dish for us from now on, thank you!   Made for I Recommend tag game</t>
        </is>
      </c>
    </row>
    <row r="5907">
      <c r="A5907" s="7" t="n">
        <v>40019</v>
      </c>
      <c r="B5907" s="7" t="n">
        <v>680754</v>
      </c>
      <c r="C5907" s="7" t="n">
        <v>324790</v>
      </c>
      <c r="D5907" s="7" t="n">
        <v>389203</v>
      </c>
      <c r="E5907" s="8" t="n">
        <v>40128</v>
      </c>
      <c r="F5907" s="7" t="n">
        <v>4</v>
      </c>
      <c r="G5907" s="7" t="inlineStr">
        <is>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is>
      </c>
    </row>
    <row r="5908">
      <c r="A5908" s="7" t="n">
        <v>112685</v>
      </c>
      <c r="B5908" s="7" t="n">
        <v>526280</v>
      </c>
      <c r="C5908" s="7" t="n">
        <v>246695</v>
      </c>
      <c r="D5908" s="7" t="n">
        <v>367906</v>
      </c>
      <c r="E5908" s="8" t="n">
        <v>39974</v>
      </c>
      <c r="F5908" s="7" t="n">
        <v>5</v>
      </c>
      <c r="G5908" s="7" t="inlineStr">
        <is>
          <t>I must admit, I've never had bread pudding before.  That said this was delicious.  As you can see from the one photo, I cut the recipe in half (only two of us) &amp; DH's side had the raisins.  I love grapes but have never liked raisins.  I followed the recipe exactly &amp; it came out of the oven at 45 min.  Sat for 15 to 20 minutes while I made the butter-rum sauce &amp; then was devoured, at least half of it.  The other part went into the frig to see what it tastes like after it chills (for a day or two, too many calories for twice in one day.)  Thanks for a great recipe.  Now I'll have to try bread pudding again &amp; see how it compares.  DH, by the way, has had it before &amp; said this was out of sight.  Made for ZWT5 Zingo.</t>
        </is>
      </c>
    </row>
    <row r="5909">
      <c r="A5909" s="7" t="n">
        <v>95109</v>
      </c>
      <c r="B5909" s="7" t="n">
        <v>648564</v>
      </c>
      <c r="C5909" s="7" t="n">
        <v>2462118</v>
      </c>
      <c r="D5909" s="7" t="n">
        <v>31235</v>
      </c>
      <c r="E5909" s="8" t="n">
        <v>41204</v>
      </c>
      <c r="F5909" s="7" t="n">
        <v>0</v>
      </c>
      <c r="G5909" s="7" t="inlineStr">
        <is>
          <t>Super recipe! Very easy, and way less expensive then many other recipes I've tried. Not sure if any one has posted this yet, but I noticed there were a lot of people wishing that this granola had "clusters". Last night I was getting ready to make this, but discovered that I only had 4 cups of rolled oats, and 4 cups of 1-minute quick oats. I thought that I'd give it a try and lo and behold, I got clusters! The hot sugar/water was enough to 'cook' the quick oats and then they stuck together with the old fashioned oats and nuts. I was very pleased! And no extra added sugars!</t>
        </is>
      </c>
    </row>
    <row r="5910">
      <c r="A5910" s="7" t="n">
        <v>29054</v>
      </c>
      <c r="B5910" s="7" t="n">
        <v>1033234</v>
      </c>
      <c r="C5910" s="7" t="n">
        <v>53048</v>
      </c>
      <c r="D5910" s="7" t="n">
        <v>48401</v>
      </c>
      <c r="E5910" s="8" t="n">
        <v>39446</v>
      </c>
      <c r="F5910" s="7" t="n">
        <v>4</v>
      </c>
      <c r="G5910" s="7" t="inlineStr">
        <is>
          <t>Was a big hit last year during the holidays. Jan 2007 Was easy to make and enjoyed the process. Thanks</t>
        </is>
      </c>
    </row>
    <row r="5911">
      <c r="A5911" s="7" t="n">
        <v>112668</v>
      </c>
      <c r="B5911" s="7" t="n">
        <v>240284</v>
      </c>
      <c r="C5911" s="7" t="n">
        <v>61660</v>
      </c>
      <c r="D5911" s="7" t="n">
        <v>135116</v>
      </c>
      <c r="E5911" s="8" t="n">
        <v>39966</v>
      </c>
      <c r="F5911" s="7" t="n">
        <v>5</v>
      </c>
      <c r="G5911" s="7" t="inlineStr">
        <is>
          <t>DH loved them!!  Of course, in our house, bacon makes everything taste better!  Very easy to make and very flavorful.  I used dried tarragon, but did have fresh chives, flat-leaf parsley and thyme.  Right before serving I sprinkled the potatoes with freshly ground pepper and Fleur de sel.  Went perfectly with FloridaNative's Recipe #373166.  Merci!!  Made for Las Mistico Magicos Sirenas - ZWT5.</t>
        </is>
      </c>
    </row>
    <row r="5912">
      <c r="A5912" s="7" t="n">
        <v>22000</v>
      </c>
      <c r="B5912" s="7" t="n">
        <v>451655</v>
      </c>
      <c r="C5912" s="7" t="n">
        <v>122877</v>
      </c>
      <c r="D5912" s="7" t="n">
        <v>137952</v>
      </c>
      <c r="E5912" s="8" t="n">
        <v>38853</v>
      </c>
      <c r="F5912" s="7" t="n">
        <v>5</v>
      </c>
      <c r="G5912" s="7" t="inlineStr">
        <is>
          <t>The first time I made this I followed the instructions exactly.  It was great for my "vegetable pie".  The second time I did not chill anything and used cold tap water - I felt the dough was much easier to work with and it tastes just fine!</t>
        </is>
      </c>
    </row>
    <row r="5913">
      <c r="A5913" s="7" t="n">
        <v>18159</v>
      </c>
      <c r="B5913" s="7" t="n">
        <v>1042765</v>
      </c>
      <c r="C5913" s="7" t="n">
        <v>222564</v>
      </c>
      <c r="D5913" s="7" t="n">
        <v>249216</v>
      </c>
      <c r="E5913" s="8" t="n">
        <v>41382</v>
      </c>
      <c r="F5913" s="7" t="n">
        <v>5</v>
      </c>
      <c r="G5913" s="7" t="inlineStr">
        <is>
          <t>Super recipe! I actually prepared them in a pressure cooker. Reduced the liquid to 1 cup, got 4 artichokes nicely fitted in my cooker and cooked on high for 10 minutes. They were slightly on a soft side, so maybe 8-9 minutes would do.</t>
        </is>
      </c>
    </row>
    <row r="5914" ht="409.5" customHeight="1">
      <c r="A5914" s="7" t="n">
        <v>67436</v>
      </c>
      <c r="B5914" s="7" t="n">
        <v>294340</v>
      </c>
      <c r="C5914" s="7" t="n">
        <v>40114</v>
      </c>
      <c r="D5914" s="7" t="n">
        <v>382010</v>
      </c>
      <c r="E5914" s="8" t="n">
        <v>40097</v>
      </c>
      <c r="F5914" s="7" t="n">
        <v>4</v>
      </c>
      <c r="G5914" s="9" t="inlineStr">
        <is>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is>
      </c>
    </row>
    <row r="5915" ht="409.5" customHeight="1">
      <c r="A5915" s="7" t="n">
        <v>6520</v>
      </c>
      <c r="B5915" s="7" t="n">
        <v>454301</v>
      </c>
      <c r="C5915" s="7" t="n">
        <v>355844</v>
      </c>
      <c r="D5915" s="7" t="n">
        <v>98142</v>
      </c>
      <c r="E5915" s="8" t="n">
        <v>39045</v>
      </c>
      <c r="F5915" s="7" t="n">
        <v>5</v>
      </c>
      <c r="G5915" s="9" t="inlineStr">
        <is>
          <t>These are wonderful, thanks!  I had been searching for this recipe for three years.  I am English and visited America three years ago.  I spent time in Florida and Arkansas and fell in love with those fabulous American 'biscuits' and I couldn't get enough of them.  _x000D_
_x000D_
On my return from America I missed them so much and tried to make them many times, but, Alas, with no success ... until now that is.  These taste exactly as I remember those in America tasting and now I cannot get enough of these!  Thank you very much for posting this recipe I can now make those wonderful American 'biscuits' at any time!</t>
        </is>
      </c>
    </row>
    <row r="5916" ht="409.5" customHeight="1">
      <c r="A5916" s="7" t="n">
        <v>22675</v>
      </c>
      <c r="B5916" s="7" t="n">
        <v>1006863</v>
      </c>
      <c r="C5916" s="7" t="n">
        <v>1123991</v>
      </c>
      <c r="D5916" s="7" t="n">
        <v>59508</v>
      </c>
      <c r="E5916" s="8" t="n">
        <v>39825</v>
      </c>
      <c r="F5916" s="7" t="n">
        <v>5</v>
      </c>
      <c r="G5916" s="9" t="inlineStr">
        <is>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is>
      </c>
    </row>
    <row r="5917">
      <c r="A5917" s="7" t="n">
        <v>120495</v>
      </c>
      <c r="B5917" s="7" t="n">
        <v>326393</v>
      </c>
      <c r="C5917" s="7" t="n">
        <v>266403</v>
      </c>
      <c r="D5917" s="7" t="n">
        <v>14912</v>
      </c>
      <c r="E5917" s="8" t="n">
        <v>39641</v>
      </c>
      <c r="F5917" s="7" t="n">
        <v>2</v>
      </c>
      <c r="G5917" s="7" t="inlineStr">
        <is>
          <t>Gourmet....no. Basic, yes. Sorry, but there are better recipes out there.</t>
        </is>
      </c>
    </row>
    <row r="5918">
      <c r="A5918" s="7" t="n">
        <v>99154</v>
      </c>
      <c r="B5918" s="7" t="n">
        <v>356980</v>
      </c>
      <c r="C5918" s="7" t="n">
        <v>59473</v>
      </c>
      <c r="D5918" s="7" t="n">
        <v>28954</v>
      </c>
      <c r="E5918" s="8" t="n">
        <v>38221</v>
      </c>
      <c r="F5918" s="7" t="n">
        <v>5</v>
      </c>
      <c r="G5918" s="7" t="inlineStr">
        <is>
          <t>What a great recipe, and so easy too.DH is not keen on raisins so I left them out. Instead I chopped up an apple and added that. We had this with custard. Thanks Lennie. I will be making this often.</t>
        </is>
      </c>
    </row>
    <row r="5919">
      <c r="A5919" s="7" t="n">
        <v>9394</v>
      </c>
      <c r="B5919" s="7" t="n">
        <v>104365</v>
      </c>
      <c r="C5919" s="7" t="n">
        <v>237330</v>
      </c>
      <c r="D5919" s="7" t="n">
        <v>65529</v>
      </c>
      <c r="E5919" s="8" t="n">
        <v>39702</v>
      </c>
      <c r="F5919" s="7" t="n">
        <v>4</v>
      </c>
      <c r="G5919" s="7" t="inlineStr">
        <is>
          <t>This is billed as easy and it really is. It's also very good! The cake itself is a great texture, light and moist, and the brown sugar topping is a little crispy. I think next time I'd use regular golden brown sugar instead of dark for a lighter colour of topping and add a bit more flour to the topping. I followed the recipe except that I used 2% milk. Thank you for a very nice recipe!</t>
        </is>
      </c>
    </row>
    <row r="5920" ht="255" customHeight="1">
      <c r="A5920" s="7" t="n">
        <v>53186</v>
      </c>
      <c r="B5920" s="7" t="n">
        <v>781888</v>
      </c>
      <c r="C5920" s="7" t="n">
        <v>158086</v>
      </c>
      <c r="D5920" s="7" t="n">
        <v>32837</v>
      </c>
      <c r="E5920" s="8" t="n">
        <v>38547</v>
      </c>
      <c r="F5920" s="7" t="n">
        <v>5</v>
      </c>
      <c r="G5920" s="9" t="inlineStr">
        <is>
          <t>Fantastic recipe!!!_x000D_
I was told to give it 10 stars.....a good recipe to make on a hot night when you don't want to turn on oven....</t>
        </is>
      </c>
    </row>
    <row r="5921">
      <c r="A5921" s="7" t="n">
        <v>27532</v>
      </c>
      <c r="B5921" s="7" t="n">
        <v>15669</v>
      </c>
      <c r="C5921" s="7" t="n">
        <v>50509</v>
      </c>
      <c r="D5921" s="7" t="n">
        <v>304619</v>
      </c>
      <c r="E5921" s="8" t="n">
        <v>40870</v>
      </c>
      <c r="F5921" s="7" t="n">
        <v>4</v>
      </c>
      <c r="G5921" s="7" t="inlineStr">
        <is>
          <t>Simple recipes are often the best - this gets a nice boost from roasting the peppers, which are so pretty. I actually used a red and orange. My olive oil was just a tad strong, something to remember for next time. Thanks.</t>
        </is>
      </c>
    </row>
    <row r="5922">
      <c r="A5922" s="7" t="n">
        <v>48913</v>
      </c>
      <c r="B5922" s="7" t="n">
        <v>747852</v>
      </c>
      <c r="C5922" s="7" t="n">
        <v>107583</v>
      </c>
      <c r="D5922" s="7" t="n">
        <v>335920</v>
      </c>
      <c r="E5922" s="8" t="n">
        <v>40275</v>
      </c>
      <c r="F5922" s="7" t="n">
        <v>5</v>
      </c>
      <c r="G5922" s="7" t="inlineStr">
        <is>
          <t>This is a great "burger" patty.  I did not add salt, but did add a little ground pepper to the mix.  The sauce is great.  I liked the ginger flavor in the meat and the sauce.  Served with Recipe #258852.  Made for Spring 2010 PAC.</t>
        </is>
      </c>
    </row>
    <row r="5923">
      <c r="A5923" s="7" t="n">
        <v>82970</v>
      </c>
      <c r="B5923" s="7" t="n">
        <v>910192</v>
      </c>
      <c r="C5923" s="7" t="n">
        <v>1056692</v>
      </c>
      <c r="D5923" s="7" t="n">
        <v>147494</v>
      </c>
      <c r="E5923" s="8" t="n">
        <v>41913</v>
      </c>
      <c r="F5923" s="7" t="n">
        <v>4</v>
      </c>
      <c r="G5923" s="7" t="inlineStr">
        <is>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is>
      </c>
    </row>
    <row r="5924">
      <c r="A5924" s="7" t="n">
        <v>24539</v>
      </c>
      <c r="B5924" s="7" t="n">
        <v>592915</v>
      </c>
      <c r="C5924" s="7" t="n">
        <v>464327</v>
      </c>
      <c r="D5924" s="7" t="n">
        <v>21178</v>
      </c>
      <c r="E5924" s="8" t="n">
        <v>39448</v>
      </c>
      <c r="F5924" s="7" t="n">
        <v>5</v>
      </c>
      <c r="G5924" s="7" t="inlineStr">
        <is>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is>
      </c>
    </row>
    <row r="5925">
      <c r="A5925" s="7" t="n">
        <v>124865</v>
      </c>
      <c r="B5925" s="7" t="n">
        <v>381775</v>
      </c>
      <c r="C5925" s="7" t="n">
        <v>1234635</v>
      </c>
      <c r="D5925" s="7" t="n">
        <v>115392</v>
      </c>
      <c r="E5925" s="8" t="n">
        <v>41169</v>
      </c>
      <c r="F5925" s="7" t="n">
        <v>5</v>
      </c>
      <c r="G5925" s="7" t="inlineStr">
        <is>
          <t>Very yummy, had printed this awhile ago and now wanted to use up the fresh basil. I did double the sauce and next time would thicken it up a bit. Served over angel hair pasta. Man, does the house ever smell GOOD!</t>
        </is>
      </c>
    </row>
    <row r="5926">
      <c r="A5926" s="7" t="n">
        <v>35579</v>
      </c>
      <c r="B5926" s="7" t="n">
        <v>1014689</v>
      </c>
      <c r="C5926" s="7" t="n">
        <v>52282</v>
      </c>
      <c r="D5926" s="7" t="n">
        <v>59744</v>
      </c>
      <c r="E5926" s="8" t="n">
        <v>38077</v>
      </c>
      <c r="F5926" s="7" t="n">
        <v>4</v>
      </c>
      <c r="G5926" s="7" t="inlineStr">
        <is>
          <t>This was very good over pound cake and vanilla ice cream. i had to use canned cherries, as ripe ones are unavailable this time of year, and i do think this would be better with fresh- i will make this again this summer when cherries are in season. The kids thought the brandy was a bit strong for their taste, but the adults approved.</t>
        </is>
      </c>
    </row>
    <row r="5927">
      <c r="A5927" s="7" t="n">
        <v>85942</v>
      </c>
      <c r="B5927" s="7" t="n">
        <v>1040443</v>
      </c>
      <c r="C5927" s="7" t="n">
        <v>177135</v>
      </c>
      <c r="D5927" s="7" t="n">
        <v>147023</v>
      </c>
      <c r="E5927" s="8" t="n">
        <v>38689</v>
      </c>
      <c r="F5927" s="7" t="n">
        <v>5</v>
      </c>
      <c r="G5927" s="7" t="inlineStr">
        <is>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is>
      </c>
    </row>
    <row r="5928">
      <c r="A5928" s="7" t="n">
        <v>57824</v>
      </c>
      <c r="B5928" s="7" t="n">
        <v>560151</v>
      </c>
      <c r="C5928" s="7" t="n">
        <v>544754</v>
      </c>
      <c r="D5928" s="7" t="n">
        <v>283420</v>
      </c>
      <c r="E5928" s="8" t="n">
        <v>39826</v>
      </c>
      <c r="F5928" s="7" t="n">
        <v>5</v>
      </c>
      <c r="G5928" s="7" t="inlineStr">
        <is>
          <t>Haven't tried this yet, but thank you for posting the recipe for this gravy! I can't wait to try it with some bacon drippings!!!</t>
        </is>
      </c>
    </row>
    <row r="5929">
      <c r="A5929" s="7" t="n">
        <v>104574</v>
      </c>
      <c r="B5929" s="7" t="n">
        <v>28696</v>
      </c>
      <c r="C5929" s="7" t="n">
        <v>13593</v>
      </c>
      <c r="D5929" s="7" t="n">
        <v>51459</v>
      </c>
      <c r="E5929" s="8" t="n">
        <v>37898</v>
      </c>
      <c r="F5929" s="7" t="n">
        <v>5</v>
      </c>
      <c r="G5929" s="7" t="inlineStr">
        <is>
          <t xml:space="preserve">This is an editited review.  I did try the soup with 15 bean soup also.  I found the soup even better that way.  Karen you are right.  Great for lunches and fast dinners.  I loved the simple preperation and ingredients.  </t>
        </is>
      </c>
    </row>
    <row r="5930">
      <c r="A5930" s="7" t="n">
        <v>120299</v>
      </c>
      <c r="B5930" s="7" t="n">
        <v>674641</v>
      </c>
      <c r="C5930" s="7" t="n">
        <v>63306</v>
      </c>
      <c r="D5930" s="7" t="n">
        <v>269711</v>
      </c>
      <c r="E5930" s="8" t="n">
        <v>39743</v>
      </c>
      <c r="F5930" s="7" t="n">
        <v>5</v>
      </c>
      <c r="G5930" s="7" t="inlineStr">
        <is>
          <t>This was really good!  I used chicken broth and a whole can of tomatoes.  I can't get red lentils, so I used regular brown ones.  I'll try to find reds next time.</t>
        </is>
      </c>
    </row>
    <row r="5931">
      <c r="A5931" s="7" t="n">
        <v>61055</v>
      </c>
      <c r="B5931" s="7" t="n">
        <v>15425</v>
      </c>
      <c r="C5931" s="7" t="n">
        <v>54271</v>
      </c>
      <c r="D5931" s="7" t="n">
        <v>32504</v>
      </c>
      <c r="E5931" s="8" t="n">
        <v>38454</v>
      </c>
      <c r="F5931" s="7" t="n">
        <v>5</v>
      </c>
      <c r="G5931" s="7" t="inlineStr">
        <is>
          <t>I have made Creole many times over the years but not often because the version I made always took all day to cook. Which is what I was lead to believe was the only way to cook it... WRONG! My family and I enjoyed this tremendously! It had the right amount of spice for us. The spices can be adjusted easily! Do not be afraid to try this!  I served this with rice, side salad and garlic bread and was able to put the whole meal on the table in about 45 mins.  Thank you Sue for posting this!</t>
        </is>
      </c>
    </row>
    <row r="5932">
      <c r="A5932" s="7" t="n">
        <v>35994</v>
      </c>
      <c r="B5932" s="7" t="n">
        <v>496952</v>
      </c>
      <c r="C5932" s="7" t="n">
        <v>112795</v>
      </c>
      <c r="D5932" s="7" t="n">
        <v>52558</v>
      </c>
      <c r="E5932" s="8" t="n">
        <v>37941</v>
      </c>
      <c r="F5932" s="7" t="n">
        <v>5</v>
      </c>
      <c r="G5932" s="7" t="inlineStr">
        <is>
          <t>YUMMY!!! I had a bit of batter left over so I also made it in a small loaf pan.  Raisins were a great addition.</t>
        </is>
      </c>
    </row>
    <row r="5933">
      <c r="A5933" s="7" t="n">
        <v>69131</v>
      </c>
      <c r="B5933" s="7" t="n">
        <v>874882</v>
      </c>
      <c r="C5933" s="7" t="n">
        <v>280271</v>
      </c>
      <c r="D5933" s="7" t="n">
        <v>142062</v>
      </c>
      <c r="E5933" s="8" t="n">
        <v>42697</v>
      </c>
      <c r="F5933" s="7" t="n">
        <v>5</v>
      </c>
      <c r="G5933" s="7" t="inlineStr">
        <is>
          <t>This was quick and easy to prepare...the hubby enjoyed it on his burritos for lunch today...along with a side of chips to dip in it...made for your week #11 football win...congrats...</t>
        </is>
      </c>
    </row>
    <row r="5934">
      <c r="A5934" s="7" t="n">
        <v>122640</v>
      </c>
      <c r="B5934" s="7" t="n">
        <v>498773</v>
      </c>
      <c r="C5934" s="7" t="n">
        <v>86512</v>
      </c>
      <c r="D5934" s="7" t="n">
        <v>277520</v>
      </c>
      <c r="E5934" s="8" t="n">
        <v>39488</v>
      </c>
      <c r="F5934" s="7" t="n">
        <v>5</v>
      </c>
      <c r="G5934" s="7" t="inlineStr">
        <is>
          <t>This is good tea. I like the flavor of Thyme. I put a little bit of honey and lemon juice in mine and it was good. I had a stomach ache last night and this really helped it. Thanks for a great recipe. Made for the Feb 2008  Bevy Tag game.</t>
        </is>
      </c>
    </row>
    <row r="5935">
      <c r="A5935" s="7" t="n">
        <v>124111</v>
      </c>
      <c r="B5935" s="7" t="n">
        <v>776885</v>
      </c>
      <c r="C5935" s="7" t="n">
        <v>183817</v>
      </c>
      <c r="D5935" s="7" t="n">
        <v>93746</v>
      </c>
      <c r="E5935" s="8" t="n">
        <v>39511</v>
      </c>
      <c r="F5935" s="7" t="n">
        <v>5</v>
      </c>
      <c r="G5935" s="7" t="inlineStr">
        <is>
          <t>I've had a package of drumsticks in the freezer that I'd been meaning to use, so I decided to make these last night. Great recipe, it tasted so much like fried chicken! It was very simple to make and the coating was to die for. I was really surprised at just how juicy these came out. There is no such thing as too spicy for me, so I added a little Frank's hot sauce to the beaten egg (well, eggbeaters). Thanks for this!</t>
        </is>
      </c>
    </row>
    <row r="5936">
      <c r="A5936" s="7" t="n">
        <v>23288</v>
      </c>
      <c r="B5936" s="7" t="n">
        <v>704465</v>
      </c>
      <c r="C5936" s="7" t="n">
        <v>629065</v>
      </c>
      <c r="D5936" s="7" t="n">
        <v>135850</v>
      </c>
      <c r="E5936" s="8" t="n">
        <v>39382</v>
      </c>
      <c r="F5936" s="7" t="n">
        <v>1</v>
      </c>
      <c r="G5936" s="7" t="inlineStr">
        <is>
          <t>These were AWFUL. I followed the recipe to a t and I ended up with cookies that tasted like flour paste. Really, really disgusting and huge waste of time.</t>
        </is>
      </c>
    </row>
    <row r="5937" ht="409.5" customHeight="1">
      <c r="A5937" s="7" t="n">
        <v>95256</v>
      </c>
      <c r="B5937" s="7" t="n">
        <v>76160</v>
      </c>
      <c r="C5937" s="7" t="n">
        <v>452045</v>
      </c>
      <c r="D5937" s="7" t="n">
        <v>232904</v>
      </c>
      <c r="E5937" s="8" t="n">
        <v>40054</v>
      </c>
      <c r="F5937" s="7" t="n">
        <v>5</v>
      </c>
      <c r="G5937" s="9" t="inlineStr">
        <is>
          <t>I came across Marie Rose Sauce for the first time in an Italian restaurant and could not believe how good it was and how well known! Googling gets a squillion results!_x000D_
So using this recipe as the basis made it for crepes with prawn and scallop filling (see recipe 19097) it worked very well indeed. Fiddled with it a bit and the Worcestershire sauce ended up as a 1 1/2 tsps rather than a few drops; used a good pinch of hot paprika instead of Tabasco and added juice and zest of half a lemon - all suggested by research of recipes._x000D_
It's a matter of personal taste but SWMBO and I liked the extra kick._x000D_
Worked a treat. Thanks Stardust</t>
        </is>
      </c>
    </row>
    <row r="5938">
      <c r="A5938" s="7" t="n">
        <v>41397</v>
      </c>
      <c r="B5938" s="7" t="n">
        <v>158436</v>
      </c>
      <c r="C5938" s="7" t="n">
        <v>185885</v>
      </c>
      <c r="D5938" s="7" t="n">
        <v>8701</v>
      </c>
      <c r="E5938" s="8" t="n">
        <v>38369</v>
      </c>
      <c r="F5938" s="7" t="n">
        <v>3</v>
      </c>
      <c r="G5938" s="7" t="inlineStr">
        <is>
          <t>The sauce had a great flavor. However I was disappointed that the flavor didn't marinate in the ribs and my recipe for ribs is just as good. In the summer you should try taking them out of the oven after they're cooked and throw them on the grill to get that great BBQ flavor.</t>
        </is>
      </c>
    </row>
    <row r="5939">
      <c r="A5939" s="7" t="n">
        <v>50870</v>
      </c>
      <c r="B5939" s="7" t="n">
        <v>624142</v>
      </c>
      <c r="C5939" s="7" t="n">
        <v>2002272017</v>
      </c>
      <c r="D5939" s="7" t="n">
        <v>145071</v>
      </c>
      <c r="E5939" s="8" t="n">
        <v>43354</v>
      </c>
      <c r="F5939" s="7" t="n">
        <v>5</v>
      </c>
      <c r="G5939" s="7" t="inlineStr">
        <is>
          <t>My mom had the same cookbook and growing up we loved this meatloaf. Now my husband and kids love it too. It's definitely different than a ketchup or BBQ sauce meatloaf but delicious.</t>
        </is>
      </c>
    </row>
    <row r="5940">
      <c r="A5940" s="7" t="n">
        <v>34917</v>
      </c>
      <c r="B5940" s="7" t="n">
        <v>813368</v>
      </c>
      <c r="C5940" s="7" t="n">
        <v>256795</v>
      </c>
      <c r="D5940" s="7" t="n">
        <v>10837</v>
      </c>
      <c r="E5940" s="8" t="n">
        <v>40414</v>
      </c>
      <c r="F5940" s="7" t="n">
        <v>5</v>
      </c>
      <c r="G5940" s="7" t="inlineStr">
        <is>
          <t>Followed the recipe to a "T" except I doubled it but kept the oil to 1/4 cup.  Yummy!!  Thanks so much for sharing and giving me something else to do with my over-flowing garden!!  :O)</t>
        </is>
      </c>
    </row>
    <row r="5941">
      <c r="A5941" s="7" t="n">
        <v>8922</v>
      </c>
      <c r="B5941" s="7" t="n">
        <v>1109547</v>
      </c>
      <c r="C5941" s="7" t="n">
        <v>1803705653</v>
      </c>
      <c r="D5941" s="7" t="n">
        <v>155430</v>
      </c>
      <c r="E5941" s="8" t="n">
        <v>42030</v>
      </c>
      <c r="F5941" s="7" t="n">
        <v>5</v>
      </c>
      <c r="G5941" s="7" t="inlineStr">
        <is>
          <t>i&amp;#039;ve made it yesterday.....to be honest it&amp;#039;s my first try to make bread.....it wasn&amp;#039;t bad at all, but not quite as expected, as i divided this recipe by 2.....i noticed there&amp;#039;s a lack of yeast (maybe conversion issue), instead of 1 teaspoon, i&amp;#039;ve put 2 this time....and added a little bit more water 1cup and a half almost instead of just 1.......waiting for the result this time, will upload another pic.....but afterall, it&amp;#039;s delicious, and fluffy on the inside !!! taste great ! thank you</t>
        </is>
      </c>
    </row>
    <row r="5942">
      <c r="A5942" s="7" t="n">
        <v>87469</v>
      </c>
      <c r="B5942" s="7" t="n">
        <v>254306</v>
      </c>
      <c r="C5942" s="7" t="n">
        <v>1164229</v>
      </c>
      <c r="D5942" s="7" t="n">
        <v>160924</v>
      </c>
      <c r="E5942" s="8" t="n">
        <v>39853</v>
      </c>
      <c r="F5942" s="7" t="n">
        <v>5</v>
      </c>
      <c r="G5942" s="7" t="inlineStr">
        <is>
          <t>I used the Lindt chocolate with chile pepper in it and they were FABULOUS. Rich, sophisticated, yummy!</t>
        </is>
      </c>
    </row>
    <row r="5943">
      <c r="A5943" s="7" t="n">
        <v>14311</v>
      </c>
      <c r="B5943" s="7" t="n">
        <v>785576</v>
      </c>
      <c r="C5943" s="7" t="n">
        <v>108043</v>
      </c>
      <c r="D5943" s="7" t="n">
        <v>37625</v>
      </c>
      <c r="E5943" s="8" t="n">
        <v>38768</v>
      </c>
      <c r="F5943" s="7" t="n">
        <v>5</v>
      </c>
      <c r="G5943" s="7" t="inlineStr">
        <is>
          <t>Great recipe.  I followed recipe exactly as written and would not change a thing.  This was not as difficult to spread as some said. This is a "not too sweet" good breakfast coffeecake and one I will make again.  Thanks for sharing.</t>
        </is>
      </c>
    </row>
    <row r="5944">
      <c r="A5944" s="7" t="n">
        <v>27242</v>
      </c>
      <c r="B5944" s="7" t="n">
        <v>1018833</v>
      </c>
      <c r="C5944" s="7" t="n">
        <v>2001174017</v>
      </c>
      <c r="D5944" s="7" t="n">
        <v>458445</v>
      </c>
      <c r="E5944" s="8" t="n">
        <v>42938</v>
      </c>
      <c r="F5944" s="7" t="n">
        <v>5</v>
      </c>
      <c r="G5944" s="7" t="inlineStr">
        <is>
          <t>Thank you! Helpful.</t>
        </is>
      </c>
    </row>
    <row r="5945">
      <c r="A5945" s="7" t="n">
        <v>57240</v>
      </c>
      <c r="B5945" s="7" t="n">
        <v>157229</v>
      </c>
      <c r="C5945" s="7" t="n">
        <v>28691</v>
      </c>
      <c r="D5945" s="7" t="n">
        <v>49682</v>
      </c>
      <c r="E5945" s="8" t="n">
        <v>37938</v>
      </c>
      <c r="F5945" s="7" t="n">
        <v>3</v>
      </c>
      <c r="G5945" s="7" t="inlineStr">
        <is>
          <t>I found that the finished item was a bit heavy and lacked a distinctive flavor as the papaya was overwhelmed by the applesauce and spices.  Had I not had an over-abundent papaya crop I would have not tried this recipe and would not recommend it to anyone that has to purchase papaya.</t>
        </is>
      </c>
    </row>
    <row r="5946">
      <c r="A5946" s="7" t="n">
        <v>60010</v>
      </c>
      <c r="B5946" s="7" t="n">
        <v>347</v>
      </c>
      <c r="C5946" s="7" t="n">
        <v>743849</v>
      </c>
      <c r="D5946" s="7" t="n">
        <v>359677</v>
      </c>
      <c r="E5946" s="8" t="n">
        <v>39986</v>
      </c>
      <c r="F5946" s="7" t="n">
        <v>5</v>
      </c>
      <c r="G5946" s="7" t="inlineStr">
        <is>
          <t>I liked this recipe because it is basic and was easy to adapt to my tastes.  I used 1 15 oz can of red kidney beans and 1 15 oz can of white great northern beans (I drained and rinsed both cans).  I used a yellow pepper from my garden and added a small onion to the mix.  I used spicy sausage (would have been really good with kielbasa, too).  I sprinkled some creole seasoning into the beans while they simmered.  Finally, I served them over steamed basmati rice &amp; garnished with some fresh, chopped green onions (also from my garden).  Delicious lunch!  I GNOME I will make this again!  Thanks for sharing this recipe, kellychris!</t>
        </is>
      </c>
    </row>
    <row r="5947">
      <c r="A5947" s="7" t="n">
        <v>82023</v>
      </c>
      <c r="B5947" s="7" t="n">
        <v>693158</v>
      </c>
      <c r="C5947" s="7" t="n">
        <v>89831</v>
      </c>
      <c r="D5947" s="7" t="n">
        <v>97521</v>
      </c>
      <c r="E5947" s="8" t="n">
        <v>38392</v>
      </c>
      <c r="F5947" s="7" t="n">
        <v>5</v>
      </c>
      <c r="G5947" s="7" t="inlineStr">
        <is>
          <t>Marie, I made this and divided it in two 8-inch square pans and gave one away to a member of my family, there is a lot of batter to this recipe and filled the pans almost to the top! the combination of bananas and blueberries are wonderful... this cake has both flavor and texture, this is a wonderful recipe, it really deserves more than 5 stars, it will go into my favorites! Marie, thanks for sharing....Kittencal:)</t>
        </is>
      </c>
    </row>
    <row r="5948">
      <c r="A5948" s="7" t="n">
        <v>11465</v>
      </c>
      <c r="B5948" s="7" t="n">
        <v>1065730</v>
      </c>
      <c r="C5948" s="7" t="n">
        <v>570804</v>
      </c>
      <c r="D5948" s="7" t="n">
        <v>170071</v>
      </c>
      <c r="E5948" s="8" t="n">
        <v>40450</v>
      </c>
      <c r="F5948" s="7" t="n">
        <v>5</v>
      </c>
      <c r="G5948" s="7" t="inlineStr">
        <is>
          <t>Love this dish and it is very versatile.  I think I had a similar recipe several yrs. back but had forgotten it.    Feel that the combination of the sour cream and spinach is really what makes this so good.</t>
        </is>
      </c>
    </row>
    <row r="5949">
      <c r="A5949" s="7" t="n">
        <v>40611</v>
      </c>
      <c r="B5949" s="7" t="n">
        <v>777807</v>
      </c>
      <c r="C5949" s="7" t="n">
        <v>137481</v>
      </c>
      <c r="D5949" s="7" t="n">
        <v>13315</v>
      </c>
      <c r="E5949" s="8" t="n">
        <v>40706</v>
      </c>
      <c r="F5949" s="7" t="n">
        <v>5</v>
      </c>
      <c r="G5949" s="7" t="inlineStr">
        <is>
          <t>I made this last year using a premium vodka and saved it for Christmas meal.  What a wonderful treat!&lt;br/&gt;This year I'm making loads of it to give away and I'm going to toss a vanilla pod in.&lt;br/&gt;I'll keep you posted on how that turns out.</t>
        </is>
      </c>
    </row>
    <row r="5950">
      <c r="A5950" s="7" t="n">
        <v>105268</v>
      </c>
      <c r="B5950" s="7" t="n">
        <v>118243</v>
      </c>
      <c r="C5950" s="7" t="n">
        <v>2001503373</v>
      </c>
      <c r="D5950" s="7" t="n">
        <v>112617</v>
      </c>
      <c r="E5950" s="8" t="n">
        <v>42848</v>
      </c>
      <c r="F5950" s="7" t="n">
        <v>0</v>
      </c>
      <c r="G5950" s="7" t="inlineStr">
        <is>
          <t>These are great. Like another reviewed said &amp;quot;I can't stop eating these&amp;quot;. My mom was from Sicily and she made them when I was young. I've tried other recipes but this is by far the best. I even added about 1/2 cup of toasted whole almond to it and reduced the sesame seeds to 1 and 1/2 cups, but even with just sesame seeds, it's great.</t>
        </is>
      </c>
    </row>
    <row r="5951">
      <c r="A5951" s="7" t="n">
        <v>2890</v>
      </c>
      <c r="B5951" s="7" t="n">
        <v>1087748</v>
      </c>
      <c r="C5951" s="7" t="n">
        <v>83314</v>
      </c>
      <c r="D5951" s="7" t="n">
        <v>30079</v>
      </c>
      <c r="E5951" s="8" t="n">
        <v>39329</v>
      </c>
      <c r="F5951" s="7" t="n">
        <v>5</v>
      </c>
      <c r="G5951" s="7" t="inlineStr">
        <is>
          <t>This was a wonderful breakfast sandwich.  I used Franz 100% Whole Wheat English Muffins, which I buttered after toasting.  Also  scrambled the eggs.  DH had sliced American cheese on his and I had sliced Cheddar on mine. This will be a weekly recipe for us!</t>
        </is>
      </c>
    </row>
    <row r="5952">
      <c r="A5952" s="7" t="n">
        <v>81790</v>
      </c>
      <c r="B5952" s="7" t="n">
        <v>1114822</v>
      </c>
      <c r="C5952" s="7" t="n">
        <v>290298</v>
      </c>
      <c r="D5952" s="7" t="n">
        <v>462380</v>
      </c>
      <c r="E5952" s="8" t="n">
        <v>40824</v>
      </c>
      <c r="F5952" s="7" t="n">
        <v>5</v>
      </c>
      <c r="G5952" s="7" t="inlineStr">
        <is>
          <t>Reviewed for PAC October 2011- These were Great ,very easy to put together and super tasty,I used fresh corn that i knifed off the cob so it was super sweet and crunchy-Served these with Ultimate Avocado Dip and even the Kids loved them.&lt;br/&gt;the instructions could be written a little clearer but aside from that this recipe is a winner</t>
        </is>
      </c>
    </row>
    <row r="5953">
      <c r="A5953" s="7" t="n">
        <v>100765</v>
      </c>
      <c r="B5953" s="7" t="n">
        <v>928339</v>
      </c>
      <c r="C5953" s="7" t="n">
        <v>392435</v>
      </c>
      <c r="D5953" s="7" t="n">
        <v>332616</v>
      </c>
      <c r="E5953" s="8" t="n">
        <v>40520</v>
      </c>
      <c r="F5953" s="7" t="n">
        <v>4</v>
      </c>
      <c r="G5953" s="7" t="inlineStr">
        <is>
          <t>This tastes great with any kind of olives.  The first time I went to all the trouble of pitting kalamata olives, and more recently I've just been opening a can of black olives and putting them through a rough chop of the food processor.  Come the rest in a plastic bag with 2 tbsp of oil, shake, layout on the pan and broil it for about 10 minutes.  Then I use this recipe as another layer to my portabella, spinach &amp; feta cheese lasagna, which makes the whole thing out of this world.</t>
        </is>
      </c>
    </row>
    <row r="5954">
      <c r="A5954" s="7" t="n">
        <v>65919</v>
      </c>
      <c r="B5954" s="7" t="n">
        <v>998963</v>
      </c>
      <c r="C5954" s="7" t="n">
        <v>39835</v>
      </c>
      <c r="D5954" s="7" t="n">
        <v>178540</v>
      </c>
      <c r="E5954" s="8" t="n">
        <v>40120</v>
      </c>
      <c r="F5954" s="7" t="n">
        <v>5</v>
      </c>
      <c r="G5954" s="7" t="inlineStr">
        <is>
          <t>Great fish! I changed this recipe slighly as I didn't have any wasabi, so used an equal amount of ground ginger and also used the spenda brown sugar. I also served this with frozen asian veggies and skipped the noodles. Very filling and easy meal to make. Next time I will try it with the wasabi and noodles. Thanks for sharing this keeper!</t>
        </is>
      </c>
    </row>
    <row r="5955">
      <c r="A5955" s="7" t="n">
        <v>17514</v>
      </c>
      <c r="B5955" s="7" t="n">
        <v>363786</v>
      </c>
      <c r="C5955" s="7" t="n">
        <v>33159</v>
      </c>
      <c r="D5955" s="7" t="n">
        <v>331376</v>
      </c>
      <c r="E5955" s="8" t="n">
        <v>40276</v>
      </c>
      <c r="F5955" s="7" t="n">
        <v>5</v>
      </c>
      <c r="G5955" s="7" t="inlineStr">
        <is>
          <t>Really good!  Nice &amp; crunchy, really juicy &amp; lots of flavour - what more could you want??  I did use boneless, skinless chicken so this is a very healthy recipe!</t>
        </is>
      </c>
    </row>
    <row r="5956">
      <c r="A5956" s="7" t="n">
        <v>103201</v>
      </c>
      <c r="B5956" s="7" t="n">
        <v>38563</v>
      </c>
      <c r="C5956" s="7" t="n">
        <v>1157826</v>
      </c>
      <c r="D5956" s="7" t="n">
        <v>160379</v>
      </c>
      <c r="E5956" s="8" t="n">
        <v>39858</v>
      </c>
      <c r="F5956" s="7" t="n">
        <v>5</v>
      </c>
      <c r="G5956" s="7" t="inlineStr">
        <is>
          <t>This is a great recipe - so simple to make, and tasty as well!  :)  I made it last night for dinner, and my family really enjoyed it.  I was planning on making another loaf tonight, but will have to run to the store first as we're out of milk and lemon juice (which I used for buttermilk since we didn't have any last night).  Thanks for sharing this delicious recipe!</t>
        </is>
      </c>
    </row>
    <row r="5957">
      <c r="A5957" s="7" t="n">
        <v>20502</v>
      </c>
      <c r="B5957" s="7" t="n">
        <v>311952</v>
      </c>
      <c r="C5957" s="7" t="n">
        <v>227130</v>
      </c>
      <c r="D5957" s="7" t="n">
        <v>22841</v>
      </c>
      <c r="E5957" s="8" t="n">
        <v>38752</v>
      </c>
      <c r="F5957" s="7" t="n">
        <v>4</v>
      </c>
      <c r="G5957" s="7" t="inlineStr">
        <is>
          <t>Thanks for posting this recipe, a very yummy way of serving ribs, my children even ate them and they usually turn thier noses up at everything.</t>
        </is>
      </c>
    </row>
    <row r="5958" ht="45" customHeight="1">
      <c r="A5958" s="7" t="n">
        <v>9632</v>
      </c>
      <c r="B5958" s="7" t="n">
        <v>510199</v>
      </c>
      <c r="C5958" s="7" t="n">
        <v>747477</v>
      </c>
      <c r="D5958" s="7" t="n">
        <v>89207</v>
      </c>
      <c r="E5958" s="8" t="n">
        <v>39945</v>
      </c>
      <c r="F5958" s="7" t="n">
        <v>5</v>
      </c>
      <c r="G5958" s="9" t="inlineStr">
        <is>
          <t>Amazing!_x000D_
Thanks.</t>
        </is>
      </c>
    </row>
    <row r="5959">
      <c r="A5959" s="7" t="n">
        <v>32562</v>
      </c>
      <c r="B5959" s="7" t="n">
        <v>563874</v>
      </c>
      <c r="C5959" s="7" t="n">
        <v>452019</v>
      </c>
      <c r="D5959" s="7" t="n">
        <v>125618</v>
      </c>
      <c r="E5959" s="8" t="n">
        <v>41203</v>
      </c>
      <c r="F5959" s="7" t="n">
        <v>3</v>
      </c>
      <c r="G5959" s="7" t="inlineStr">
        <is>
          <t>I messed up this recipe and after reading the reviews I'll try them again! I followed the recipe to the letter except I made the triangle mistake and had trouble closing them. Pillows next time it is. I will also chop or dice the chicken and mix with the pesto as suggested, and maybe even with the cheese (shredded) all together. With the chicken &amp; cheese whole it was super hard to close them. And I found the edges stuck MUCH better without the egg wash! I'd like to try these with feta also.</t>
        </is>
      </c>
    </row>
    <row r="5960" ht="409.5" customHeight="1">
      <c r="A5960" t="n">
        <v>30365</v>
      </c>
      <c r="B5960" t="n">
        <v>920752</v>
      </c>
      <c r="C5960" t="n">
        <v>852154</v>
      </c>
      <c r="D5960" t="n">
        <v>177160</v>
      </c>
      <c r="E5960" s="1" t="n">
        <v>39602</v>
      </c>
      <c r="F5960" t="n">
        <v>4</v>
      </c>
      <c r="G5960" s="2" t="inlineStr">
        <is>
          <t>Delicious, very similar to the recipe i had previously been using but much lighter on the cinnamon and cloves and the taste actually benefits from it. The addition of some feta cheese at the end is inspired it really takes it to another level.
Superb, will be keeping that one for further use.</t>
        </is>
      </c>
    </row>
    <row r="5961">
      <c r="A5961" s="7" t="n">
        <v>121060</v>
      </c>
      <c r="B5961" s="7" t="n">
        <v>934661</v>
      </c>
      <c r="C5961" s="7" t="n">
        <v>2052933</v>
      </c>
      <c r="D5961" s="7" t="n">
        <v>123481</v>
      </c>
      <c r="E5961" s="8" t="n">
        <v>40850</v>
      </c>
      <c r="F5961" s="7" t="n">
        <v>5</v>
      </c>
      <c r="G5961" s="7" t="inlineStr">
        <is>
          <t>Loved the recipe. Adjusted green chilli use to reduce spice level. It came out really good.</t>
        </is>
      </c>
    </row>
    <row r="5962" ht="225" customHeight="1">
      <c r="A5962" s="7" t="n">
        <v>55160</v>
      </c>
      <c r="B5962" s="7" t="n">
        <v>939897</v>
      </c>
      <c r="C5962" s="7" t="n">
        <v>49168</v>
      </c>
      <c r="D5962" s="7" t="n">
        <v>47195</v>
      </c>
      <c r="E5962" s="8" t="n">
        <v>38289</v>
      </c>
      <c r="F5962" s="7" t="n">
        <v>5</v>
      </c>
      <c r="G5962" s="9" t="inlineStr">
        <is>
          <t>I LOVE these.  Quick and tasty_x000D_
munchie.  I used Yukon Gold_x000D_
with kosher salt and fresh ground black pepper.</t>
        </is>
      </c>
    </row>
    <row r="5963">
      <c r="A5963" s="7" t="n">
        <v>98816</v>
      </c>
      <c r="B5963" s="7" t="n">
        <v>1016763</v>
      </c>
      <c r="C5963" s="7" t="n">
        <v>2000522779</v>
      </c>
      <c r="D5963" s="7" t="n">
        <v>349246</v>
      </c>
      <c r="E5963" s="8" t="n">
        <v>42496</v>
      </c>
      <c r="F5963" s="7" t="n">
        <v>5</v>
      </c>
      <c r="G5963" s="7" t="inlineStr">
        <is>
          <t>Just made these - I was hopeful - and let me tell you I was happy and impressed. Tasted exactly like I'd hoped - brownie/cakey and really, perfect. What I did: took the other's advice and used 2 T. sugar/ 2 T. (gluten free) flour ( I used Authentic Blends GF flour). I plopped a few semisweet morsels on top when it came out - and next time I am trying some chopped walnuts in it. Great! Fast! 60 seconds!</t>
        </is>
      </c>
    </row>
    <row r="5964">
      <c r="A5964" s="7" t="n">
        <v>42298</v>
      </c>
      <c r="B5964" s="7" t="n">
        <v>147624</v>
      </c>
      <c r="C5964" s="7" t="n">
        <v>41578</v>
      </c>
      <c r="D5964" s="7" t="n">
        <v>17874</v>
      </c>
      <c r="E5964" s="8" t="n">
        <v>40006</v>
      </c>
      <c r="F5964" s="7" t="n">
        <v>5</v>
      </c>
      <c r="G5964" s="7" t="inlineStr">
        <is>
          <t>Wish I could give this 10 stars for this quick, easy and very flavorful appetizer.  I served this with assorted crackers and raw veggies.  I also think this would make a great spread for sandwiches.  This is a winner, Bev, thanks for sharing.</t>
        </is>
      </c>
    </row>
    <row r="5965">
      <c r="A5965" s="7" t="n">
        <v>60671</v>
      </c>
      <c r="B5965" s="7" t="n">
        <v>458361</v>
      </c>
      <c r="C5965" s="7" t="n">
        <v>169430</v>
      </c>
      <c r="D5965" s="7" t="n">
        <v>498523</v>
      </c>
      <c r="E5965" s="8" t="n">
        <v>41424</v>
      </c>
      <c r="F5965" s="7" t="n">
        <v>4</v>
      </c>
      <c r="G5965" s="7" t="inlineStr">
        <is>
          <t>A very pleasant glass. I used strawberry zinfandel and club soda (couldn&amp;#039;t find diet Sprite or 7-up!) with the lemon juice and a sliced strawberry added to the glass. Not a lot of punch to the flavor but still an enjoyable summer mix. Rather pretty too.</t>
        </is>
      </c>
    </row>
    <row r="5966">
      <c r="A5966" s="7" t="n">
        <v>31852</v>
      </c>
      <c r="B5966" s="7" t="n">
        <v>256158</v>
      </c>
      <c r="C5966" s="7" t="n">
        <v>37636</v>
      </c>
      <c r="D5966" s="7" t="n">
        <v>317905</v>
      </c>
      <c r="E5966" s="8" t="n">
        <v>39825</v>
      </c>
      <c r="F5966" s="7" t="n">
        <v>5</v>
      </c>
      <c r="G5966" s="7" t="inlineStr">
        <is>
          <t>This was excellent and wonderful as a dessert for those who are not allowed very much sugar -OR- those who don't like their desserts overly sweet. I think for those liking it sweeter, it may accommodate an extra quarter cup of Splenda. But we liked this exactly like it was written, being perfect for us. Thanks for sharing and playing RSC12. ~Sue</t>
        </is>
      </c>
    </row>
    <row r="5967">
      <c r="A5967" s="7" t="n">
        <v>75109</v>
      </c>
      <c r="B5967" s="7" t="n">
        <v>377972</v>
      </c>
      <c r="C5967" s="7" t="n">
        <v>410866</v>
      </c>
      <c r="D5967" s="7" t="n">
        <v>179846</v>
      </c>
      <c r="E5967" s="8" t="n">
        <v>39070</v>
      </c>
      <c r="F5967" s="7" t="n">
        <v>4</v>
      </c>
      <c r="G5967" s="7" t="inlineStr">
        <is>
          <t>I made this recipe using canola oil instead of veg. I also replaced the cardamom with more cinnamon and added a little vanilla. The texture is wonderful-especially for a vegan baked good,-very tender and light. The only negative was that they have a bit of an unpleasant baking soda-y taste, especially if eaten warm. When allowed to cool it mostly goes away. I will definitely use this recipe again but will try it with a touch less baking soda next time.</t>
        </is>
      </c>
    </row>
    <row r="5968">
      <c r="A5968" s="7" t="n">
        <v>113383</v>
      </c>
      <c r="B5968" s="7" t="n">
        <v>859974</v>
      </c>
      <c r="C5968" s="7" t="n">
        <v>319943</v>
      </c>
      <c r="D5968" s="7" t="n">
        <v>202703</v>
      </c>
      <c r="E5968" s="8" t="n">
        <v>39484</v>
      </c>
      <c r="F5968" s="7" t="n">
        <v>5</v>
      </c>
      <c r="G5968" s="7" t="inlineStr">
        <is>
          <t>Fabulous!  I used only three breasts and am glad of that because I don't think there would have been enough sauce for four.  My crockpot must also be hotter because the third step only took about 3 1/2 hours and then another half hour for step 5.  I noticed it actually boiling on "low".</t>
        </is>
      </c>
    </row>
    <row r="5969">
      <c r="A5969" s="7" t="n">
        <v>93137</v>
      </c>
      <c r="B5969" s="7" t="n">
        <v>76787</v>
      </c>
      <c r="C5969" s="7" t="n">
        <v>53425</v>
      </c>
      <c r="D5969" s="7" t="n">
        <v>60003</v>
      </c>
      <c r="E5969" s="8" t="n">
        <v>37961</v>
      </c>
      <c r="F5969" s="7" t="n">
        <v>5</v>
      </c>
      <c r="G5969" s="7" t="inlineStr">
        <is>
          <t xml:space="preserve">Anything that is one-third Parmigiano-Reggiano can only be superb. I took this as a dip to a potluck. At first, people dipped in with enthusiasm. Then they were seen piling it high on slices of bread. Finally, in an unseemly rush to get as much of it as possible before it disappeared, they piled in onto their plates, dug in with forks, and ate it plain. I did use about two-thirds of the mayonnaise (I used light mayo) called for; I really don't think I would have liked it to be any goopier. This is also awfully good with a small clove of garlic finely chopped and mixed in. I made it the day before; I think it benefited from the extra time to allow the cheese to soften and the flavours to blend. </t>
        </is>
      </c>
    </row>
    <row r="5970">
      <c r="A5970" s="7" t="n">
        <v>111031</v>
      </c>
      <c r="B5970" s="7" t="n">
        <v>865352</v>
      </c>
      <c r="C5970" s="7" t="n">
        <v>143701</v>
      </c>
      <c r="D5970" s="7" t="n">
        <v>40972</v>
      </c>
      <c r="E5970" s="8" t="n">
        <v>38489</v>
      </c>
      <c r="F5970" s="7" t="n">
        <v>4</v>
      </c>
      <c r="G5970" s="7" t="inlineStr">
        <is>
          <t>This was a great recipe. I made it for dinner with my gramma. Sh loved lemon. It was very strong flavored lemon, very yummy. I added cool whip to the top of it!!! You could probley do this with limes and oranges just as well, for something a little different. Everybody who ate it, Loved it and wished there was more!Thanks for sharing</t>
        </is>
      </c>
    </row>
    <row r="5971">
      <c r="A5971" s="7" t="n">
        <v>72082</v>
      </c>
      <c r="B5971" s="7" t="n">
        <v>115675</v>
      </c>
      <c r="C5971" s="7" t="n">
        <v>844554</v>
      </c>
      <c r="D5971" s="7" t="n">
        <v>124269</v>
      </c>
      <c r="E5971" s="8" t="n">
        <v>40868</v>
      </c>
      <c r="F5971" s="7" t="n">
        <v>5</v>
      </c>
      <c r="G5971" s="7" t="inlineStr">
        <is>
          <t>I was a little suspicious of using cinnamon in the mix but found that I liked it very much. I agree -- I love the fact there's no MSG and tons of salt. I will be making this one again. Made for Zaar I Recommend Tag Game 2011.</t>
        </is>
      </c>
    </row>
    <row r="5972">
      <c r="A5972" s="7" t="n">
        <v>111695</v>
      </c>
      <c r="B5972" s="7" t="n">
        <v>300701</v>
      </c>
      <c r="C5972" s="7" t="n">
        <v>503421</v>
      </c>
      <c r="D5972" s="7" t="n">
        <v>280063</v>
      </c>
      <c r="E5972" s="8" t="n">
        <v>39630</v>
      </c>
      <c r="F5972" s="7" t="n">
        <v>4</v>
      </c>
      <c r="G5972" s="7" t="inlineStr">
        <is>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is>
      </c>
    </row>
    <row r="5973" ht="255" customHeight="1">
      <c r="A5973" s="7" t="n">
        <v>56552</v>
      </c>
      <c r="B5973" s="7" t="n">
        <v>227905</v>
      </c>
      <c r="C5973" s="7" t="n">
        <v>58481</v>
      </c>
      <c r="D5973" s="7" t="n">
        <v>100717</v>
      </c>
      <c r="E5973" s="8" t="n">
        <v>38566</v>
      </c>
      <c r="F5973" s="7" t="n">
        <v>4</v>
      </c>
      <c r="G5973" s="9" t="inlineStr">
        <is>
          <t>I found this to be a great comfort food type of recipe. I omitted the cumin and baked at 350F._x000D_
This is a keeper. Margie</t>
        </is>
      </c>
    </row>
    <row r="5974">
      <c r="A5974" s="7" t="n">
        <v>64660</v>
      </c>
      <c r="B5974" s="7" t="n">
        <v>740657</v>
      </c>
      <c r="C5974" s="7" t="n">
        <v>383346</v>
      </c>
      <c r="D5974" s="7" t="n">
        <v>378320</v>
      </c>
      <c r="E5974" s="8" t="n">
        <v>40888</v>
      </c>
      <c r="F5974" s="7" t="n">
        <v>5</v>
      </c>
      <c r="G5974" s="7" t="inlineStr">
        <is>
          <t>These waffles were so easy to do.  The texture was perfect.  The taste also.  Nothing to change here.  They were great with maple syrup.  Thanks budgiesntiels :)  Made for Bargain Basement tag game</t>
        </is>
      </c>
    </row>
    <row r="5975">
      <c r="A5975" s="7" t="n">
        <v>15567</v>
      </c>
      <c r="B5975" s="7" t="n">
        <v>745116</v>
      </c>
      <c r="C5975" s="7" t="n">
        <v>4439</v>
      </c>
      <c r="D5975" s="7" t="n">
        <v>320583</v>
      </c>
      <c r="E5975" s="8" t="n">
        <v>39683</v>
      </c>
      <c r="F5975" s="7" t="n">
        <v>5</v>
      </c>
      <c r="G5975" s="7" t="inlineStr">
        <is>
          <t>thanks for posting this recipe. it is in my post recipe stack, but never got around to it. we love these and make them all of the time. the combination of all of the ingredients make it just luscious especially after they are baked.</t>
        </is>
      </c>
    </row>
    <row r="5976">
      <c r="A5976" s="7" t="n">
        <v>78650</v>
      </c>
      <c r="B5976" s="7" t="n">
        <v>78185</v>
      </c>
      <c r="C5976" s="7" t="n">
        <v>35140</v>
      </c>
      <c r="D5976" s="7" t="n">
        <v>53679</v>
      </c>
      <c r="E5976" s="8" t="n">
        <v>37687</v>
      </c>
      <c r="F5976" s="7" t="n">
        <v>5</v>
      </c>
      <c r="G5976" s="7" t="inlineStr">
        <is>
          <t>Yummy!  What an awesome flavor and a great alternative to the "usual" dip.  Adults and teens wolfed this one down.  Thanks for posting.</t>
        </is>
      </c>
    </row>
    <row r="5977">
      <c r="A5977" s="7" t="n">
        <v>122982</v>
      </c>
      <c r="B5977" s="7" t="n">
        <v>183020</v>
      </c>
      <c r="C5977" s="7" t="n">
        <v>485109</v>
      </c>
      <c r="D5977" s="7" t="n">
        <v>370174</v>
      </c>
      <c r="E5977" s="8" t="n">
        <v>40038</v>
      </c>
      <c r="F5977" s="7" t="n">
        <v>5</v>
      </c>
      <c r="G5977" s="7" t="inlineStr">
        <is>
          <t>What an excellent recipe! I really enjoyed the blend of flavours- so much healthier than garlic bread but just as tasty! I also brushed on the olive oil to spare the calories. Thanks for a definite keeper of a recipe!</t>
        </is>
      </c>
    </row>
    <row r="5978">
      <c r="A5978" t="n">
        <v>41276</v>
      </c>
      <c r="B5978" t="n">
        <v>663569</v>
      </c>
      <c r="C5978" t="n">
        <v>172861</v>
      </c>
      <c r="D5978" t="n">
        <v>32237</v>
      </c>
      <c r="E5978" s="1" t="n">
        <v>40297</v>
      </c>
      <c r="F5978" t="n">
        <v>4</v>
      </c>
      <c r="G5978" t="inlineStr">
        <is>
          <t>This was good and I liked that it was easier than the other versions.</t>
        </is>
      </c>
    </row>
    <row r="5979" ht="409.5" customHeight="1">
      <c r="A5979" s="7" t="n">
        <v>31104</v>
      </c>
      <c r="B5979" s="7" t="n">
        <v>183882</v>
      </c>
      <c r="C5979" s="7" t="n">
        <v>5060</v>
      </c>
      <c r="D5979" s="7" t="n">
        <v>9409</v>
      </c>
      <c r="E5979" s="8" t="n">
        <v>39045</v>
      </c>
      <c r="F5979" s="7" t="n">
        <v>4</v>
      </c>
      <c r="G5979" s="9" t="inlineStr">
        <is>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interesting._x000D_
Thanks for post , I will be makeing these again!</t>
        </is>
      </c>
    </row>
    <row r="5980">
      <c r="A5980" s="7" t="n">
        <v>6719</v>
      </c>
      <c r="B5980" s="7" t="n">
        <v>326971</v>
      </c>
      <c r="C5980" s="7" t="n">
        <v>889507</v>
      </c>
      <c r="D5980" s="7" t="n">
        <v>37548</v>
      </c>
      <c r="E5980" s="8" t="n">
        <v>39650</v>
      </c>
      <c r="F5980" s="7" t="n">
        <v>0</v>
      </c>
      <c r="G5980" s="7" t="inlineStr">
        <is>
          <t>Oh man!!! This recipe was so perfect, there are just no words.  This was my first cheesecake, and my family and I just loved it. I will definitely be making it again.</t>
        </is>
      </c>
    </row>
    <row r="5981">
      <c r="A5981" s="7" t="n">
        <v>26109</v>
      </c>
      <c r="B5981" s="7" t="n">
        <v>853989</v>
      </c>
      <c r="C5981" s="7" t="n">
        <v>35794</v>
      </c>
      <c r="D5981" s="7" t="n">
        <v>47755</v>
      </c>
      <c r="E5981" s="8" t="n">
        <v>37887</v>
      </c>
      <c r="F5981" s="7" t="n">
        <v>1</v>
      </c>
      <c r="G5981" s="7" t="inlineStr">
        <is>
          <t xml:space="preserve">It needs a little more flavor.  </t>
        </is>
      </c>
    </row>
    <row r="5982">
      <c r="A5982" s="7" t="n">
        <v>78524</v>
      </c>
      <c r="B5982" s="7" t="n">
        <v>44532</v>
      </c>
      <c r="C5982" s="7" t="n">
        <v>251917</v>
      </c>
      <c r="D5982" s="7" t="n">
        <v>332014</v>
      </c>
      <c r="E5982" s="8" t="n">
        <v>39818</v>
      </c>
      <c r="F5982" s="7" t="n">
        <v>5</v>
      </c>
      <c r="G5982" s="7" t="inlineStr">
        <is>
          <t>Aussie Swap#24: Super easy and very flavorful!! Wonderful reheated too!!</t>
        </is>
      </c>
    </row>
    <row r="5983" ht="409.5" customHeight="1">
      <c r="A5983" s="7" t="n">
        <v>1748</v>
      </c>
      <c r="B5983" s="7" t="n">
        <v>433138</v>
      </c>
      <c r="C5983" s="7" t="n">
        <v>178742</v>
      </c>
      <c r="D5983" s="7" t="n">
        <v>28648</v>
      </c>
      <c r="E5983" s="8" t="n">
        <v>39712</v>
      </c>
      <c r="F5983" s="7" t="n">
        <v>5</v>
      </c>
      <c r="G5983" s="9" t="inlineStr">
        <is>
          <t>We liked this alot! It was really easy and tasted good! I Used deli turkey, bacon, and shredded sharp cheese. Besides changing the meat, I followed the directions to the tee.. I found it hard to roll the omlet with it being so hot. So what I did is my spatula right under it as I rolled.. So when I had to stop due to my fingers burning, the spatula (back side facing up) stopped the omlet from unrolling. Worked out really good and we got to eat it piping hot. I served with my omlet shredded hashbrowns, and grits. _x000D_
Thank you for sharing!!</t>
        </is>
      </c>
    </row>
    <row r="5984">
      <c r="A5984" s="7" t="n">
        <v>37711</v>
      </c>
      <c r="B5984" s="7" t="n">
        <v>448415</v>
      </c>
      <c r="C5984" s="7" t="n">
        <v>465056</v>
      </c>
      <c r="D5984" s="7" t="n">
        <v>247657</v>
      </c>
      <c r="E5984" s="8" t="n">
        <v>39432</v>
      </c>
      <c r="F5984" s="7" t="n">
        <v>5</v>
      </c>
      <c r="G5984" s="7" t="inlineStr">
        <is>
          <t>We had these for breakfast this morning and to tell you the truth I wish I hadnt because I ate too many of them.  :D</t>
        </is>
      </c>
    </row>
    <row r="5985">
      <c r="A5985" s="7" t="n">
        <v>90137</v>
      </c>
      <c r="B5985" s="7" t="n">
        <v>825062</v>
      </c>
      <c r="C5985" s="7" t="n">
        <v>226863</v>
      </c>
      <c r="D5985" s="7" t="n">
        <v>209655</v>
      </c>
      <c r="E5985" s="8" t="n">
        <v>40218</v>
      </c>
      <c r="F5985" s="7" t="n">
        <v>5</v>
      </c>
      <c r="G5985" s="7" t="inlineStr">
        <is>
          <t>These are very good, but I will add some hot peppers next time.  The first bite, I kind of wondered about them.  But after another bite, I had to keep eating and eating them.  With some hot peppers, I think they'd be irresistable!  Made for Favorites of 2009 Tag game.  Thanks to Sweet PQ for putting this in your favorites cookbook!</t>
        </is>
      </c>
    </row>
    <row r="5986">
      <c r="A5986" s="7" t="n">
        <v>73849</v>
      </c>
      <c r="B5986" s="7" t="n">
        <v>705720</v>
      </c>
      <c r="C5986" s="7" t="n">
        <v>67728</v>
      </c>
      <c r="D5986" s="7" t="n">
        <v>24975</v>
      </c>
      <c r="E5986" s="8" t="n">
        <v>37730</v>
      </c>
      <c r="F5986" s="7" t="n">
        <v>5</v>
      </c>
      <c r="G5986" s="7" t="inlineStr">
        <is>
          <t xml:space="preserve">I had some raspberries lurking in my freezer, so I tried this recipe. Very nice, a good summery dessert. I did find that it tasted better when I let it thaw a bit before serving. Oh, and I added a few drops of coconut extract to the sour cream mixture too, which gave it a nice flavor. I think this would be a good dish for a bridal shower or a summer wedding. </t>
        </is>
      </c>
    </row>
    <row r="5987" ht="409.5" customHeight="1">
      <c r="A5987" t="n">
        <v>10632</v>
      </c>
      <c r="B5987" t="n">
        <v>121051</v>
      </c>
      <c r="C5987" t="n">
        <v>1224166</v>
      </c>
      <c r="D5987" t="n">
        <v>361738</v>
      </c>
      <c r="E5987" s="1" t="n">
        <v>39905</v>
      </c>
      <c r="F5987" t="n">
        <v>0</v>
      </c>
      <c r="G5987" s="2" t="inlineStr">
        <is>
          <t>I tried this on Tuesday night and we are still eating it Thursday night.It was enough to feed my Husband and I for three nights. Tastes great I used only one can of refried beans and used roasted red peppers instead of green.I also used the HOT Rotel Tomatoes. WE loved it.Can't wait to finish it tonight very filling._x000D_
Jayne</t>
        </is>
      </c>
    </row>
    <row r="5988">
      <c r="A5988" s="7" t="n">
        <v>41828</v>
      </c>
      <c r="B5988" s="7" t="n">
        <v>427260</v>
      </c>
      <c r="C5988" s="7" t="n">
        <v>297076</v>
      </c>
      <c r="D5988" s="7" t="n">
        <v>71933</v>
      </c>
      <c r="E5988" s="8" t="n">
        <v>38938</v>
      </c>
      <c r="F5988" s="7" t="n">
        <v>5</v>
      </c>
      <c r="G5988" s="7" t="inlineStr">
        <is>
          <t>We always make potatoes this way. Makes the BEST baked potatoes... yum!</t>
        </is>
      </c>
    </row>
    <row r="5989">
      <c r="A5989" s="7" t="n">
        <v>70722</v>
      </c>
      <c r="B5989" s="7" t="n">
        <v>31432</v>
      </c>
      <c r="C5989" s="7" t="n">
        <v>1803612078</v>
      </c>
      <c r="D5989" s="7" t="n">
        <v>8596</v>
      </c>
      <c r="E5989" s="8" t="n">
        <v>42009</v>
      </c>
      <c r="F5989" s="7" t="n">
        <v>5</v>
      </c>
      <c r="G5989" s="7" t="inlineStr">
        <is>
          <t>Best homemade recipe I&amp;#039;ve ever tasted!  It was a hit with everyone!  I took it to my office the next day and they love it too, came back for seconds!</t>
        </is>
      </c>
    </row>
    <row r="5990">
      <c r="A5990" s="7" t="n">
        <v>17603</v>
      </c>
      <c r="B5990" s="7" t="n">
        <v>377708</v>
      </c>
      <c r="C5990" s="7" t="n">
        <v>366396</v>
      </c>
      <c r="D5990" s="7" t="n">
        <v>66258</v>
      </c>
      <c r="E5990" s="8" t="n">
        <v>39588</v>
      </c>
      <c r="F5990" s="7" t="n">
        <v>4</v>
      </c>
      <c r="G5990" s="7" t="inlineStr">
        <is>
          <t>Excellent, loved by company anf family. The only diference I made was i melted the butter and then brushed it on to the corn. this will become a grilling staple</t>
        </is>
      </c>
    </row>
    <row r="5991">
      <c r="A5991" t="n">
        <v>63561</v>
      </c>
      <c r="B5991" t="n">
        <v>675065</v>
      </c>
      <c r="C5991" t="n">
        <v>87236</v>
      </c>
      <c r="D5991" t="n">
        <v>23805</v>
      </c>
      <c r="E5991" s="1" t="n">
        <v>39121</v>
      </c>
      <c r="F5991" t="n">
        <v>5</v>
      </c>
      <c r="G5991" t="inlineStr">
        <is>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is>
      </c>
    </row>
    <row r="5992">
      <c r="A5992" s="7" t="n">
        <v>44233</v>
      </c>
      <c r="B5992" s="7" t="n">
        <v>845696</v>
      </c>
      <c r="C5992" s="7" t="n">
        <v>209747</v>
      </c>
      <c r="D5992" s="7" t="n">
        <v>179963</v>
      </c>
      <c r="E5992" s="8" t="n">
        <v>40876</v>
      </c>
      <c r="F5992" s="7" t="n">
        <v>5</v>
      </c>
      <c r="G5992" s="7" t="inlineStr">
        <is>
          <t>WOW! This this one of the best Puttanesca's I have ever had. I served this over whole wheat penne and it was a flavor sensation! I calculated using the new points system at WW and it was 7 points plus including pasta. Not bad at all. Oh and I did not microwave because I had time I made it on the stove top. Still fast and easy! I used anchovy paste rather than whole and olive salad rather than whole. Easy time savers that do not alter flavor. Thanks for sharing!</t>
        </is>
      </c>
    </row>
    <row r="5993">
      <c r="A5993" s="7" t="n">
        <v>10001</v>
      </c>
      <c r="B5993" s="7" t="n">
        <v>76486</v>
      </c>
      <c r="C5993" s="7" t="n">
        <v>222055</v>
      </c>
      <c r="D5993" s="7" t="n">
        <v>131044</v>
      </c>
      <c r="E5993" s="8" t="n">
        <v>39266</v>
      </c>
      <c r="F5993" s="7" t="n">
        <v>5</v>
      </c>
      <c r="G5993" s="7" t="inlineStr">
        <is>
          <t>My first time making tortilla's. Just like me...I am covered in flour.:) I can't tell you how happy I was with the end result. I thought at first I was going to be disappointed because my first one was ugly and it tasted like a flat biscuit. I mastered the rolling and the moving to the pan. They looked great!!! When I added the toppings for recipe #209211, they really helped make it a FANTASTIC meal! Thank you so much Charmie!!! Made for ZWT3 by a Floozie - Remembering Amy (Redneck Epicurean).</t>
        </is>
      </c>
    </row>
    <row r="5994">
      <c r="A5994" s="7" t="n">
        <v>112117</v>
      </c>
      <c r="B5994" s="7" t="n">
        <v>869303</v>
      </c>
      <c r="C5994" s="7" t="n">
        <v>412147</v>
      </c>
      <c r="D5994" s="7" t="n">
        <v>30404</v>
      </c>
      <c r="E5994" s="8" t="n">
        <v>39383</v>
      </c>
      <c r="F5994" s="7" t="n">
        <v>5</v>
      </c>
      <c r="G5994" s="7" t="inlineStr">
        <is>
          <t>I really liked this recipe.  It was easy to make, tasted delicious, and was just right for the Casino Party I attended.  One tip is to wet your metal spatula with hot water and smooth over the cream cheese, after you have spread it all over.</t>
        </is>
      </c>
    </row>
    <row r="5995">
      <c r="A5995" s="7" t="n">
        <v>96831</v>
      </c>
      <c r="B5995" s="7" t="n">
        <v>1004574</v>
      </c>
      <c r="C5995" s="7" t="n">
        <v>1400638</v>
      </c>
      <c r="D5995" s="7" t="n">
        <v>61610</v>
      </c>
      <c r="E5995" s="8" t="n">
        <v>40521</v>
      </c>
      <c r="F5995" s="7" t="n">
        <v>0</v>
      </c>
      <c r="G5995" s="7" t="inlineStr">
        <is>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is>
      </c>
    </row>
    <row r="5996">
      <c r="A5996" s="7" t="n">
        <v>30737</v>
      </c>
      <c r="B5996" s="7" t="n">
        <v>564357</v>
      </c>
      <c r="C5996" s="7" t="n">
        <v>369264</v>
      </c>
      <c r="D5996" s="7" t="n">
        <v>256914</v>
      </c>
      <c r="E5996" s="8" t="n">
        <v>39980</v>
      </c>
      <c r="F5996" s="7" t="n">
        <v>5</v>
      </c>
      <c r="G5996" s="7" t="inlineStr">
        <is>
          <t>WOW!!!!!!!! My husband walked in the door as I was taking these out and he said, "oooooh Red Lobster biscuits, huh?"  The second he took a bite he said, "OOOH this is spot on!"  I am loving the ease of this recipe!!  Next time I'm doubling the butter sauce for the top because I just love it. ;)  Thank you so very much!  I could eat these every night!</t>
        </is>
      </c>
    </row>
    <row r="5997">
      <c r="A5997" s="7" t="n">
        <v>46351</v>
      </c>
      <c r="B5997" s="7" t="n">
        <v>326392</v>
      </c>
      <c r="C5997" s="7" t="n">
        <v>25267</v>
      </c>
      <c r="D5997" s="7" t="n">
        <v>14912</v>
      </c>
      <c r="E5997" s="8" t="n">
        <v>37229</v>
      </c>
      <c r="F5997" s="7" t="n">
        <v>5</v>
      </c>
      <c r="G5997" s="7" t="inlineStr">
        <is>
          <t>Just like what you would get in a 5 star restaurant.</t>
        </is>
      </c>
    </row>
    <row r="5998">
      <c r="A5998" s="7" t="n">
        <v>39939</v>
      </c>
      <c r="B5998" s="7" t="n">
        <v>427199</v>
      </c>
      <c r="C5998" s="7" t="n">
        <v>85714</v>
      </c>
      <c r="D5998" s="7" t="n">
        <v>52339</v>
      </c>
      <c r="E5998" s="8" t="n">
        <v>38614</v>
      </c>
      <c r="F5998" s="7" t="n">
        <v>5</v>
      </c>
      <c r="G5998" s="7" t="inlineStr">
        <is>
          <t>Kudos to Grandma Lena!  These cookies are fantastic.  I used margarine instead of shortening because I never buy shortening, so I think my cookies were a little flatter than they would have been otherwise, but they are still *very* very good.  Other than that I followed the recipe exactly.  Love the cherries, nice addition. I sprinkled my second batch with sugar before baking.  Cooked in 10 minutes and i got about 28 cookies or so.  Hard to tell as I was eating them right off the pan, lol.  Will be a great spicy addition to the christmas baking trays.  The dough is quite soft, easy to just drop onto the pans by tsp.</t>
        </is>
      </c>
    </row>
    <row r="5999">
      <c r="A5999" s="7" t="n">
        <v>64070</v>
      </c>
      <c r="B5999" s="7" t="n">
        <v>412007</v>
      </c>
      <c r="C5999" s="7" t="n">
        <v>555701</v>
      </c>
      <c r="D5999" s="7" t="n">
        <v>199315</v>
      </c>
      <c r="E5999" s="8" t="n">
        <v>39489</v>
      </c>
      <c r="F5999" s="7" t="n">
        <v>5</v>
      </c>
      <c r="G5999" s="7" t="inlineStr">
        <is>
          <t>Thanks for a great soup recipe.  We are in the deep freeze here in MO and this hit the spot.  I did add another can of broth, as my soup was very thick.  I also added some celery and I used frozen mustard greens instead of spinach.  I used white cannelli beans.  Thanks again!</t>
        </is>
      </c>
    </row>
    <row r="6000">
      <c r="A6000" s="7" t="n">
        <v>94041</v>
      </c>
      <c r="B6000" s="7" t="n">
        <v>286051</v>
      </c>
      <c r="C6000" s="7" t="n">
        <v>204118</v>
      </c>
      <c r="D6000" s="7" t="n">
        <v>79283</v>
      </c>
      <c r="E6000" s="8" t="n">
        <v>38468</v>
      </c>
      <c r="F6000" s="7" t="n">
        <v>5</v>
      </c>
      <c r="G6000" s="7" t="inlineStr">
        <is>
          <t>This recipe was excellent although it was a little salty for what we are use to (but not too salty to enjoy).  I even substituted low-sodium soy sauce and low-sodioum broth.  I also increased the broth to 1/2 cup to make more sauce.</t>
        </is>
      </c>
    </row>
    <row r="6001">
      <c r="A6001" s="7" t="n">
        <v>100329</v>
      </c>
      <c r="B6001" s="7" t="n">
        <v>451344</v>
      </c>
      <c r="C6001" s="7" t="n">
        <v>123871</v>
      </c>
      <c r="D6001" s="7" t="n">
        <v>66068</v>
      </c>
      <c r="E6001" s="8" t="n">
        <v>38672</v>
      </c>
      <c r="F6001" s="7" t="n">
        <v>5</v>
      </c>
      <c r="G6001" s="7" t="inlineStr">
        <is>
          <t>These were very good cookies. I found that mine needed about 10 min to be soft. I halved the recipe and got about 40 cookies. Thank you for a good cookie recipe.</t>
        </is>
      </c>
    </row>
    <row r="6002">
      <c r="A6002" s="7" t="n">
        <v>72704</v>
      </c>
      <c r="B6002" s="7" t="n">
        <v>942605</v>
      </c>
      <c r="C6002" s="7" t="n">
        <v>89831</v>
      </c>
      <c r="D6002" s="7" t="n">
        <v>171113</v>
      </c>
      <c r="E6002" s="8" t="n">
        <v>38876</v>
      </c>
      <c r="F6002" s="7" t="n">
        <v>5</v>
      </c>
      <c r="G6002" s="7" t="inlineStr">
        <is>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is>
      </c>
    </row>
    <row r="6003">
      <c r="A6003" s="7" t="n">
        <v>103402</v>
      </c>
      <c r="B6003" s="7" t="n">
        <v>840092</v>
      </c>
      <c r="C6003" s="7" t="n">
        <v>146310</v>
      </c>
      <c r="D6003" s="7" t="n">
        <v>54411</v>
      </c>
      <c r="E6003" s="8" t="n">
        <v>38390</v>
      </c>
      <c r="F6003" s="7" t="n">
        <v>5</v>
      </c>
      <c r="G6003" s="7" t="inlineStr">
        <is>
          <t>I like how easy, yet tasty and versatile this is.</t>
        </is>
      </c>
    </row>
    <row r="6004">
      <c r="A6004" s="7" t="n">
        <v>97912</v>
      </c>
      <c r="B6004" s="7" t="n">
        <v>1024303</v>
      </c>
      <c r="C6004" s="7" t="n">
        <v>183964</v>
      </c>
      <c r="D6004" s="7" t="n">
        <v>111777</v>
      </c>
      <c r="E6004" s="8" t="n">
        <v>39781</v>
      </c>
      <c r="F6004" s="7" t="n">
        <v>5</v>
      </c>
      <c r="G6004" s="7" t="inlineStr">
        <is>
          <t>This is the best pot pie recipe I have ever had or dreamed I could ever make myself!!!. Wow. Bloody delicious! I used left over Thanksgiving turkey meat and the pan drippings (about 1 cup of fat free stock using my new fancy gravy/stock fat separator and a can of purchased chickstock)</t>
        </is>
      </c>
    </row>
    <row r="6005">
      <c r="A6005" s="7" t="n">
        <v>90780</v>
      </c>
      <c r="B6005" s="7" t="n">
        <v>707947</v>
      </c>
      <c r="C6005" s="7" t="n">
        <v>419893</v>
      </c>
      <c r="D6005" s="7" t="n">
        <v>62055</v>
      </c>
      <c r="E6005" s="8" t="n">
        <v>41611</v>
      </c>
      <c r="F6005" s="7" t="n">
        <v>1</v>
      </c>
      <c r="G6005" s="7" t="inlineStr">
        <is>
          <t>Did not turn out very CHOCOLATY to me.&amp;lt;br/&amp;gt;Needs more chocolate and less flour.</t>
        </is>
      </c>
    </row>
    <row r="6006">
      <c r="A6006" s="7" t="n">
        <v>95562</v>
      </c>
      <c r="B6006" s="7" t="n">
        <v>270339</v>
      </c>
      <c r="C6006" s="7" t="n">
        <v>653438</v>
      </c>
      <c r="D6006" s="7" t="n">
        <v>310216</v>
      </c>
      <c r="E6006" s="8" t="n">
        <v>41594</v>
      </c>
      <c r="F6006" s="7" t="n">
        <v>5</v>
      </c>
      <c r="G6006" s="7" t="inlineStr">
        <is>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is>
      </c>
    </row>
    <row r="6007">
      <c r="A6007" s="7" t="n">
        <v>94866</v>
      </c>
      <c r="B6007" s="7" t="n">
        <v>821212</v>
      </c>
      <c r="C6007" s="7" t="n">
        <v>267344</v>
      </c>
      <c r="D6007" s="7" t="n">
        <v>21224</v>
      </c>
      <c r="E6007" s="8" t="n">
        <v>38765</v>
      </c>
      <c r="F6007" s="7" t="n">
        <v>5</v>
      </c>
      <c r="G6007" s="7" t="inlineStr">
        <is>
          <t xml:space="preserve">Very tasty recipe.  I used 6 chicken thighs and covered it with aluminum foil for 1.5 hrs and it turned out very nicely.  I didn't need to double the sauce for that amount though.  </t>
        </is>
      </c>
    </row>
    <row r="6008">
      <c r="A6008" s="7" t="n">
        <v>41089</v>
      </c>
      <c r="B6008" s="7" t="n">
        <v>343062</v>
      </c>
      <c r="C6008" s="7" t="n">
        <v>1613236</v>
      </c>
      <c r="D6008" s="7" t="n">
        <v>201700</v>
      </c>
      <c r="E6008" s="8" t="n">
        <v>40972</v>
      </c>
      <c r="F6008" s="7" t="n">
        <v>5</v>
      </c>
      <c r="G6008" s="7" t="inlineStr">
        <is>
          <t>Absolutely scrumptious recipe- this is now in my perma recipe rotation. I like to roast it a bit longer, till the edges are really caramelized and crispy. Also tried once with some broccoli florets thrown in and it worked well, though the cauliflower definitely the best of the two when done this way.&lt;br/&gt;&lt;br/&gt;Thank you for a deeeeeeeeeelish recipe! This would turn even the staunchest cauliflower-hater into a raving cauli-lover. (I can also see it being a huge hit at potlucks and parties, and a very affordable dish to contribute!)</t>
        </is>
      </c>
    </row>
    <row r="6009">
      <c r="A6009" s="7" t="n">
        <v>80608</v>
      </c>
      <c r="B6009" s="7" t="n">
        <v>137840</v>
      </c>
      <c r="C6009" s="7" t="n">
        <v>174319</v>
      </c>
      <c r="D6009" s="7" t="n">
        <v>62856</v>
      </c>
      <c r="E6009" s="8" t="n">
        <v>38394</v>
      </c>
      <c r="F6009" s="7" t="n">
        <v>5</v>
      </c>
      <c r="G6009" s="7" t="inlineStr">
        <is>
          <t xml:space="preserve">My family loved it, easy and fast.  I served it over rice with frozen eggrolls.  I have passed this recipe around to friends and they have all enjoyed it.  </t>
        </is>
      </c>
    </row>
    <row r="6010">
      <c r="A6010" t="n">
        <v>38215</v>
      </c>
      <c r="B6010" t="n">
        <v>938389</v>
      </c>
      <c r="C6010" t="n">
        <v>36128</v>
      </c>
      <c r="D6010" t="n">
        <v>82102</v>
      </c>
      <c r="E6010" s="1" t="n">
        <v>40192</v>
      </c>
      <c r="F6010" t="n">
        <v>5</v>
      </c>
      <c r="G6010" t="inlineStr">
        <is>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is>
      </c>
    </row>
    <row r="6011">
      <c r="A6011" s="7" t="n">
        <v>69713</v>
      </c>
      <c r="B6011" s="7" t="n">
        <v>1049467</v>
      </c>
      <c r="C6011" s="7" t="n">
        <v>424680</v>
      </c>
      <c r="D6011" s="7" t="n">
        <v>412938</v>
      </c>
      <c r="E6011" s="8" t="n">
        <v>40234</v>
      </c>
      <c r="F6011" s="7" t="n">
        <v>5</v>
      </c>
      <c r="G6011" s="7" t="inlineStr">
        <is>
          <t>I also cut this recipe by 1/3 &amp; made it with a nutty, whole grain bread, which combined nicely with the cinnamon &amp; orange to produce a very satisfying breakfast! Thanks for sharing this great keeper of a recipe! [Tagged &amp; made in Please Review My Recipe]</t>
        </is>
      </c>
    </row>
    <row r="6012">
      <c r="A6012" s="7" t="n">
        <v>45938</v>
      </c>
      <c r="B6012" s="7" t="n">
        <v>164414</v>
      </c>
      <c r="C6012" s="7" t="n">
        <v>1900910</v>
      </c>
      <c r="D6012" s="7" t="n">
        <v>253883</v>
      </c>
      <c r="E6012" s="8" t="n">
        <v>40666</v>
      </c>
      <c r="F6012" s="7" t="n">
        <v>5</v>
      </c>
      <c r="G6012" s="7" t="inlineStr">
        <is>
          <t>We do crawfish boils over here often. I was looking for something different for leftovers other than etoufee and gumbo. Decided to give this a try and I am glad I did. We love our cajun food over here and everyone was impressed. I would recommend this recipe.</t>
        </is>
      </c>
    </row>
    <row r="6013">
      <c r="A6013" s="7" t="n">
        <v>110559</v>
      </c>
      <c r="B6013" s="7" t="n">
        <v>668926</v>
      </c>
      <c r="C6013" s="7" t="n">
        <v>143253</v>
      </c>
      <c r="D6013" s="7" t="n">
        <v>131206</v>
      </c>
      <c r="E6013" s="8" t="n">
        <v>40431</v>
      </c>
      <c r="F6013" s="7" t="n">
        <v>5</v>
      </c>
      <c r="G6013" s="7" t="inlineStr">
        <is>
          <t>These are amazing muffins.  I like that they don't have a ton of fat in them, and that they rely on the apple for flavour instead of alot of sugar.  They are really light and not heavy, not the 'lard muffins' that seem to be popular.  Can't wait for hubby to get home so I can have another one.</t>
        </is>
      </c>
    </row>
    <row r="6014">
      <c r="A6014" s="7" t="n">
        <v>20526</v>
      </c>
      <c r="B6014" s="7" t="n">
        <v>341696</v>
      </c>
      <c r="C6014" s="7" t="n">
        <v>197023</v>
      </c>
      <c r="D6014" s="7" t="n">
        <v>145225</v>
      </c>
      <c r="E6014" s="8" t="n">
        <v>38727</v>
      </c>
      <c r="F6014" s="7" t="n">
        <v>5</v>
      </c>
      <c r="G6014" s="7" t="inlineStr">
        <is>
          <t>SO very quick and easy to make and absolutely delicious!  I was making these for four, so I halved the recipe.  Well, it was a generous half quantity I made!  I tossed the potato spears with the Italian dressing and minced garlic (4 cloves) and otherwise followed the recipe exactly.  Just loved the combination of sweet potatoes and white potatoes, and will be making these again.  We ate them with quiche and salad.  Quite understandably, everyone loved them.  Thanks for sharing!</t>
        </is>
      </c>
    </row>
    <row r="6015">
      <c r="A6015" s="7" t="n">
        <v>46347</v>
      </c>
      <c r="B6015" s="7" t="n">
        <v>45132</v>
      </c>
      <c r="C6015" s="7" t="n">
        <v>43083</v>
      </c>
      <c r="D6015" s="7" t="n">
        <v>54400</v>
      </c>
      <c r="E6015" s="8" t="n">
        <v>37998</v>
      </c>
      <c r="F6015" s="7" t="n">
        <v>4</v>
      </c>
      <c r="G6015" s="7" t="inlineStr">
        <is>
          <t>Made this for the Bev Cook-A-Thon. Everyone enjoyed it! Tastes like my mom's recipe. Liked the addition of soy sauce. Thanks for an easy side dish!</t>
        </is>
      </c>
    </row>
    <row r="6016">
      <c r="A6016" s="7" t="n">
        <v>96268</v>
      </c>
      <c r="B6016" s="7" t="n">
        <v>740363</v>
      </c>
      <c r="C6016" s="7" t="n">
        <v>709527</v>
      </c>
      <c r="D6016" s="7" t="n">
        <v>296597</v>
      </c>
      <c r="E6016" s="8" t="n">
        <v>39543</v>
      </c>
      <c r="F6016" s="7" t="n">
        <v>5</v>
      </c>
      <c r="G6016" s="7" t="inlineStr">
        <is>
          <t>This looked so good I had to make it for lunch today, and I sure am glad I did.  It was a sensational soup.  Creamy and just the right amount of everything. I will be having this often, as it is easy to make and quick to the table, which is especially good when I wait till I'm hungry to decide what I want to make.  Thanks Paula!</t>
        </is>
      </c>
    </row>
    <row r="6017" ht="180" customHeight="1">
      <c r="A6017" s="7" t="n">
        <v>35856</v>
      </c>
      <c r="B6017" s="7" t="n">
        <v>277278</v>
      </c>
      <c r="C6017" s="7" t="n">
        <v>96177</v>
      </c>
      <c r="D6017" s="7" t="n">
        <v>39926</v>
      </c>
      <c r="E6017" s="8" t="n">
        <v>38713</v>
      </c>
      <c r="F6017" s="7" t="n">
        <v>2</v>
      </c>
      <c r="G6017" s="9" t="inlineStr">
        <is>
          <t xml:space="preserve">It was a little too tangy for us. I will try it again with less salad dressing mix. _x000D_
_x000D_
</t>
        </is>
      </c>
    </row>
    <row r="6018">
      <c r="A6018" s="7" t="n">
        <v>18198</v>
      </c>
      <c r="B6018" s="7" t="n">
        <v>386110</v>
      </c>
      <c r="C6018" s="7" t="n">
        <v>1527940</v>
      </c>
      <c r="D6018" s="7" t="n">
        <v>165500</v>
      </c>
      <c r="E6018" s="8" t="n">
        <v>40237</v>
      </c>
      <c r="F6018" s="7" t="n">
        <v>5</v>
      </c>
      <c r="G6018" s="7" t="inlineStr">
        <is>
          <t>Thanks Wildflour! This is a great recipe. Quick and easy.</t>
        </is>
      </c>
    </row>
    <row r="6019">
      <c r="A6019" s="7" t="n">
        <v>72880</v>
      </c>
      <c r="B6019" s="7" t="n">
        <v>550566</v>
      </c>
      <c r="C6019" s="7" t="n">
        <v>683464</v>
      </c>
      <c r="D6019" s="7" t="n">
        <v>336918</v>
      </c>
      <c r="E6019" s="8" t="n">
        <v>40169</v>
      </c>
      <c r="F6019" s="7" t="n">
        <v>5</v>
      </c>
      <c r="G6019" s="7" t="inlineStr">
        <is>
          <t>These cookies are such nice treat at Christmastime.  I rarely make cookies with real butter because it costs so much more than margarine, but it really does make a difference in the flavor.  These cookies always disappear fast from my  home every year.</t>
        </is>
      </c>
    </row>
    <row r="6020">
      <c r="A6020" s="7" t="n">
        <v>171</v>
      </c>
      <c r="B6020" s="7" t="n">
        <v>648566</v>
      </c>
      <c r="C6020" s="7" t="n">
        <v>415998</v>
      </c>
      <c r="D6020" s="7" t="n">
        <v>31235</v>
      </c>
      <c r="E6020" s="8" t="n">
        <v>41267</v>
      </c>
      <c r="F6020" s="7" t="n">
        <v>5</v>
      </c>
      <c r="G6020" s="7" t="inlineStr">
        <is>
          <t>I just made this and it is awesome stuff! I used 4 cups of regular oats and 4 cups of quick oats as someone else had suggested and got lots of nuggets. I also added some cinnamon, coconut, chopped dried apricots, dried cranberries and raisins after it was cooled ( about 3/4 cup of each). I will definitely be making this again.. Thanks so much for posting this recipe!</t>
        </is>
      </c>
    </row>
    <row r="6021">
      <c r="A6021" s="7" t="n">
        <v>6919</v>
      </c>
      <c r="B6021" s="7" t="n">
        <v>382260</v>
      </c>
      <c r="C6021" s="7" t="n">
        <v>831580</v>
      </c>
      <c r="D6021" s="7" t="n">
        <v>136983</v>
      </c>
      <c r="E6021" s="8" t="n">
        <v>40605</v>
      </c>
      <c r="F6021" s="7" t="n">
        <v>4</v>
      </c>
      <c r="G6021" s="7" t="inlineStr">
        <is>
          <t>I thought these were pretty good. I made them exactly as written, using margarine instead of whipped butter. I'm not very picky about my scrambled eggs, and have tried a few recipes, never having a bad experience. There's another recipe I've made a few times that uses a little milk, and I was a little skeptical that this recipe didn't. It might be subjective, but I think these eggs turned out a little "solider" than the other recipe, and maybe even cooked a bit faster - it seemed like it was ready in just a couple of minutes. The eggs might have been a tad on the blander side, not having milk in them, but they were still good. Like I said, I'm not picky about scrambled eggs, but I had a good experience with this recipe, and can easily recommend it.</t>
        </is>
      </c>
    </row>
    <row r="6022">
      <c r="A6022" s="7" t="n">
        <v>44601</v>
      </c>
      <c r="B6022" s="7" t="n">
        <v>57555</v>
      </c>
      <c r="C6022" s="7" t="n">
        <v>63232</v>
      </c>
      <c r="D6022" s="7" t="n">
        <v>205758</v>
      </c>
      <c r="E6022" s="8" t="n">
        <v>40156</v>
      </c>
      <c r="F6022" s="7" t="n">
        <v>5</v>
      </c>
      <c r="G6022" s="7" t="inlineStr">
        <is>
          <t>One of my favorite sandwiches.  I make it all the time.  I've used all kinds of cheese: gouda, cheddar, provolone, muenster, and all kinds of chutneys (i usually make my own).  Obviously this is a very adaptable recipe and you can't go wrong.  Thanks for sharing, twissis!</t>
        </is>
      </c>
    </row>
    <row r="6023">
      <c r="A6023" s="7" t="n">
        <v>87615</v>
      </c>
      <c r="B6023" s="7" t="n">
        <v>1127260</v>
      </c>
      <c r="C6023" s="7" t="n">
        <v>2000520043</v>
      </c>
      <c r="D6023" s="7" t="n">
        <v>347323</v>
      </c>
      <c r="E6023" s="8" t="n">
        <v>42281</v>
      </c>
      <c r="F6023" s="7" t="n">
        <v>5</v>
      </c>
      <c r="G6023" s="7" t="inlineStr">
        <is>
          <t>The best recipe!!</t>
        </is>
      </c>
    </row>
    <row r="6024">
      <c r="A6024" t="n">
        <v>53397</v>
      </c>
      <c r="B6024" t="n">
        <v>445143</v>
      </c>
      <c r="C6024" t="n">
        <v>316194</v>
      </c>
      <c r="D6024" t="n">
        <v>40061</v>
      </c>
      <c r="E6024" s="1" t="n">
        <v>41854</v>
      </c>
      <c r="F6024" t="n">
        <v>4</v>
      </c>
      <c r="G6024" t="inlineStr">
        <is>
          <t>I followed the advice of other reviewers and I added a little brown sugar to balance the pepper. I also did not coat the chicken. I used 2 tsp. cornstarch to thicken the sauce instead. The resulting dish was very good served over rice. Thank you, Derf, for a lovely recipe.</t>
        </is>
      </c>
    </row>
    <row r="6025">
      <c r="A6025" s="7" t="n">
        <v>102642</v>
      </c>
      <c r="B6025" s="7" t="n">
        <v>762312</v>
      </c>
      <c r="C6025" s="7" t="n">
        <v>62494</v>
      </c>
      <c r="D6025" s="7" t="n">
        <v>44415</v>
      </c>
      <c r="E6025" s="8" t="n">
        <v>37714</v>
      </c>
      <c r="F6025" s="7" t="n">
        <v>3</v>
      </c>
      <c r="G6025" s="7" t="inlineStr">
        <is>
          <t>the recipe looked delicious but it had a few flaws in my opinion.  I used regular bagged wheat bread and maybe I should have used different, I don't know.  It was very "bready" tasting.  The sauce was excellent, i could almost eat  just that with a spoon.  the french toast took a lot longer to cook than the specified time since all the bread was just piled upon each other. I wasn't too crazy about it though and with that many calories maybe that's a good thing.  I made it for my husband though and he liked it, so maybe it's just me.</t>
        </is>
      </c>
    </row>
    <row r="6026">
      <c r="A6026" s="7" t="n">
        <v>60900</v>
      </c>
      <c r="B6026" s="7" t="n">
        <v>55922</v>
      </c>
      <c r="C6026" s="7" t="n">
        <v>234222</v>
      </c>
      <c r="D6026" s="7" t="n">
        <v>73450</v>
      </c>
      <c r="E6026" s="8" t="n">
        <v>38674</v>
      </c>
      <c r="F6026" s="7" t="n">
        <v>5</v>
      </c>
      <c r="G6026" s="7" t="inlineStr">
        <is>
          <t xml:space="preserve">YUM!  This was a SUPERB dish and so easy to prepare.  I didn't think I had the energy to prepare a great meal this evening and, viola, this was easy enough for me to handle!  I put in a heaping 1/2 teaspoon of red pepper flakes and must cut down next time - my mouth is on fire!  :-)  Will make again!  Thanks for sharing! </t>
        </is>
      </c>
    </row>
    <row r="6027">
      <c r="A6027" s="7" t="n">
        <v>2850</v>
      </c>
      <c r="B6027" s="7" t="n">
        <v>210635</v>
      </c>
      <c r="C6027" s="7" t="n">
        <v>2002053984</v>
      </c>
      <c r="D6027" s="7" t="n">
        <v>88753</v>
      </c>
      <c r="E6027" s="8" t="n">
        <v>43176</v>
      </c>
      <c r="F6027" s="7" t="n">
        <v>5</v>
      </c>
      <c r="G6027" s="7" t="inlineStr">
        <is>
          <t>This is soooooo good! Tastes and smells like real meatloaf. My husband and kids, who are not vegetarian, LOVE this. I was very skeptical when I first made it because the ingredients sound too funky and put together I couldn’t picture what it would be like, but it is delicious!! The walnuts give it a nice texture. I’ve tweaked it by adding fresh parsley and it comes out great too. You don’t need it but it does add freshness. It’s def a family fave!!</t>
        </is>
      </c>
    </row>
    <row r="6028">
      <c r="A6028" s="7" t="n">
        <v>10501</v>
      </c>
      <c r="B6028" s="7" t="n">
        <v>642272</v>
      </c>
      <c r="C6028" s="7" t="n">
        <v>365429</v>
      </c>
      <c r="D6028" s="7" t="n">
        <v>83201</v>
      </c>
      <c r="E6028" s="8" t="n">
        <v>39417</v>
      </c>
      <c r="F6028" s="7" t="n">
        <v>2</v>
      </c>
      <c r="G6028" s="7" t="inlineStr">
        <is>
          <t>These tasted fine but as soon as the bars cooled, they turned into cement! I don't know what the problem was, except that they were too hard to bite and we had to throw them out. :(</t>
        </is>
      </c>
    </row>
    <row r="6029">
      <c r="A6029" s="7" t="n">
        <v>46393</v>
      </c>
      <c r="B6029" s="7" t="n">
        <v>604186</v>
      </c>
      <c r="C6029" s="7" t="n">
        <v>2001970000</v>
      </c>
      <c r="D6029" s="7" t="n">
        <v>523538</v>
      </c>
      <c r="E6029" s="8" t="n">
        <v>43134</v>
      </c>
      <c r="F6029" s="7" t="n">
        <v>0</v>
      </c>
      <c r="G6029" s="7" t="inlineStr">
        <is>
          <t>I had to try this recipe as soon as I saw it. I just made the basic bacon, cheddar, potato recipe. We loved it. I will make this for special occasions, holidays. Can't get enough of this and I can now add more to this recipe to our liking.</t>
        </is>
      </c>
    </row>
    <row r="6030">
      <c r="A6030" s="7" t="n">
        <v>114788</v>
      </c>
      <c r="B6030" s="7" t="n">
        <v>24221</v>
      </c>
      <c r="C6030" s="7" t="n">
        <v>395981</v>
      </c>
      <c r="D6030" s="7" t="n">
        <v>132351</v>
      </c>
      <c r="E6030" s="8" t="n">
        <v>39856</v>
      </c>
      <c r="F6030" s="7" t="n">
        <v>4</v>
      </c>
      <c r="G6030" s="7" t="inlineStr">
        <is>
          <t>I was looking for a side dish to some catfish I had and this worked perfectly.  I also cut the cream cheese back to 6 oz and if I make it again I might cut it back even more because it is very prevelent in the sauce.  Besides that it was very good!</t>
        </is>
      </c>
    </row>
    <row r="6031">
      <c r="A6031" s="7" t="n">
        <v>13670</v>
      </c>
      <c r="B6031" s="7" t="n">
        <v>246642</v>
      </c>
      <c r="C6031" s="7" t="n">
        <v>1240332</v>
      </c>
      <c r="D6031" s="7" t="n">
        <v>115110</v>
      </c>
      <c r="E6031" s="8" t="n">
        <v>40407</v>
      </c>
      <c r="F6031" s="7" t="n">
        <v>4</v>
      </c>
      <c r="G6031" s="7" t="inlineStr">
        <is>
          <t>Really nice and very filling dish - simple to make, and minimal dishes to wash afterwards which is a plus point!  I'm a vegetarian so I left out the bacon and substituted some onion instead.  I used a glass/pyrex dish and the pie just slid out, no stick-age :-)   I agree with some of the other reviewers that some salsa on the side would finish this dish off nicely.  Thanks for sharing!</t>
        </is>
      </c>
    </row>
    <row r="6032">
      <c r="A6032" s="7" t="n">
        <v>105980</v>
      </c>
      <c r="B6032" s="7" t="n">
        <v>761195</v>
      </c>
      <c r="C6032" s="7" t="n">
        <v>1366254</v>
      </c>
      <c r="D6032" s="7" t="n">
        <v>220674</v>
      </c>
      <c r="E6032" s="8" t="n">
        <v>40294</v>
      </c>
      <c r="F6032" s="7" t="n">
        <v>5</v>
      </c>
      <c r="G6032" s="7" t="inlineStr">
        <is>
          <t>huge hit with the little kids!! Will make agian</t>
        </is>
      </c>
    </row>
    <row r="6033">
      <c r="A6033" s="7" t="n">
        <v>106094</v>
      </c>
      <c r="B6033" s="7" t="n">
        <v>790858</v>
      </c>
      <c r="C6033" s="7" t="n">
        <v>315565</v>
      </c>
      <c r="D6033" s="7" t="n">
        <v>73197</v>
      </c>
      <c r="E6033" s="8" t="n">
        <v>40698</v>
      </c>
      <c r="F6033" s="7" t="n">
        <v>4</v>
      </c>
      <c r="G6033" s="7" t="inlineStr">
        <is>
          <t>My result was good and yummy but was like a cake texture wise. It was not a fudgy brownie but was nevertheless delicious. I cut back a bit on the sugar and used dark chocolate chunks. Made for ZWT 7.</t>
        </is>
      </c>
    </row>
    <row r="6034">
      <c r="A6034" s="7" t="n">
        <v>74567</v>
      </c>
      <c r="B6034" s="7" t="n">
        <v>711222</v>
      </c>
      <c r="C6034" s="7" t="n">
        <v>168771</v>
      </c>
      <c r="D6034" s="7" t="n">
        <v>393022</v>
      </c>
      <c r="E6034" s="8" t="n">
        <v>41677</v>
      </c>
      <c r="F6034" s="7" t="n">
        <v>5</v>
      </c>
      <c r="G6034" s="7" t="inlineStr">
        <is>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is>
      </c>
    </row>
    <row r="6035">
      <c r="A6035" s="7" t="n">
        <v>102854</v>
      </c>
      <c r="B6035" s="7" t="n">
        <v>711027</v>
      </c>
      <c r="C6035" s="7" t="n">
        <v>1922468</v>
      </c>
      <c r="D6035" s="7" t="n">
        <v>131090</v>
      </c>
      <c r="E6035" s="8" t="n">
        <v>40695</v>
      </c>
      <c r="F6035" s="7" t="n">
        <v>4</v>
      </c>
      <c r="G6035" s="7" t="inlineStr">
        <is>
          <t>I live with a South American, who assures me that the meat mixture that this recipe uses for the empanadas is very close to authentic, but that the use of biscuits is NOT.  They were very tasty, and I'll make them again, but the puffy biscuit exterior overpowered the delicious filling.  I made a small batch using egg roll wrappers, and they turned out very crispy, and more delicious than those made with frozen biscuit dough.  I know that I can find empanada wrappers in specialty grocers, so that's what I'll use next time.</t>
        </is>
      </c>
    </row>
    <row r="6036">
      <c r="A6036" s="7" t="n">
        <v>117260</v>
      </c>
      <c r="B6036" s="7" t="n">
        <v>1087057</v>
      </c>
      <c r="C6036" s="7" t="n">
        <v>37456</v>
      </c>
      <c r="D6036" s="7" t="n">
        <v>111100</v>
      </c>
      <c r="E6036" s="8" t="n">
        <v>38813</v>
      </c>
      <c r="F6036" s="7" t="n">
        <v>5</v>
      </c>
      <c r="G6036" s="7" t="inlineStr">
        <is>
          <t>Thank you for such a tasty recipe. DH proclaimed it the BBQ recipe for pork chops from now on. I didn't use the peaches as my stomach doesn't like fruit with meat. It was absolutely delicious. We're looking forward to the next time.</t>
        </is>
      </c>
    </row>
    <row r="6037">
      <c r="A6037" s="7" t="n">
        <v>116308</v>
      </c>
      <c r="B6037" s="7" t="n">
        <v>813197</v>
      </c>
      <c r="C6037" s="7" t="n">
        <v>767067</v>
      </c>
      <c r="D6037" s="7" t="n">
        <v>72180</v>
      </c>
      <c r="E6037" s="8" t="n">
        <v>39495</v>
      </c>
      <c r="F6037" s="7" t="n">
        <v>5</v>
      </c>
      <c r="G6037" s="7" t="inlineStr">
        <is>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is>
      </c>
    </row>
    <row r="6038">
      <c r="A6038" s="7" t="n">
        <v>39579</v>
      </c>
      <c r="B6038" s="7" t="n">
        <v>1105051</v>
      </c>
      <c r="C6038" s="7" t="n">
        <v>602448</v>
      </c>
      <c r="D6038" s="7" t="n">
        <v>303665</v>
      </c>
      <c r="E6038" s="8" t="n">
        <v>39598</v>
      </c>
      <c r="F6038" s="7" t="n">
        <v>4</v>
      </c>
      <c r="G6038" s="7" t="inlineStr">
        <is>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is>
      </c>
    </row>
    <row r="6039">
      <c r="A6039" s="7" t="n">
        <v>18979</v>
      </c>
      <c r="B6039" s="7" t="n">
        <v>472833</v>
      </c>
      <c r="C6039" s="7" t="n">
        <v>80903</v>
      </c>
      <c r="D6039" s="7" t="n">
        <v>133124</v>
      </c>
      <c r="E6039" s="8" t="n">
        <v>39216</v>
      </c>
      <c r="F6039" s="7" t="n">
        <v>5</v>
      </c>
      <c r="G6039" s="7" t="inlineStr">
        <is>
          <t>Wicked dish.  You saved us when my bro-in-law bought some Daikon by accident. (labled wrong in the grocery)We couldn`t find Mirin in our area so we subbed in some sherry.  We had planned to make enough for dinner, packed lunch the next day, and leftovers.  No such luck.  Peanut butter sandwiches the next day; it was that good!  Thanks</t>
        </is>
      </c>
    </row>
    <row r="6040">
      <c r="A6040" s="7" t="n">
        <v>79042</v>
      </c>
      <c r="B6040" s="7" t="n">
        <v>1091720</v>
      </c>
      <c r="C6040" s="7" t="n">
        <v>222819</v>
      </c>
      <c r="D6040" s="7" t="n">
        <v>62127</v>
      </c>
      <c r="E6040" s="8" t="n">
        <v>38779</v>
      </c>
      <c r="F6040" s="7" t="n">
        <v>5</v>
      </c>
      <c r="G6040" s="7" t="inlineStr">
        <is>
          <t>This is a easy coq au vin recipe and very good. I used boneless breast and thigh filets but would recommend using chicken on the bone for tenderness.</t>
        </is>
      </c>
    </row>
    <row r="6041">
      <c r="A6041" t="n">
        <v>112860</v>
      </c>
      <c r="B6041" t="n">
        <v>425638</v>
      </c>
      <c r="C6041" t="n">
        <v>171063</v>
      </c>
      <c r="D6041" t="n">
        <v>140034</v>
      </c>
      <c r="E6041" s="1" t="n">
        <v>39468</v>
      </c>
      <c r="F6041" t="n">
        <v>5</v>
      </c>
      <c r="G6041" t="inlineStr">
        <is>
          <t>This is such an easy and tasty way to make garlic bread and is a family favorite in our house.  My son likes to eat it by itself without the lasagna or spaghetti!  Thank you for sharing.</t>
        </is>
      </c>
    </row>
    <row r="6042">
      <c r="A6042" s="7" t="n">
        <v>122503</v>
      </c>
      <c r="B6042" s="7" t="n">
        <v>442124</v>
      </c>
      <c r="C6042" s="7" t="n">
        <v>141293</v>
      </c>
      <c r="D6042" s="7" t="n">
        <v>242570</v>
      </c>
      <c r="E6042" s="8" t="n">
        <v>39344</v>
      </c>
      <c r="F6042" s="7" t="n">
        <v>5</v>
      </c>
      <c r="G6042" s="7" t="inlineStr">
        <is>
          <t>This is a beautiful and delicious meal.  I followed the directions for 2 using red bell peppers and fresh green beans.  The prosciutto, pine nuts and lemon are important ingredients and must not be left out.  Just an outstanding dish, served with basmati rice.</t>
        </is>
      </c>
    </row>
    <row r="6043">
      <c r="A6043" s="7" t="n">
        <v>59205</v>
      </c>
      <c r="B6043" s="7" t="n">
        <v>697119</v>
      </c>
      <c r="C6043" s="7" t="n">
        <v>312577</v>
      </c>
      <c r="D6043" s="7" t="n">
        <v>79462</v>
      </c>
      <c r="E6043" s="8" t="n">
        <v>39657</v>
      </c>
      <c r="F6043" s="7" t="n">
        <v>5</v>
      </c>
      <c r="G6043" s="7" t="inlineStr">
        <is>
          <t>My BF really liked this dish.  I think it was easy to make and thought it was tasty and healthy!  I added some fresh ginger and basil.  I had this dish on my list of recipes to try for a long time and it was worth the wait.  Great recipe for a beginner cook or more advanced cook.  Polly, 10 stars!!!</t>
        </is>
      </c>
    </row>
    <row r="6044">
      <c r="A6044" s="7" t="n">
        <v>65489</v>
      </c>
      <c r="B6044" s="7" t="n">
        <v>976208</v>
      </c>
      <c r="C6044" s="7" t="n">
        <v>124416</v>
      </c>
      <c r="D6044" s="7" t="n">
        <v>278966</v>
      </c>
      <c r="E6044" s="8" t="n">
        <v>40599</v>
      </c>
      <c r="F6044" s="7" t="n">
        <v>0</v>
      </c>
      <c r="G6044" s="7" t="inlineStr">
        <is>
          <t>I'm not rating this recipe because I'm sure I must have done something wrong!  Maybe it was the gorgonzola I had, but it just didn't taste good.  Barb, this is the first of your recipes that hasn 't worked out for me.  And it sounded sooo good.  Maybe I'll try it again. . . Janet</t>
        </is>
      </c>
    </row>
    <row r="6045">
      <c r="A6045" s="7" t="n">
        <v>59856</v>
      </c>
      <c r="B6045" s="7" t="n">
        <v>490596</v>
      </c>
      <c r="C6045" s="7" t="n">
        <v>643143</v>
      </c>
      <c r="D6045" s="7" t="n">
        <v>42972</v>
      </c>
      <c r="E6045" s="8" t="n">
        <v>39526</v>
      </c>
      <c r="F6045" s="7" t="n">
        <v>5</v>
      </c>
      <c r="G6045" s="7" t="inlineStr">
        <is>
          <t>Delicious and so easy to make!</t>
        </is>
      </c>
    </row>
    <row r="6046" ht="409.5" customHeight="1">
      <c r="A6046" s="7" t="n">
        <v>24950</v>
      </c>
      <c r="B6046" s="7" t="n">
        <v>321491</v>
      </c>
      <c r="C6046" s="7" t="n">
        <v>416807</v>
      </c>
      <c r="D6046" s="7" t="n">
        <v>67134</v>
      </c>
      <c r="E6046" s="8" t="n">
        <v>39142</v>
      </c>
      <c r="F6046" s="7" t="n">
        <v>5</v>
      </c>
      <c r="G6046" s="9" t="inlineStr">
        <is>
          <t>Tried this tonight. I had ground turkey in the fridge that needed to be used as well as 1/2 can of blackbeans and a bag of romaine salad; as well as all of the other ingredients (I always have the spice for everything- I'm a spice nut. It was really good. I did not have low fat cheddar so I used regular. Other than that I made no subsitutions. Thanks for a great recipe. I'll send the picture tomorrow. _x000D_
_x000D_
I actually added a lot of hot sauce (Franks); I love spice, and as usual I estimated on the spices. I don't even know where my measuring spoons are anymore; I do have a good eye for the amounts so I would have been very close._x000D_
_x000D_
This is definitely a keeper. My husband suggested we use the leftovers with fajitta's tomorrow so he obviously liked it.</t>
        </is>
      </c>
    </row>
    <row r="6047">
      <c r="A6047" s="7" t="n">
        <v>68537</v>
      </c>
      <c r="B6047" s="7" t="n">
        <v>774334</v>
      </c>
      <c r="C6047" s="7" t="n">
        <v>2001946324</v>
      </c>
      <c r="D6047" s="7" t="n">
        <v>128956</v>
      </c>
      <c r="E6047" s="8" t="n">
        <v>43121</v>
      </c>
      <c r="F6047" s="7" t="n">
        <v>5</v>
      </c>
      <c r="G6047" s="7" t="inlineStr">
        <is>
          <t>I used the Rotel tomatoes and switched out the zucchini for celery but the best move was to replace the cabbage with spinach. Delicious.</t>
        </is>
      </c>
    </row>
    <row r="6048">
      <c r="A6048" s="7" t="n">
        <v>103926</v>
      </c>
      <c r="B6048" s="7" t="n">
        <v>908804</v>
      </c>
      <c r="C6048" s="7" t="n">
        <v>185387</v>
      </c>
      <c r="D6048" s="7" t="n">
        <v>91267</v>
      </c>
      <c r="E6048" s="8" t="n">
        <v>39350</v>
      </c>
      <c r="F6048" s="7" t="n">
        <v>5</v>
      </c>
      <c r="G6048" s="7" t="inlineStr">
        <is>
          <t>We loved this. I did add about 8 potatoes but after two hours they were still a bit hard. Next time I will cube the potatoes and cook for about 30 in the oven before I mix everything together. I doubled the sauce and the smell was fantastic. Thank you for a great meal that will be used again and again!</t>
        </is>
      </c>
    </row>
    <row r="6049">
      <c r="A6049" s="7" t="n">
        <v>40881</v>
      </c>
      <c r="B6049" s="7" t="n">
        <v>213517</v>
      </c>
      <c r="C6049" s="7" t="n">
        <v>1800048907</v>
      </c>
      <c r="D6049" s="7" t="n">
        <v>125633</v>
      </c>
      <c r="E6049" s="8" t="n">
        <v>41591</v>
      </c>
      <c r="F6049" s="7" t="n">
        <v>0</v>
      </c>
      <c r="G6049" s="7" t="inlineStr">
        <is>
          <t>These are fantastic! I&amp;#039;ve made it with brown sugar, and my boyfriend nearly ate the whole thing in two sittings.  I also mixed the white sugar with white chocolate, brown sugar with walnuts, and haven&amp;#039;t found a combo that wasn&amp;#039;t amazing yet! Thanks for this recipe.</t>
        </is>
      </c>
    </row>
    <row r="6050">
      <c r="A6050" s="7" t="n">
        <v>79357</v>
      </c>
      <c r="B6050" s="7" t="n">
        <v>783252</v>
      </c>
      <c r="C6050" s="7" t="n">
        <v>192974</v>
      </c>
      <c r="D6050" s="7" t="n">
        <v>187227</v>
      </c>
      <c r="E6050" s="8" t="n">
        <v>40001</v>
      </c>
      <c r="F6050" s="7" t="n">
        <v>4</v>
      </c>
      <c r="G6050" s="7" t="inlineStr">
        <is>
          <t>I made a double batch of these and had to add another egg white.  The mixture was very crumbly and hard to stick together.  Another egg did the trick.  These are for the lake in August so I will add to my review then.</t>
        </is>
      </c>
    </row>
    <row r="6051">
      <c r="A6051" s="7" t="n">
        <v>1043</v>
      </c>
      <c r="B6051" s="7" t="n">
        <v>346946</v>
      </c>
      <c r="C6051" s="7" t="n">
        <v>99164</v>
      </c>
      <c r="D6051" s="7" t="n">
        <v>131623</v>
      </c>
      <c r="E6051" s="8" t="n">
        <v>38978</v>
      </c>
      <c r="F6051" s="7" t="n">
        <v>4</v>
      </c>
      <c r="G6051" s="7" t="inlineStr">
        <is>
          <t>This was soooooo goooood!  I'll for sure make this again. The only thing I might change is the amount of mayo (only because my husband said maybe use 1/2 as much) but I'm a big time mayo fan and thought it was delish; also, I added extra almonds on top.</t>
        </is>
      </c>
    </row>
    <row r="6052">
      <c r="A6052" s="7" t="n">
        <v>114541</v>
      </c>
      <c r="B6052" s="7" t="n">
        <v>147250</v>
      </c>
      <c r="C6052" s="7" t="n">
        <v>452940</v>
      </c>
      <c r="D6052" s="7" t="n">
        <v>223660</v>
      </c>
      <c r="E6052" s="8" t="n">
        <v>39686</v>
      </c>
      <c r="F6052" s="7" t="n">
        <v>4</v>
      </c>
      <c r="G6052" s="7" t="inlineStr">
        <is>
          <t>I made half a batch in an 8x8 pan and they took 45 minutes to bake. The flavor is very good, and these are really easy to make. ~Buddha</t>
        </is>
      </c>
    </row>
    <row r="6053">
      <c r="A6053" s="7" t="n">
        <v>32853</v>
      </c>
      <c r="B6053" s="7" t="n">
        <v>341930</v>
      </c>
      <c r="C6053" s="7" t="n">
        <v>618529</v>
      </c>
      <c r="D6053" s="7" t="n">
        <v>56776</v>
      </c>
      <c r="E6053" s="8" t="n">
        <v>39485</v>
      </c>
      <c r="F6053" s="7" t="n">
        <v>5</v>
      </c>
      <c r="G6053" s="7" t="inlineStr">
        <is>
          <t>This was great!  I used what I had for leftovers, so not sure of the exact amounts of salsa &amp; cream.  With what I did, it was runny, but was DELICIOUS with rice.  :)</t>
        </is>
      </c>
    </row>
    <row r="6054">
      <c r="A6054" s="7" t="n">
        <v>5171</v>
      </c>
      <c r="B6054" s="7" t="n">
        <v>521102</v>
      </c>
      <c r="C6054" s="7" t="n">
        <v>2002317531</v>
      </c>
      <c r="D6054" s="7" t="n">
        <v>427912</v>
      </c>
      <c r="E6054" s="8" t="n">
        <v>43404</v>
      </c>
      <c r="F6054" s="7" t="n">
        <v>1</v>
      </c>
      <c r="G6054" s="7" t="inlineStr">
        <is>
          <t>I love cooking, this was tasteless. I even added fresh thyme and sage. I cook for my neigborhood.thumbs down!</t>
        </is>
      </c>
    </row>
    <row r="6055">
      <c r="A6055" s="7" t="n">
        <v>64088</v>
      </c>
      <c r="B6055" s="7" t="n">
        <v>89840</v>
      </c>
      <c r="C6055" s="7" t="n">
        <v>177285</v>
      </c>
      <c r="D6055" s="7" t="n">
        <v>105872</v>
      </c>
      <c r="E6055" s="8" t="n">
        <v>38736</v>
      </c>
      <c r="F6055" s="7" t="n">
        <v>5</v>
      </c>
      <c r="G6055" s="7" t="inlineStr">
        <is>
          <t>Thanks, this is exactly what I was looking for. In Seoul, we ate these not as browned, but considerably more 'mushy' and i prefer it that way.</t>
        </is>
      </c>
    </row>
    <row r="6056">
      <c r="A6056" s="7" t="n">
        <v>13191</v>
      </c>
      <c r="B6056" s="7" t="n">
        <v>33936</v>
      </c>
      <c r="C6056" s="7" t="n">
        <v>2000457187</v>
      </c>
      <c r="D6056" s="7" t="n">
        <v>66241</v>
      </c>
      <c r="E6056" s="8" t="n">
        <v>42253</v>
      </c>
      <c r="F6056" s="7" t="n">
        <v>2</v>
      </c>
      <c r="G6056" s="7" t="inlineStr">
        <is>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is>
      </c>
    </row>
    <row r="6057">
      <c r="A6057" s="7" t="n">
        <v>4193</v>
      </c>
      <c r="B6057" s="7" t="n">
        <v>1068305</v>
      </c>
      <c r="C6057" s="7" t="n">
        <v>487940</v>
      </c>
      <c r="D6057" s="7" t="n">
        <v>32142</v>
      </c>
      <c r="E6057" s="8" t="n">
        <v>40081</v>
      </c>
      <c r="F6057" s="7" t="n">
        <v>5</v>
      </c>
      <c r="G6057" s="7" t="inlineStr">
        <is>
          <t>Simple, delicious.  I added ham and used a whole onion.  Family loved it.  Thanks!</t>
        </is>
      </c>
    </row>
    <row r="6058">
      <c r="A6058" s="7" t="n">
        <v>125593</v>
      </c>
      <c r="B6058" s="7" t="n">
        <v>772743</v>
      </c>
      <c r="C6058" s="7" t="n">
        <v>42309</v>
      </c>
      <c r="D6058" s="7" t="n">
        <v>62786</v>
      </c>
      <c r="E6058" s="8" t="n">
        <v>37782</v>
      </c>
      <c r="F6058" s="7" t="n">
        <v>4</v>
      </c>
      <c r="G6058" s="7" t="inlineStr">
        <is>
          <t xml:space="preserve">we enjoyed this.  i grated the ginger (it just says peeled) and added 4 cloves of minced garlic.  I was a bit leery of the microwave instructions, but followed them and it worked.  This was a nice dal which my husband and i both enjoyed.  </t>
        </is>
      </c>
    </row>
    <row r="6059">
      <c r="A6059" s="7" t="n">
        <v>31378</v>
      </c>
      <c r="B6059" s="7" t="n">
        <v>630880</v>
      </c>
      <c r="C6059" s="7" t="n">
        <v>1515403</v>
      </c>
      <c r="D6059" s="7" t="n">
        <v>14384</v>
      </c>
      <c r="E6059" s="8" t="n">
        <v>41971</v>
      </c>
      <c r="F6059" s="7" t="n">
        <v>5</v>
      </c>
      <c r="G6059" s="7" t="inlineStr">
        <is>
          <t>Very good!  Makes alot!  I did substitute Cool Whip for the whipping cream and omitted the nuts, just personal preference.  I did reduce the sugar to 1 1/2 C but next time will probably use only         1 C of sugar-the pineapple does add some sweetness.</t>
        </is>
      </c>
    </row>
    <row r="6060">
      <c r="A6060" s="7" t="n">
        <v>14925</v>
      </c>
      <c r="B6060" s="7" t="n">
        <v>145059</v>
      </c>
      <c r="C6060" s="7" t="n">
        <v>166642</v>
      </c>
      <c r="D6060" s="7" t="n">
        <v>284288</v>
      </c>
      <c r="E6060" s="8" t="n">
        <v>39782</v>
      </c>
      <c r="F6060" s="7" t="n">
        <v>5</v>
      </c>
      <c r="G6060" s="7" t="inlineStr">
        <is>
          <t>This is a great pizza recipe! It is not too thick and not too thin. It baked perfectly so that the crust is not soggy and you can pick it up with your hand to eat. After 20 minutes, the cheese was getting a little too brown so I turned it down to 350 for the next 10 minutes. I halved this to make only 1 pizza since it was just my youngest son and I for dinner tonight. He loved the crust and he's very picky! For the sauce, I used "Recipe#65641". I loved the addition of the romano cheese and used a combination of provolone and mozzerella cheeses. I also had to add some pepperoni for my son even though I could be happy, too, with just a simple cheese and sauce pizza. Thanks for sharing!</t>
        </is>
      </c>
    </row>
    <row r="6061">
      <c r="A6061" s="7" t="n">
        <v>76842</v>
      </c>
      <c r="B6061" s="7" t="n">
        <v>686515</v>
      </c>
      <c r="C6061" s="7" t="n">
        <v>368609</v>
      </c>
      <c r="D6061" s="7" t="n">
        <v>218161</v>
      </c>
      <c r="E6061" s="8" t="n">
        <v>39232</v>
      </c>
      <c r="F6061" s="7" t="n">
        <v>5</v>
      </c>
      <c r="G6061" s="7" t="inlineStr">
        <is>
          <t>I also topped it with a sheet of puff pastry, my DH went back for 2nds and made an "upside down pie" with the pastry underneath which he preferred.  The gravy didn't really thicken so I added some cornflour which helped. A nice change from white-sauce based chicken pies.</t>
        </is>
      </c>
    </row>
    <row r="6062">
      <c r="A6062" s="7" t="n">
        <v>85077</v>
      </c>
      <c r="B6062" s="7" t="n">
        <v>835344</v>
      </c>
      <c r="C6062" s="7" t="n">
        <v>1985158</v>
      </c>
      <c r="D6062" s="7" t="n">
        <v>471691</v>
      </c>
      <c r="E6062" s="8" t="n">
        <v>42313</v>
      </c>
      <c r="F6062" s="7" t="n">
        <v>5</v>
      </c>
      <c r="G6062" s="7" t="inlineStr">
        <is>
          <t>I make eclairs similar to this and I LOVE the topping! Mine was made with sugar instead of confectioners sugar!! Thanks for sharing. Great recipe!!</t>
        </is>
      </c>
    </row>
    <row r="6063">
      <c r="A6063" s="7" t="n">
        <v>64992</v>
      </c>
      <c r="B6063" s="7" t="n">
        <v>679547</v>
      </c>
      <c r="C6063" s="7" t="n">
        <v>65414</v>
      </c>
      <c r="D6063" s="7" t="n">
        <v>3594</v>
      </c>
      <c r="E6063" s="8" t="n">
        <v>38404</v>
      </c>
      <c r="F6063" s="7" t="n">
        <v>4</v>
      </c>
      <c r="G6063" s="7" t="inlineStr">
        <is>
          <t>Very good recipe.  Very tasty.  My whole family enjoyed this and it was easy to fix.</t>
        </is>
      </c>
    </row>
    <row r="6064">
      <c r="A6064" s="7" t="n">
        <v>7710</v>
      </c>
      <c r="B6064" s="7" t="n">
        <v>136598</v>
      </c>
      <c r="C6064" s="7" t="n">
        <v>41978</v>
      </c>
      <c r="D6064" s="7" t="n">
        <v>44888</v>
      </c>
      <c r="E6064" s="8" t="n">
        <v>37902</v>
      </c>
      <c r="F6064" s="7" t="n">
        <v>5</v>
      </c>
      <c r="G6064" s="7" t="inlineStr">
        <is>
          <t xml:space="preserve">I tried this recipe for a party and it was such a hit everyone was asking for more.  The kids and the grownups all loved it.  I followed the recipe exactly but had to add about 15 min to the cooking time.   </t>
        </is>
      </c>
    </row>
    <row r="6065">
      <c r="A6065" s="7" t="n">
        <v>310</v>
      </c>
      <c r="B6065" s="7" t="n">
        <v>212724</v>
      </c>
      <c r="C6065" s="7" t="n">
        <v>1028615</v>
      </c>
      <c r="D6065" s="7" t="n">
        <v>199579</v>
      </c>
      <c r="E6065" s="8" t="n">
        <v>42023</v>
      </c>
      <c r="F6065" s="7" t="n">
        <v>5</v>
      </c>
      <c r="G6065" s="7" t="inlineStr">
        <is>
          <t>Truly the best tuna casserole I have ever had!  I did make a few changes, too, substituting cream of celery and cream of mushroom soups, saut&amp;eacute;ing onions, garlic, and celery before adding it to the mixture, adding red pepper flakes, fresh Parmesan cheese, and red pepper flakes. Then I topped the cheddar cheese with French-fried onions. It was amazing!</t>
        </is>
      </c>
    </row>
    <row r="6066">
      <c r="A6066" s="7" t="n">
        <v>82199</v>
      </c>
      <c r="B6066" s="7" t="n">
        <v>729356</v>
      </c>
      <c r="C6066" s="7" t="n">
        <v>389431</v>
      </c>
      <c r="D6066" s="7" t="n">
        <v>42367</v>
      </c>
      <c r="E6066" s="8" t="n">
        <v>40496</v>
      </c>
      <c r="F6066" s="7" t="n">
        <v>3</v>
      </c>
      <c r="G6066" s="7" t="inlineStr">
        <is>
          <t>I made these for my daughters first birthday and I gotta say that these were not what I was expecting...  they tasted great, but the filling just kind of went unnoticed... wish I would have just stuck with plain chocolate and saved myself a whole step.</t>
        </is>
      </c>
    </row>
    <row r="6067">
      <c r="A6067" s="7" t="n">
        <v>94661</v>
      </c>
      <c r="B6067" s="7" t="n">
        <v>966167</v>
      </c>
      <c r="C6067" s="7" t="n">
        <v>457690</v>
      </c>
      <c r="D6067" s="7" t="n">
        <v>82770</v>
      </c>
      <c r="E6067" s="8" t="n">
        <v>39520</v>
      </c>
      <c r="F6067" s="7" t="n">
        <v>5</v>
      </c>
      <c r="G6067" s="7" t="inlineStr">
        <is>
          <t>Cheap and easy to make. It makes a little more than 10 Tbsp though because the first 3 ingredients total 9 Tbsp already ;-)</t>
        </is>
      </c>
    </row>
    <row r="6068">
      <c r="A6068" t="n">
        <v>55168</v>
      </c>
      <c r="B6068" t="n">
        <v>1000668</v>
      </c>
      <c r="C6068" t="n">
        <v>2618549</v>
      </c>
      <c r="D6068" t="n">
        <v>493629</v>
      </c>
      <c r="E6068" s="1" t="n">
        <v>41294</v>
      </c>
      <c r="F6068" t="n">
        <v>0</v>
      </c>
      <c r="G6068" t="inlineStr">
        <is>
          <t>These are delicious!</t>
        </is>
      </c>
    </row>
    <row r="6069">
      <c r="A6069" s="7" t="n">
        <v>98904</v>
      </c>
      <c r="B6069" s="7" t="n">
        <v>803089</v>
      </c>
      <c r="C6069" s="7" t="n">
        <v>17803</v>
      </c>
      <c r="D6069" s="7" t="n">
        <v>423598</v>
      </c>
      <c r="E6069" s="8" t="n">
        <v>40419</v>
      </c>
      <c r="F6069" s="7" t="n">
        <v>0</v>
      </c>
      <c r="G6069" s="7" t="inlineStr">
        <is>
          <t>I am also enjoying this drink as I review it, sitting at my computer.  I used about 1 cup of ice to make mine frozen. I think I'd like to add a couple more teaspoons of powered sugar when I make this again.  Other then that, it's a perfect summer drink.  Thank you for posting the recipe.  Made for Potluck Tag -- SPRING/SUMMER 2010 for the ......Get Out Your Blender, Frozen Beverage Party</t>
        </is>
      </c>
    </row>
    <row r="6070">
      <c r="A6070" s="7" t="n">
        <v>125071</v>
      </c>
      <c r="B6070" s="7" t="n">
        <v>574676</v>
      </c>
      <c r="C6070" s="7" t="n">
        <v>52282</v>
      </c>
      <c r="D6070" s="7" t="n">
        <v>41196</v>
      </c>
      <c r="E6070" s="8" t="n">
        <v>37702</v>
      </c>
      <c r="F6070" s="7" t="n">
        <v>4</v>
      </c>
      <c r="G6070" s="7" t="inlineStr">
        <is>
          <t>this was a really nice change from horseradish sauce, the wasabi gives it a kick! great dipping sauce for steak and boiled new potatoes</t>
        </is>
      </c>
    </row>
    <row r="6071">
      <c r="A6071" s="7" t="n">
        <v>106458</v>
      </c>
      <c r="B6071" s="7" t="n">
        <v>803339</v>
      </c>
      <c r="C6071" s="7" t="n">
        <v>1832362</v>
      </c>
      <c r="D6071" s="7" t="n">
        <v>40594</v>
      </c>
      <c r="E6071" s="8" t="n">
        <v>40593</v>
      </c>
      <c r="F6071" s="7" t="n">
        <v>5</v>
      </c>
      <c r="G6071" s="7" t="inlineStr">
        <is>
          <t>oh my goddd these cookies are like heaven. melt in you mouth goodness. in my oven the cookies were done at 8 minutes. they come out of the oven looking puffy then flatten down into thin cookies. they are so goood. by far best skor cookie recipe out there. &lt;br/&gt;&lt;br/&gt;hahahha im eating one right nowww mmmmmm mmm good</t>
        </is>
      </c>
    </row>
    <row r="6072">
      <c r="A6072" s="7" t="n">
        <v>88277</v>
      </c>
      <c r="B6072" s="7" t="n">
        <v>287337</v>
      </c>
      <c r="C6072" s="7" t="n">
        <v>422893</v>
      </c>
      <c r="D6072" s="7" t="n">
        <v>154587</v>
      </c>
      <c r="E6072" s="8" t="n">
        <v>40048</v>
      </c>
      <c r="F6072" s="7" t="n">
        <v>4</v>
      </c>
      <c r="G6072" s="7" t="inlineStr">
        <is>
          <t>We don't have Old Bay here but I was given some in a swap so made this as a dinner side the other night. Lovely simple dish to do and hubby even ate all his zucchini for a change, thanks for posting!</t>
        </is>
      </c>
    </row>
    <row r="6073">
      <c r="A6073" s="7" t="n">
        <v>118225</v>
      </c>
      <c r="B6073" s="7" t="n">
        <v>97469</v>
      </c>
      <c r="C6073" s="7" t="n">
        <v>227978</v>
      </c>
      <c r="D6073" s="7" t="n">
        <v>391172</v>
      </c>
      <c r="E6073" s="8" t="n">
        <v>40609</v>
      </c>
      <c r="F6073" s="7" t="n">
        <v>4</v>
      </c>
      <c r="G6073" s="7" t="inlineStr">
        <is>
          <t>I thought the layer of brown sugar and cinnamon over the pork chops was delectable.  The applesauce contributed a wonderful natural sweetness from the applesauce that fits well with pork chops, but it would benefit from additional seasoning.  I'm not sure which spices I will add, but I will definitely make this again and experiment to find the right spice combination that boosts the flavor a bit.  I made this for one of my Pick-A-Chef choices, and it was another good choice.  Thanks Babycat.</t>
        </is>
      </c>
    </row>
    <row r="6074">
      <c r="A6074" s="7" t="n">
        <v>43879</v>
      </c>
      <c r="B6074" s="7" t="n">
        <v>508922</v>
      </c>
      <c r="C6074" s="7" t="n">
        <v>359029</v>
      </c>
      <c r="D6074" s="7" t="n">
        <v>128606</v>
      </c>
      <c r="E6074" s="8" t="n">
        <v>39201</v>
      </c>
      <c r="F6074" s="7" t="n">
        <v>4</v>
      </c>
      <c r="G6074" s="7" t="inlineStr">
        <is>
          <t>I was searching for an old recipe I used when my son was a little boy. We used to babysit my friend's chickens... boy, there were lots of eggs! I sent two loaves to him in Iraq and the other Marines offered money for more tastes!  It must ship well!  Thank you, so much!</t>
        </is>
      </c>
    </row>
    <row r="6075">
      <c r="A6075" s="7" t="n">
        <v>937</v>
      </c>
      <c r="B6075" s="7" t="n">
        <v>461309</v>
      </c>
      <c r="C6075" s="7" t="n">
        <v>382123</v>
      </c>
      <c r="D6075" s="7" t="n">
        <v>32740</v>
      </c>
      <c r="E6075" s="8" t="n">
        <v>39254</v>
      </c>
      <c r="F6075" s="7" t="n">
        <v>5</v>
      </c>
      <c r="G6075" s="7" t="inlineStr">
        <is>
          <t>Without a doubt, the best pecan pie ever! I tweaked the recipe a bit by lightly toasting the pecans to bring to out the flavor. I used a block of Ghiradelli chocolate, broken into chunks to equal one cup, and used Makers Mark bourbon. The piecrust was home make using a combination of butter and lard and partially blind baked so the crust would remain flakey. My family loved the pie and I took one to work - everyone raved about it! Thanks, NurseDi for this great recipe!</t>
        </is>
      </c>
    </row>
    <row r="6076" ht="210" customHeight="1">
      <c r="A6076" s="7" t="n">
        <v>106629</v>
      </c>
      <c r="B6076" s="7" t="n">
        <v>354815</v>
      </c>
      <c r="C6076" s="7" t="n">
        <v>2000009491</v>
      </c>
      <c r="D6076" s="7" t="n">
        <v>15389</v>
      </c>
      <c r="E6076" s="8" t="n">
        <v>42058</v>
      </c>
      <c r="F6076" s="7" t="n">
        <v>5</v>
      </c>
      <c r="G6076" s="9" t="inlineStr">
        <is>
          <t>WOW!!  This is such a great recipe.  I loved that it doesn&amp;#039;t have any tomatoes, it
is so good!!</t>
        </is>
      </c>
    </row>
    <row r="6077">
      <c r="A6077" s="7" t="n">
        <v>81061</v>
      </c>
      <c r="B6077" s="7" t="n">
        <v>1018345</v>
      </c>
      <c r="C6077" s="7" t="n">
        <v>84038</v>
      </c>
      <c r="D6077" s="7" t="n">
        <v>166896</v>
      </c>
      <c r="E6077" s="8" t="n">
        <v>38974</v>
      </c>
      <c r="F6077" s="7" t="n">
        <v>5</v>
      </c>
      <c r="G6077" s="7" t="inlineStr">
        <is>
          <t>I love these!  They are great for a quick lunch and work well when you're on the run.  I also added chopped avocado to the mixture.  Delish!</t>
        </is>
      </c>
    </row>
    <row r="6078">
      <c r="A6078" s="7" t="n">
        <v>11187</v>
      </c>
      <c r="B6078" s="7" t="n">
        <v>748826</v>
      </c>
      <c r="C6078" s="7" t="n">
        <v>57695</v>
      </c>
      <c r="D6078" s="7" t="n">
        <v>217915</v>
      </c>
      <c r="E6078" s="8" t="n">
        <v>39213</v>
      </c>
      <c r="F6078" s="7" t="n">
        <v>5</v>
      </c>
      <c r="G6078" s="7" t="inlineStr">
        <is>
          <t>very nice. the peanut butter flavor is subtle, but you can definately tell it's there! the only thing i did different was add some vanilla and butter flavorings. the bread is nice and moist. thanks!</t>
        </is>
      </c>
    </row>
    <row r="6079">
      <c r="A6079" s="7" t="n">
        <v>1769</v>
      </c>
      <c r="B6079" s="7" t="n">
        <v>511631</v>
      </c>
      <c r="C6079" s="7" t="n">
        <v>564310</v>
      </c>
      <c r="D6079" s="7" t="n">
        <v>177434</v>
      </c>
      <c r="E6079" s="8" t="n">
        <v>39796</v>
      </c>
      <c r="F6079" s="7" t="n">
        <v>5</v>
      </c>
      <c r="G6079" s="7" t="inlineStr">
        <is>
          <t>These are sooo good! I made them for a cookie exchange and really liked that the recipe made so many cookies. Thanks for posting this keeper!</t>
        </is>
      </c>
    </row>
    <row r="6080">
      <c r="A6080" s="7" t="n">
        <v>70102</v>
      </c>
      <c r="B6080" s="7" t="n">
        <v>773626</v>
      </c>
      <c r="C6080" s="7" t="n">
        <v>819788</v>
      </c>
      <c r="D6080" s="7" t="n">
        <v>299052</v>
      </c>
      <c r="E6080" s="8" t="n">
        <v>40070</v>
      </c>
      <c r="F6080" s="7" t="n">
        <v>4</v>
      </c>
      <c r="G6080" s="7" t="inlineStr">
        <is>
          <t>Found this very yummy.  I took 2 chicken breasts and pounded them, and cut them into chunks, then cooked them that way.  I also found it a little too much thyme, but will make again with less.  Thanks for the quick dinner recipe! Served with rice, carrots and salad</t>
        </is>
      </c>
    </row>
    <row r="6081">
      <c r="A6081" s="7" t="n">
        <v>120457</v>
      </c>
      <c r="B6081" s="7" t="n">
        <v>589216</v>
      </c>
      <c r="C6081" s="7" t="n">
        <v>293946</v>
      </c>
      <c r="D6081" s="7" t="n">
        <v>49232</v>
      </c>
      <c r="E6081" s="8" t="n">
        <v>38844</v>
      </c>
      <c r="F6081" s="7" t="n">
        <v>5</v>
      </c>
      <c r="G6081" s="7" t="inlineStr">
        <is>
          <t>I made this for the 2006 Pick A Chef Contest.  I unfortunatly did not halve the recipe... I have french toast coming out of my ears.  But that is OK because this is SSSOOO good I can reheat and eat it right before going to work in the morning for a quick breakfast.  I used Splenda for all of the sugar since their is so much bread involved I wanted to lesson the sweetness a little.  I do recommend serving this with milk and not anything that is sweet including juice.  My daughter loves this!!!  Definatly a keeper!!!</t>
        </is>
      </c>
    </row>
    <row r="6082">
      <c r="A6082" s="7" t="n">
        <v>33896</v>
      </c>
      <c r="B6082" s="7" t="n">
        <v>110843</v>
      </c>
      <c r="C6082" s="7" t="n">
        <v>37449</v>
      </c>
      <c r="D6082" s="7" t="n">
        <v>37560</v>
      </c>
      <c r="E6082" s="8" t="n">
        <v>37825</v>
      </c>
      <c r="F6082" s="7" t="n">
        <v>5</v>
      </c>
      <c r="G6082" s="7" t="inlineStr">
        <is>
          <t>I really enjoyed these chickpea burgers! I used cilantro, but no parsley(didn't have). Loved it with fresh lemon juice squeezed over the top! Thanks Annelies!</t>
        </is>
      </c>
    </row>
    <row r="6083">
      <c r="A6083" s="7" t="n">
        <v>4397</v>
      </c>
      <c r="B6083" s="7" t="n">
        <v>517662</v>
      </c>
      <c r="C6083" s="7" t="n">
        <v>107135</v>
      </c>
      <c r="D6083" s="7" t="n">
        <v>193961</v>
      </c>
      <c r="E6083" s="8" t="n">
        <v>40609</v>
      </c>
      <c r="F6083" s="7" t="n">
        <v>5</v>
      </c>
      <c r="G6083" s="7" t="inlineStr">
        <is>
          <t>this was in a hand written book from the 1930s from neligh ne  and it had been used alot on this page thanks for posting</t>
        </is>
      </c>
    </row>
    <row r="6084">
      <c r="A6084" s="7" t="n">
        <v>50520</v>
      </c>
      <c r="B6084" s="7" t="n">
        <v>1018530</v>
      </c>
      <c r="C6084" s="7" t="n">
        <v>369715</v>
      </c>
      <c r="D6084" s="7" t="n">
        <v>251270</v>
      </c>
      <c r="E6084" s="8" t="n">
        <v>40336</v>
      </c>
      <c r="F6084" s="7" t="n">
        <v>5</v>
      </c>
      <c r="G6084" s="7" t="inlineStr">
        <is>
          <t>Yummy- these were good. I followed the recipe as written other then I didn't use any of the optional items. I only had four ounces of milk chocolate chips so used them and only one tablespoon of canola oil. We enjoyed these but next time I would follow another reviewers advice and let the bananas freeze overnight so they also would be frozen. Great yummy treat that is easy to make.</t>
        </is>
      </c>
    </row>
    <row r="6085">
      <c r="A6085" s="7" t="n">
        <v>84430</v>
      </c>
      <c r="B6085" s="7" t="n">
        <v>917305</v>
      </c>
      <c r="C6085" s="7" t="n">
        <v>39277</v>
      </c>
      <c r="D6085" s="7" t="n">
        <v>41183</v>
      </c>
      <c r="E6085" s="8" t="n">
        <v>37563</v>
      </c>
      <c r="F6085" s="7" t="n">
        <v>5</v>
      </c>
      <c r="G6085" s="7" t="inlineStr">
        <is>
          <t>What a beautiful potato dish and just great for fall. I only used about 1 t. salt because my dad has to watch his salt intake. The cream sauce was rich and the parmesan cheese made a great topping. Thanks Karen.</t>
        </is>
      </c>
    </row>
    <row r="6086">
      <c r="A6086" s="7" t="n">
        <v>26669</v>
      </c>
      <c r="B6086" s="7" t="n">
        <v>591663</v>
      </c>
      <c r="C6086" s="7" t="n">
        <v>75902</v>
      </c>
      <c r="D6086" s="7" t="n">
        <v>48463</v>
      </c>
      <c r="E6086" s="8" t="n">
        <v>37937</v>
      </c>
      <c r="F6086" s="7" t="n">
        <v>5</v>
      </c>
      <c r="G6086" s="7" t="inlineStr">
        <is>
          <t>Lovely soup - quick and easy to make.  I also used skinny milk to reduce the fat content.  Very tasty.</t>
        </is>
      </c>
    </row>
    <row r="6087">
      <c r="A6087" s="7" t="n">
        <v>98226</v>
      </c>
      <c r="B6087" s="7" t="n">
        <v>256070</v>
      </c>
      <c r="C6087" s="7" t="n">
        <v>2694208</v>
      </c>
      <c r="D6087" s="7" t="n">
        <v>81286</v>
      </c>
      <c r="E6087" s="8" t="n">
        <v>41319</v>
      </c>
      <c r="F6087" s="7" t="n">
        <v>5</v>
      </c>
      <c r="G6087" s="7" t="inlineStr">
        <is>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is>
      </c>
    </row>
    <row r="6088">
      <c r="A6088" s="7" t="n">
        <v>97037</v>
      </c>
      <c r="B6088" s="7" t="n">
        <v>489231</v>
      </c>
      <c r="C6088" s="7" t="n">
        <v>2000932543</v>
      </c>
      <c r="D6088" s="7" t="n">
        <v>329684</v>
      </c>
      <c r="E6088" s="8" t="n">
        <v>42675</v>
      </c>
      <c r="F6088" s="7" t="n">
        <v>0</v>
      </c>
      <c r="G6088" s="7" t="inlineStr">
        <is>
          <t>I can taste the salt! I will not make this again.</t>
        </is>
      </c>
    </row>
    <row r="6089">
      <c r="A6089" s="7" t="n">
        <v>118291</v>
      </c>
      <c r="B6089" s="7" t="n">
        <v>192083</v>
      </c>
      <c r="C6089" s="7" t="n">
        <v>333017</v>
      </c>
      <c r="D6089" s="7" t="n">
        <v>279358</v>
      </c>
      <c r="E6089" s="8" t="n">
        <v>40046</v>
      </c>
      <c r="F6089" s="7" t="n">
        <v>5</v>
      </c>
      <c r="G6089" s="7" t="inlineStr">
        <is>
          <t>Excellent dinner rolls made easier with the Bread machine.  Instead of using a glaze, I melted some butter and drizzled it over the buns for that nice buttery taste.  I have made these up using buttermilk powder in place of the powdered milk and have exchanged some of the white flour with whole wheat.   My guests never fail to appreciate homemade buns and thinking of all the time and effort that went into making them!!  You can't go wrong with this recipe!!  Kudos!</t>
        </is>
      </c>
    </row>
    <row r="6090">
      <c r="A6090" s="7" t="n">
        <v>58431</v>
      </c>
      <c r="B6090" s="7" t="n">
        <v>656999</v>
      </c>
      <c r="C6090" s="7" t="n">
        <v>1216422</v>
      </c>
      <c r="D6090" s="7" t="n">
        <v>27208</v>
      </c>
      <c r="E6090" s="8" t="n">
        <v>40122</v>
      </c>
      <c r="F6090" s="7" t="n">
        <v>5</v>
      </c>
      <c r="G6090" s="7" t="inlineStr">
        <is>
          <t>Made this for the first time for guests &amp; all agreed it was very good.  I used 2 and 1/2 c of water because I was afraid it wouldn't make enough gravy for my 4 lb roast. That was a bit too much--maybe 1 and 1/2 c next time. I threw red potatoes &amp; baby carrots in the pot too &amp; they came out really well.</t>
        </is>
      </c>
    </row>
    <row r="6091">
      <c r="A6091" s="7" t="n">
        <v>11646</v>
      </c>
      <c r="B6091" s="7" t="n">
        <v>669065</v>
      </c>
      <c r="C6091" s="7" t="n">
        <v>39835</v>
      </c>
      <c r="D6091" s="7" t="n">
        <v>167420</v>
      </c>
      <c r="E6091" s="8" t="n">
        <v>38856</v>
      </c>
      <c r="F6091" s="7" t="n">
        <v>5</v>
      </c>
      <c r="G6091" s="7" t="inlineStr">
        <is>
          <t>Absolutely delish! Even though I didn't make the low carb version but used full carb ingredients and powdered mustard instead of the wet mustard. Thanks for sharing--dh said be sure to save this recipe--a keeper for sure!</t>
        </is>
      </c>
    </row>
    <row r="6092">
      <c r="A6092" s="7" t="n">
        <v>98845</v>
      </c>
      <c r="B6092" s="7" t="n">
        <v>445980</v>
      </c>
      <c r="C6092" s="7" t="n">
        <v>141293</v>
      </c>
      <c r="D6092" s="7" t="n">
        <v>219196</v>
      </c>
      <c r="E6092" s="8" t="n">
        <v>39186</v>
      </c>
      <c r="F6092" s="7" t="n">
        <v>5</v>
      </c>
      <c r="G6092" s="7" t="inlineStr">
        <is>
          <t>These are a nice light lemon square, in both flavor and color.  Probably because there are no artifical colors or flavors.  Very good and easy to make.  May add a little lemon extract next time for a more intense lemon flavor.  Thanks Syd!</t>
        </is>
      </c>
    </row>
    <row r="6093">
      <c r="A6093" s="7" t="n">
        <v>80156</v>
      </c>
      <c r="B6093" s="7" t="n">
        <v>223697</v>
      </c>
      <c r="C6093" s="7" t="n">
        <v>68526</v>
      </c>
      <c r="D6093" s="7" t="n">
        <v>112691</v>
      </c>
      <c r="E6093" s="8" t="n">
        <v>39604</v>
      </c>
      <c r="F6093" s="7" t="n">
        <v>5</v>
      </c>
      <c r="G6093" s="7" t="inlineStr">
        <is>
          <t>I absolutely loved these muffins of love!  Loved the texture using the cheese, and the flavors of the fruit and sugar were perfect for the not so sweet blueberries I got the other day.   I will have these often now that I have the recipe!</t>
        </is>
      </c>
    </row>
    <row r="6094">
      <c r="A6094" s="7" t="n">
        <v>95964</v>
      </c>
      <c r="B6094" s="7" t="n">
        <v>438786</v>
      </c>
      <c r="C6094" s="7" t="n">
        <v>39194</v>
      </c>
      <c r="D6094" s="7" t="n">
        <v>76470</v>
      </c>
      <c r="E6094" s="8" t="n">
        <v>38529</v>
      </c>
      <c r="F6094" s="7" t="n">
        <v>5</v>
      </c>
      <c r="G6094" s="7" t="inlineStr">
        <is>
          <t>I made this recently and loved it!  I did add a little more garlic, and served with angel hair pasta.  Nice, easy meal with loads of flavor!  Thanks ms_B! :)</t>
        </is>
      </c>
    </row>
    <row r="6095">
      <c r="A6095" s="7" t="n">
        <v>63792</v>
      </c>
      <c r="B6095" s="7" t="n">
        <v>769962</v>
      </c>
      <c r="C6095" s="7" t="n">
        <v>643224</v>
      </c>
      <c r="D6095" s="7" t="n">
        <v>31209</v>
      </c>
      <c r="E6095" s="8" t="n">
        <v>39411</v>
      </c>
      <c r="F6095" s="7" t="n">
        <v>4</v>
      </c>
      <c r="G6095" s="7" t="inlineStr">
        <is>
          <t>My husband convinced me that I didn't hate brussels sprouts, I just had them done poorly....I did this recipe and we are all converts now! :)</t>
        </is>
      </c>
    </row>
    <row r="6096">
      <c r="A6096" s="7" t="n">
        <v>9108</v>
      </c>
      <c r="B6096" s="7" t="n">
        <v>1043595</v>
      </c>
      <c r="C6096" s="7" t="n">
        <v>137588</v>
      </c>
      <c r="D6096" s="7" t="n">
        <v>43396</v>
      </c>
      <c r="E6096" s="8" t="n">
        <v>38970</v>
      </c>
      <c r="F6096" s="7" t="n">
        <v>5</v>
      </c>
      <c r="G6096" s="7" t="inlineStr">
        <is>
          <t>My husband has a bad attitude toward stuffed mushrooms, but even he ate these up. They were delish!</t>
        </is>
      </c>
    </row>
    <row r="6097">
      <c r="A6097" s="7" t="n">
        <v>49388</v>
      </c>
      <c r="B6097" s="7" t="n">
        <v>689738</v>
      </c>
      <c r="C6097" s="7" t="n">
        <v>344716</v>
      </c>
      <c r="D6097" s="7" t="n">
        <v>170480</v>
      </c>
      <c r="E6097" s="8" t="n">
        <v>39561</v>
      </c>
      <c r="F6097" s="7" t="n">
        <v>4</v>
      </c>
      <c r="G6097" s="7" t="inlineStr">
        <is>
          <t>we LOVE this chicken. we have made it 3 times now [and i am making it again tonight for company!].. i have to say, though, that it is much much better with bone-in skin-on thighs. we did try it once with the boneless skinless, and we were not nearly as impressed with the results!! so good. love your recipes kittencal!</t>
        </is>
      </c>
    </row>
    <row r="6098">
      <c r="A6098" t="n">
        <v>143</v>
      </c>
      <c r="B6098" t="n">
        <v>434721</v>
      </c>
      <c r="C6098" t="n">
        <v>184400</v>
      </c>
      <c r="D6098" t="n">
        <v>34335</v>
      </c>
      <c r="E6098" s="1" t="n">
        <v>38450</v>
      </c>
      <c r="F6098" t="n">
        <v>4</v>
      </c>
      <c r="G6098" t="inlineStr">
        <is>
          <t xml:space="preserve">I served this at Easter as an alternative.  I marinated it for 5 hours and cooked it following the directions exactly as the recipe says.  Turned out great.  My guests said they could smell it even before they got to the door.  </t>
        </is>
      </c>
    </row>
    <row r="6099">
      <c r="A6099" s="7" t="n">
        <v>93740</v>
      </c>
      <c r="B6099" s="7" t="n">
        <v>576828</v>
      </c>
      <c r="C6099" s="7" t="n">
        <v>50509</v>
      </c>
      <c r="D6099" s="7" t="n">
        <v>307936</v>
      </c>
      <c r="E6099" s="8" t="n">
        <v>40026</v>
      </c>
      <c r="F6099" s="7" t="n">
        <v>5</v>
      </c>
      <c r="G6099" s="7" t="inlineStr">
        <is>
          <t>This dough is lovely to handle. I reduced the recipe somewhat to make a single standard loaf of bread. The butter, milk and oil contributed to a tender crust and crumb, but the bread slices well for sandwiches. I did use some white whole wheat instead of all plain flour. I will be making this into rolls, as well. Oh, I threw everything into the bread machine, straight from the fridge for the milk butter and egg, and it worked beautifully.</t>
        </is>
      </c>
    </row>
    <row r="6100">
      <c r="A6100" s="7" t="n">
        <v>117113</v>
      </c>
      <c r="B6100" s="7" t="n">
        <v>379142</v>
      </c>
      <c r="C6100" s="7" t="n">
        <v>2717215</v>
      </c>
      <c r="D6100" s="7" t="n">
        <v>26059</v>
      </c>
      <c r="E6100" s="8" t="n">
        <v>41337</v>
      </c>
      <c r="F6100" s="7" t="n">
        <v>5</v>
      </c>
      <c r="G6100" s="7" t="inlineStr">
        <is>
          <t>This is a great catfish recipe. I caught a 7 lb catfish and the fillets were pretty thick. I removed the dark meat on the skin side, then split the fillets horizontally so they were 3/8 to 1/2 inch thick. I made the spice mix and ran it through my spice/coffee grinder then put the "smooth" spices into an empty spice container/shaker - a perfect way to apply the seasoning. I used a mix of olive oil and butter. On the outside gas grill, I heated a griddle and kept the smoke outdoors. (My wife had complained about my practice run inside with the small cast iron pan. Even the fan couldn't vent all the smoke.) Today my wife raved about the fish...sans smokey house. Clean-up was a breeze. This will be a go-to preferred over deep-fry.</t>
        </is>
      </c>
    </row>
    <row r="6101">
      <c r="A6101" s="7" t="n">
        <v>7753</v>
      </c>
      <c r="B6101" s="7" t="n">
        <v>402208</v>
      </c>
      <c r="C6101" s="7" t="n">
        <v>158086</v>
      </c>
      <c r="D6101" s="7" t="n">
        <v>27084</v>
      </c>
      <c r="E6101" s="8" t="n">
        <v>38828</v>
      </c>
      <c r="F6101" s="7" t="n">
        <v>5</v>
      </c>
      <c r="G6101" s="7" t="inlineStr">
        <is>
          <t>Made this for dinner tonite to serve with my pork tenderloin...It was very tasty...and very eye appealing. thanks for a great, fast side dish.</t>
        </is>
      </c>
    </row>
    <row r="6102">
      <c r="A6102" s="7" t="n">
        <v>6859</v>
      </c>
      <c r="B6102" s="7" t="n">
        <v>656519</v>
      </c>
      <c r="C6102" s="7" t="n">
        <v>339204</v>
      </c>
      <c r="D6102" s="7" t="n">
        <v>27208</v>
      </c>
      <c r="E6102" s="8" t="n">
        <v>39187</v>
      </c>
      <c r="F6102" s="7" t="n">
        <v>5</v>
      </c>
      <c r="G6102" s="7" t="inlineStr">
        <is>
          <t>This was an excellent recipe, my 15 yr old son absolutely loves it...he's the one that had me rate this 5 + stars!!  Thank you!</t>
        </is>
      </c>
    </row>
    <row r="6103">
      <c r="A6103" s="7" t="n">
        <v>27178</v>
      </c>
      <c r="B6103" s="7" t="n">
        <v>823115</v>
      </c>
      <c r="C6103" s="7" t="n">
        <v>198356</v>
      </c>
      <c r="D6103" s="7" t="n">
        <v>151288</v>
      </c>
      <c r="E6103" s="8" t="n">
        <v>40029</v>
      </c>
      <c r="F6103" s="7" t="n">
        <v>5</v>
      </c>
      <c r="G6103" s="7" t="inlineStr">
        <is>
          <t>Hubby says to Thank You for a great recipe. He loves casseroles and this one had him going back for a second helping. I used broccoli, cauliflower and carrots, added some chopped onion and a little extra cheese. It will be in his monthly rotation.</t>
        </is>
      </c>
    </row>
    <row r="6104">
      <c r="A6104" s="7" t="n">
        <v>118706</v>
      </c>
      <c r="B6104" s="7" t="n">
        <v>920219</v>
      </c>
      <c r="C6104" s="7" t="n">
        <v>924895</v>
      </c>
      <c r="D6104" s="7" t="n">
        <v>195975</v>
      </c>
      <c r="E6104" s="8" t="n">
        <v>39778</v>
      </c>
      <c r="F6104" s="7" t="n">
        <v>5</v>
      </c>
      <c r="G6104" s="7" t="inlineStr">
        <is>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is>
      </c>
    </row>
    <row r="6105">
      <c r="A6105" s="7" t="n">
        <v>59607</v>
      </c>
      <c r="B6105" s="7" t="n">
        <v>437840</v>
      </c>
      <c r="C6105" s="7" t="n">
        <v>724631</v>
      </c>
      <c r="D6105" s="7" t="n">
        <v>453711</v>
      </c>
      <c r="E6105" s="8" t="n">
        <v>40727</v>
      </c>
      <c r="F6105" s="7" t="n">
        <v>4</v>
      </c>
      <c r="G6105" s="7" t="inlineStr">
        <is>
          <t>Clean Eating provided a healthy alternative to a high-calorie side.  It tasted okay, but the lean turkey sausages did not add sausage taste to the rice.  I've become a big fan of turkey sausage, but Dirty Rice needs some old-fashioned sausage for punch.  We added additional Tony Chachere's Creole seasoning to enliven the dish.</t>
        </is>
      </c>
    </row>
    <row r="6106">
      <c r="A6106" s="7" t="n">
        <v>95526</v>
      </c>
      <c r="B6106" s="7" t="n">
        <v>885893</v>
      </c>
      <c r="C6106" s="7" t="n">
        <v>734592</v>
      </c>
      <c r="D6106" s="7" t="n">
        <v>86206</v>
      </c>
      <c r="E6106" s="8" t="n">
        <v>39757</v>
      </c>
      <c r="F6106" s="7" t="n">
        <v>5</v>
      </c>
      <c r="G6106" s="7" t="inlineStr">
        <is>
          <t>Wonderful! However, instead of cutting the chicken into pieces, I cut it in half and removed the fat, back and neck, which I used for chicken stock. When it was time to add the water, I had the chicken stock to use instead of the water, I ate the chicken and gravy with brown rice, green beans and carrots. What a meal!</t>
        </is>
      </c>
    </row>
    <row r="6107">
      <c r="A6107" s="7" t="n">
        <v>17984</v>
      </c>
      <c r="B6107" s="7" t="n">
        <v>206351</v>
      </c>
      <c r="C6107" s="7" t="n">
        <v>130133</v>
      </c>
      <c r="D6107" s="7" t="n">
        <v>49170</v>
      </c>
      <c r="E6107" s="8" t="n">
        <v>41587</v>
      </c>
      <c r="F6107" s="7" t="n">
        <v>5</v>
      </c>
      <c r="G6107" s="7" t="inlineStr">
        <is>
          <t>Since my husband and I are now on low carb diets, we have substituted 4-5 pkgs of Splenda and 1/4 tsp blackstrap molasses for the 1/4 C of brown sugar.  The taste remains the same -- Delish!</t>
        </is>
      </c>
    </row>
    <row r="6108">
      <c r="A6108" s="7" t="n">
        <v>72148</v>
      </c>
      <c r="B6108" s="7" t="n">
        <v>15881</v>
      </c>
      <c r="C6108" s="7" t="n">
        <v>771965</v>
      </c>
      <c r="D6108" s="7" t="n">
        <v>102734</v>
      </c>
      <c r="E6108" s="8" t="n">
        <v>41301</v>
      </c>
      <c r="F6108" s="7" t="n">
        <v>5</v>
      </c>
      <c r="G6108" s="7" t="inlineStr">
        <is>
          <t>Did just as stated. Came out perfect. Great flavor and awesome texture. Keeper for sure</t>
        </is>
      </c>
    </row>
    <row r="6109">
      <c r="A6109" s="7" t="n">
        <v>66008</v>
      </c>
      <c r="B6109" s="7" t="n">
        <v>493417</v>
      </c>
      <c r="C6109" s="7" t="n">
        <v>529278</v>
      </c>
      <c r="D6109" s="7" t="n">
        <v>71373</v>
      </c>
      <c r="E6109" s="8" t="n">
        <v>39290</v>
      </c>
      <c r="F6109" s="7" t="n">
        <v>3</v>
      </c>
      <c r="G6109" s="7" t="inlineStr">
        <is>
          <t>We used this as our base for the Hot Brown sandwiches.  Came out of the bread machine looking beautiful.  Smelled wonderful too.  Tasted fine, but nothing special.  This makes a 2 pound loaf, so if your machine can't do anything that big, you may just want to bake it.</t>
        </is>
      </c>
    </row>
    <row r="6110" ht="409.5" customHeight="1">
      <c r="A6110" s="7" t="n">
        <v>21571</v>
      </c>
      <c r="B6110" s="7" t="n">
        <v>66049</v>
      </c>
      <c r="C6110" s="7" t="n">
        <v>83029</v>
      </c>
      <c r="D6110" s="7" t="n">
        <v>27344</v>
      </c>
      <c r="E6110" s="8" t="n">
        <v>37733</v>
      </c>
      <c r="F6110" s="7" t="n">
        <v>5</v>
      </c>
      <c r="G6110" s="9" t="inlineStr">
        <is>
          <t>My mother and grandmother made these noodles at least twice a_x000D_
month when I was a boy. Now my_x000D_
wife makes them for me. We eat them with just salt, pepper and_x000D_
hard boild eggs. Nothing better!_x000D_
_x000D_
Bill Weitz_x000D_
Oshkosh, WI</t>
        </is>
      </c>
    </row>
    <row r="6111">
      <c r="A6111" s="7" t="n">
        <v>11752</v>
      </c>
      <c r="B6111" s="7" t="n">
        <v>1005797</v>
      </c>
      <c r="C6111" s="7" t="n">
        <v>960426</v>
      </c>
      <c r="D6111" s="7" t="n">
        <v>112478</v>
      </c>
      <c r="E6111" s="8" t="n">
        <v>40138</v>
      </c>
      <c r="F6111" s="7" t="n">
        <v>5</v>
      </c>
      <c r="G6111" s="7" t="inlineStr">
        <is>
          <t>I was looking for a healthy banana bread recipe to replace my Betty Crocker one, and this is it!  I was suspicious with such a low amount of fat and it being from olive oil, but this turned out perfect.  No oat bran, so I used a smaller quantity of wheat germ and added a little more flour.  Added some Mixed Sweet Spice too.  Perfect!</t>
        </is>
      </c>
    </row>
    <row r="6112">
      <c r="A6112" s="7" t="n">
        <v>109050</v>
      </c>
      <c r="B6112" s="7" t="n">
        <v>510304</v>
      </c>
      <c r="C6112" s="7" t="n">
        <v>1562407</v>
      </c>
      <c r="D6112" s="7" t="n">
        <v>89207</v>
      </c>
      <c r="E6112" s="8" t="n">
        <v>40294</v>
      </c>
      <c r="F6112" s="7" t="n">
        <v>5</v>
      </c>
      <c r="G6112" s="7" t="inlineStr">
        <is>
          <t>This is delicious!  I used it to frost yellow cupcakes and then froze some for later (had to hurry it to the freezer before I ate it all!!).  I used milk (not half-and-half) and it worked fine.  I love having the options for light, medium and dark (I started with light but then decided to increase it to medium to better balance with the flavor of the cake).  Great recipe!</t>
        </is>
      </c>
    </row>
    <row r="6113">
      <c r="A6113" s="7" t="n">
        <v>25213</v>
      </c>
      <c r="B6113" s="7" t="n">
        <v>150943</v>
      </c>
      <c r="C6113" s="7" t="n">
        <v>424680</v>
      </c>
      <c r="D6113" s="7" t="n">
        <v>413691</v>
      </c>
      <c r="E6113" s="8" t="n">
        <v>40244</v>
      </c>
      <c r="F6113" s="7" t="n">
        <v>5</v>
      </c>
      <c r="G6113" s="7" t="inlineStr">
        <is>
          <t>With 1 exception, I made this recipe as given ~ Instead of being coarsely chopped, toasting the walnuts first &amp; then chopping them pretty fine! Loved the combo of apricot, chocolate &amp; the zest! Definitely something I'll make again! [Made &amp; reviewed in RSC #15 Contest]</t>
        </is>
      </c>
    </row>
    <row r="6114">
      <c r="A6114" s="7" t="n">
        <v>51353</v>
      </c>
      <c r="B6114" s="7" t="n">
        <v>1108723</v>
      </c>
      <c r="C6114" s="7" t="n">
        <v>252358</v>
      </c>
      <c r="D6114" s="7" t="n">
        <v>30358</v>
      </c>
      <c r="E6114" s="8" t="n">
        <v>38771</v>
      </c>
      <c r="F6114" s="7" t="n">
        <v>5</v>
      </c>
      <c r="G6114" s="7" t="inlineStr">
        <is>
          <t xml:space="preserve">I used spaghettini and 15 minutes, not sure if there's a difference between that and regular spaghetti but it turned out so soft but chewy, that perfect texture...what a great idea!! </t>
        </is>
      </c>
    </row>
    <row r="6115">
      <c r="A6115" s="7" t="n">
        <v>121358</v>
      </c>
      <c r="B6115" s="7" t="n">
        <v>169586</v>
      </c>
      <c r="C6115" s="7" t="n">
        <v>74736</v>
      </c>
      <c r="D6115" s="7" t="n">
        <v>21338</v>
      </c>
      <c r="E6115" s="8" t="n">
        <v>38045</v>
      </c>
      <c r="F6115" s="7" t="n">
        <v>5</v>
      </c>
      <c r="G6115" s="7" t="inlineStr">
        <is>
          <t>I made this last night for my bf and he said it was terrific!!! Very crispy on top and sweet and gooey on the bottom. He did put a dish towel over it and the topping got soggy, so I would reccommend if you want to keep the topping crisp don't cover it!</t>
        </is>
      </c>
    </row>
    <row r="6116">
      <c r="A6116" s="7" t="n">
        <v>98890</v>
      </c>
      <c r="B6116" s="7" t="n">
        <v>487485</v>
      </c>
      <c r="C6116" s="7" t="n">
        <v>340141</v>
      </c>
      <c r="D6116" s="7" t="n">
        <v>370504</v>
      </c>
      <c r="E6116" s="8" t="n">
        <v>41120</v>
      </c>
      <c r="F6116" s="7" t="n">
        <v>5</v>
      </c>
      <c r="G6116" s="7" t="inlineStr">
        <is>
          <t>Absolutely delicious flavor, and I'm sure the flavors' melding will be great overnight.  We'll use the rest over rice; tonight, we just had them as a "cup-a-beans" so that we could taste them.  I wasn't sure how much liquid I was supposed to have left; it seemed like too much for me, so I boiled it down some.   ZWT8</t>
        </is>
      </c>
    </row>
    <row r="6117">
      <c r="A6117" s="7" t="n">
        <v>49845</v>
      </c>
      <c r="B6117" s="7" t="n">
        <v>680340</v>
      </c>
      <c r="C6117" s="7" t="n">
        <v>171303</v>
      </c>
      <c r="D6117" s="7" t="n">
        <v>59898</v>
      </c>
      <c r="E6117" s="8" t="n">
        <v>39923</v>
      </c>
      <c r="F6117" s="7" t="n">
        <v>5</v>
      </c>
      <c r="G6117" s="7" t="inlineStr">
        <is>
          <t>This was a wonderfully creamy and flavorful dressing.  I did use keffir instead of buttermilk, as it is what I had on hand and it worked beautifully.  Thank you Evelyn/Athens for sharing the recipe.</t>
        </is>
      </c>
    </row>
    <row r="6118">
      <c r="A6118" s="7" t="n">
        <v>9736</v>
      </c>
      <c r="B6118" s="7" t="n">
        <v>1099983</v>
      </c>
      <c r="C6118" s="7" t="n">
        <v>45201</v>
      </c>
      <c r="D6118" s="7" t="n">
        <v>97699</v>
      </c>
      <c r="E6118" s="8" t="n">
        <v>40326</v>
      </c>
      <c r="F6118" s="7" t="n">
        <v>5</v>
      </c>
      <c r="G6118" s="7" t="inlineStr">
        <is>
          <t>So wonderfully rich and creamy. the best alfredo sauce I've ever had! But be sure to use the real parmesan cheese, not the stuff in a can.</t>
        </is>
      </c>
    </row>
    <row r="6119">
      <c r="A6119" s="7" t="n">
        <v>17065</v>
      </c>
      <c r="B6119" s="7" t="n">
        <v>921948</v>
      </c>
      <c r="C6119" s="7" t="n">
        <v>2001792719</v>
      </c>
      <c r="D6119" s="7" t="n">
        <v>91020</v>
      </c>
      <c r="E6119" s="8" t="n">
        <v>43052</v>
      </c>
      <c r="F6119" s="7" t="n">
        <v>5</v>
      </c>
      <c r="G6119" s="7" t="inlineStr">
        <is>
          <t>Very easy, cut the sugar on the topping to 3 tablespoons. Brushed butter on then sprinted the cinnamon/sugar mix. The grandchildren loved them. Thank you for the recipe. Now on the fav list for the children.</t>
        </is>
      </c>
    </row>
    <row r="6120">
      <c r="A6120" s="7" t="n">
        <v>62139</v>
      </c>
      <c r="B6120" s="7" t="n">
        <v>348321</v>
      </c>
      <c r="C6120" s="7" t="n">
        <v>254446</v>
      </c>
      <c r="D6120" s="7" t="n">
        <v>50719</v>
      </c>
      <c r="E6120" s="8" t="n">
        <v>39911</v>
      </c>
      <c r="F6120" s="7" t="n">
        <v>5</v>
      </c>
      <c r="G6120" s="7" t="inlineStr">
        <is>
          <t>I made a couple batches of these to keep on hand in my freezer. They freeze very well, and taste GREAT.</t>
        </is>
      </c>
    </row>
    <row r="6121">
      <c r="A6121" s="7" t="n">
        <v>98305</v>
      </c>
      <c r="B6121" s="7" t="n">
        <v>850265</v>
      </c>
      <c r="C6121" s="7" t="n">
        <v>251626</v>
      </c>
      <c r="D6121" s="7" t="n">
        <v>57340</v>
      </c>
      <c r="E6121" s="8" t="n">
        <v>39219</v>
      </c>
      <c r="F6121" s="7" t="n">
        <v>4</v>
      </c>
      <c r="G6121" s="7" t="inlineStr">
        <is>
          <t>Really good. I am still finding uses for it, but so far, I love it.</t>
        </is>
      </c>
    </row>
    <row r="6122">
      <c r="A6122" s="7" t="n">
        <v>63620</v>
      </c>
      <c r="B6122" s="7" t="n">
        <v>218659</v>
      </c>
      <c r="C6122" s="7" t="n">
        <v>58619</v>
      </c>
      <c r="D6122" s="7" t="n">
        <v>15345</v>
      </c>
      <c r="E6122" s="8" t="n">
        <v>38411</v>
      </c>
      <c r="F6122" s="7" t="n">
        <v>4</v>
      </c>
      <c r="G6122" s="7" t="inlineStr">
        <is>
          <t>Very yummy, but have to agree with everyone...a tad too sweet.  And I even cut down the sugar as many had suggested.  I'm sure I will try them again, as I LOVE oatmeal cookies.  I'll just have to cut down the sugar some more next time.</t>
        </is>
      </c>
    </row>
    <row r="6123">
      <c r="A6123" s="7" t="n">
        <v>12146</v>
      </c>
      <c r="B6123" s="7" t="n">
        <v>952000</v>
      </c>
      <c r="C6123" s="7" t="n">
        <v>708553</v>
      </c>
      <c r="D6123" s="7" t="n">
        <v>8899</v>
      </c>
      <c r="E6123" s="8" t="n">
        <v>39446</v>
      </c>
      <c r="F6123" s="7" t="n">
        <v>3</v>
      </c>
      <c r="G6123" s="7" t="inlineStr">
        <is>
          <t>I thought that it was a good recipe for a novice.  Something that may be a good idea to try is to instead serve on tostadas, with or without mayonesa(Mexican mayonese with lime juice added).  I know it may sound disgusting, but it tastes great.  Also, add one finely chopped clove of garlic, and a little cumin and a pinch of Mexican oregano(has a better/bolder flavor than Italian or Greek Oregano).</t>
        </is>
      </c>
    </row>
    <row r="6124">
      <c r="A6124" s="7" t="n">
        <v>79221</v>
      </c>
      <c r="B6124" s="7" t="n">
        <v>579169</v>
      </c>
      <c r="C6124" s="7" t="n">
        <v>37449</v>
      </c>
      <c r="D6124" s="7" t="n">
        <v>300777</v>
      </c>
      <c r="E6124" s="8" t="n">
        <v>40532</v>
      </c>
      <c r="F6124" s="7" t="n">
        <v>5</v>
      </c>
      <c r="G6124" s="7" t="inlineStr">
        <is>
          <t>A very nice cookie! I gave some to my friend who loves oatmeal cookies and she loved them! Thanks! Made for KK's Cookiethon!</t>
        </is>
      </c>
    </row>
    <row r="6125">
      <c r="A6125" s="7" t="n">
        <v>125658</v>
      </c>
      <c r="B6125" s="7" t="n">
        <v>499396</v>
      </c>
      <c r="C6125" s="7" t="n">
        <v>1269503</v>
      </c>
      <c r="D6125" s="7" t="n">
        <v>296126</v>
      </c>
      <c r="E6125" s="8" t="n">
        <v>39949</v>
      </c>
      <c r="F6125" s="7" t="n">
        <v>5</v>
      </c>
      <c r="G6125" s="7" t="inlineStr">
        <is>
          <t>I'm always looking for a great way to cook veggi's and this recipe was delicious. Although i must admit that i added garlic and ginger at the begining. It was a hit, even my mother in law was impressed :)</t>
        </is>
      </c>
    </row>
    <row r="6126">
      <c r="A6126" s="7" t="n">
        <v>92264</v>
      </c>
      <c r="B6126" s="7" t="n">
        <v>926206</v>
      </c>
      <c r="C6126" s="7" t="n">
        <v>755939</v>
      </c>
      <c r="D6126" s="7" t="n">
        <v>412284</v>
      </c>
      <c r="E6126" s="8" t="n">
        <v>40217</v>
      </c>
      <c r="F6126" s="7" t="n">
        <v>0</v>
      </c>
      <c r="G6126" s="7" t="inlineStr">
        <is>
          <t>I thought this sounded yummy too. Went out, bought ingredients. b4 making this decided to check out the recipe online. Sure enough, on Parade's website is the correction. The Chocolate needs to be Bittersweet or Semisweet! I just came home with a pound of Dark Choclate, now I have to go buy the correct one. Read reviews on Parade website. Cake doesn't sound so good afterward, but I still intend to try it.</t>
        </is>
      </c>
    </row>
    <row r="6127">
      <c r="A6127" s="7" t="n">
        <v>19712</v>
      </c>
      <c r="B6127" s="7" t="n">
        <v>794424</v>
      </c>
      <c r="C6127" s="7" t="n">
        <v>284922</v>
      </c>
      <c r="D6127" s="7" t="n">
        <v>184501</v>
      </c>
      <c r="E6127" s="8" t="n">
        <v>39107</v>
      </c>
      <c r="F6127" s="7" t="n">
        <v>5</v>
      </c>
      <c r="G6127" s="7" t="inlineStr">
        <is>
          <t>Yummy!!!  I too used chicken broth in place of the water and this was a huge hit in our house!  It was a very full flavored and hardy soup that we both enjoyed very much.  Thanks so much for posting your recipe, this one will make the rounds :)</t>
        </is>
      </c>
    </row>
    <row r="6128">
      <c r="A6128" s="7" t="n">
        <v>5785</v>
      </c>
      <c r="B6128" s="7" t="n">
        <v>925583</v>
      </c>
      <c r="C6128" s="7" t="n">
        <v>189500</v>
      </c>
      <c r="D6128" s="7" t="n">
        <v>63479</v>
      </c>
      <c r="E6128" s="8" t="n">
        <v>38730</v>
      </c>
      <c r="F6128" s="7" t="n">
        <v>5</v>
      </c>
      <c r="G6128" s="7" t="inlineStr">
        <is>
          <t>We had this tonight, I followed the recipe exactly, and was rewarded with a wonderful dinner!  I served this with coleslaw, 'Grace's Potato Casserole' #149237, and Barb's 'Good-for-you Cornbread' #112165.  A wonderful meal, with only a smear of leftovers - I'll be making it again :)</t>
        </is>
      </c>
    </row>
    <row r="6129">
      <c r="A6129" s="7" t="n">
        <v>101149</v>
      </c>
      <c r="B6129" s="7" t="n">
        <v>767247</v>
      </c>
      <c r="C6129" s="7" t="n">
        <v>2324285</v>
      </c>
      <c r="D6129" s="7" t="n">
        <v>478627</v>
      </c>
      <c r="E6129" s="8" t="n">
        <v>41254</v>
      </c>
      <c r="F6129" s="7" t="n">
        <v>5</v>
      </c>
      <c r="G6129" s="7" t="inlineStr">
        <is>
          <t>This made a really great, low-cal meal.  I used a pound of homemade turkey sausage and spinach, but otherwise kept everything the same.  I thought there wasn't going to be enough flavor in the stew, but it was just right actually.  I did add salt though.  Thanks for sharing this :) [Tagged, made &amp; reviewed in Please Review My Recipe]</t>
        </is>
      </c>
    </row>
    <row r="6130">
      <c r="A6130" s="7" t="n">
        <v>117643</v>
      </c>
      <c r="B6130" s="7" t="n">
        <v>168764</v>
      </c>
      <c r="C6130" s="7" t="n">
        <v>544275</v>
      </c>
      <c r="D6130" s="7" t="n">
        <v>26739</v>
      </c>
      <c r="E6130" s="8" t="n">
        <v>39585</v>
      </c>
      <c r="F6130" s="7" t="n">
        <v>5</v>
      </c>
      <c r="G6130" s="7" t="inlineStr">
        <is>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is>
      </c>
    </row>
    <row r="6131">
      <c r="A6131" s="7" t="n">
        <v>74947</v>
      </c>
      <c r="B6131" s="7" t="n">
        <v>127841</v>
      </c>
      <c r="C6131" s="7" t="n">
        <v>2338425</v>
      </c>
      <c r="D6131" s="7" t="n">
        <v>93743</v>
      </c>
      <c r="E6131" s="8" t="n">
        <v>41112</v>
      </c>
      <c r="F6131" s="7" t="n">
        <v>5</v>
      </c>
      <c r="G6131" s="7" t="inlineStr">
        <is>
          <t>This filling was just what I was looking for. My daughter and I made a 9" round cake and divided each of the 2 roud cakes so that we had 4 layers. We put the strwaberry filling between each of the layers and still had a bit for her to munch on!  :-)  It was super fresh and gave our cake such a delicious flavor.  We will use this again.</t>
        </is>
      </c>
    </row>
    <row r="6132">
      <c r="A6132" s="7" t="n">
        <v>98452</v>
      </c>
      <c r="B6132" s="7" t="n">
        <v>163903</v>
      </c>
      <c r="C6132" s="7" t="n">
        <v>414923</v>
      </c>
      <c r="D6132" s="7" t="n">
        <v>201000</v>
      </c>
      <c r="E6132" s="8" t="n">
        <v>39116</v>
      </c>
      <c r="F6132" s="7" t="n">
        <v>5</v>
      </c>
      <c r="G6132" s="7" t="inlineStr">
        <is>
          <t>Quite excellent and healthy, just don't tell my teenagers!  This was easy and fun to make, and made my kitchen smell lovely while it was in the oven.  The first thing I did was put the granola, still warm, on top of vanilla yogurt and serve it for dessert.  The family loved it!  I will make this again....thanks!!  (Made for Zaar Tag)</t>
        </is>
      </c>
    </row>
    <row r="6133">
      <c r="A6133" s="7" t="n">
        <v>51058</v>
      </c>
      <c r="B6133" s="7" t="n">
        <v>101665</v>
      </c>
      <c r="C6133" s="7" t="n">
        <v>169969</v>
      </c>
      <c r="D6133" s="7" t="n">
        <v>190804</v>
      </c>
      <c r="E6133" s="8" t="n">
        <v>39217</v>
      </c>
      <c r="F6133" s="7" t="n">
        <v>5</v>
      </c>
      <c r="G6133" s="7" t="inlineStr">
        <is>
          <t>We LOVED this recipe!!! I can't believe I put it off as long as I did because it is super easy!!! I did not have souffle dishes so I made them in a muffin tin. This of course was not as attractive as an individual dish and quite messy to scoop out. I do plan to buy some souffle dishes because I WILL be making this one again!</t>
        </is>
      </c>
    </row>
    <row r="6134">
      <c r="A6134" s="7" t="n">
        <v>50360</v>
      </c>
      <c r="B6134" s="7" t="n">
        <v>58963</v>
      </c>
      <c r="C6134" s="7" t="n">
        <v>2397100</v>
      </c>
      <c r="D6134" s="7" t="n">
        <v>185704</v>
      </c>
      <c r="E6134" s="8" t="n">
        <v>43385</v>
      </c>
      <c r="F6134" s="7" t="n">
        <v>5</v>
      </c>
      <c r="G6134" s="7" t="inlineStr">
        <is>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is>
      </c>
    </row>
    <row r="6135">
      <c r="A6135" s="7" t="n">
        <v>42135</v>
      </c>
      <c r="B6135" s="7" t="n">
        <v>1086199</v>
      </c>
      <c r="C6135" s="7" t="n">
        <v>1557902</v>
      </c>
      <c r="D6135" s="7" t="n">
        <v>95569</v>
      </c>
      <c r="E6135" s="8" t="n">
        <v>40685</v>
      </c>
      <c r="F6135" s="7" t="n">
        <v>4</v>
      </c>
      <c r="G6135" s="7" t="inlineStr">
        <is>
          <t>As good as any I've had in a restaraunt.  I used 2.5 lbs chicken , Sweet Baby Ray's Honey 18 oz (could probably use a little more). Seasoned chicken with pepper and garlic salt before cooking. Diced the onion. Cooked for 3.5 hours on low, took chicken out, shredded and added more pepper to chicken and sauce. Added last bit of bbq sauce in bottle to the pot. Threw chicken back in pot and cooked for 15-20 minutes longer. Served on kaiser buns with cole slaw on the side.</t>
        </is>
      </c>
    </row>
    <row r="6136">
      <c r="A6136" s="7" t="n">
        <v>72943</v>
      </c>
      <c r="B6136" s="7" t="n">
        <v>930418</v>
      </c>
      <c r="C6136" s="7" t="n">
        <v>166642</v>
      </c>
      <c r="D6136" s="7" t="n">
        <v>258090</v>
      </c>
      <c r="E6136" s="8" t="n">
        <v>39691</v>
      </c>
      <c r="F6136" s="7" t="n">
        <v>4</v>
      </c>
      <c r="G6136" s="7" t="inlineStr">
        <is>
          <t>This is very good. It has great flavor and I also added some beef broth to thin the sauce just a bit. Thanks for sharing.</t>
        </is>
      </c>
    </row>
    <row r="6137">
      <c r="A6137" s="7" t="n">
        <v>116163</v>
      </c>
      <c r="B6137" s="7" t="n">
        <v>428620</v>
      </c>
      <c r="C6137" s="7" t="n">
        <v>858860</v>
      </c>
      <c r="D6137" s="7" t="n">
        <v>22149</v>
      </c>
      <c r="E6137" s="8" t="n">
        <v>40521</v>
      </c>
      <c r="F6137" s="7" t="n">
        <v>5</v>
      </c>
      <c r="G6137" s="7" t="inlineStr">
        <is>
          <t>I always wondered how the Fast Food Joints have that corn so sweet and ready... Wow.  Thanks so much for sharing this recipe.</t>
        </is>
      </c>
    </row>
    <row r="6138">
      <c r="A6138" s="7" t="n">
        <v>22886</v>
      </c>
      <c r="B6138" s="7" t="n">
        <v>1063109</v>
      </c>
      <c r="C6138" s="7" t="n">
        <v>58104</v>
      </c>
      <c r="D6138" s="7" t="n">
        <v>54686</v>
      </c>
      <c r="E6138" s="8" t="n">
        <v>37944</v>
      </c>
      <c r="F6138" s="7" t="n">
        <v>5</v>
      </c>
      <c r="G6138" s="7" t="inlineStr">
        <is>
          <t>I enjoyed this after dinner. A nice way to relax and unwind! I use Honey in place of the syrup and only 2 tablespoons.</t>
        </is>
      </c>
    </row>
    <row r="6139">
      <c r="A6139" s="7" t="n">
        <v>121384</v>
      </c>
      <c r="B6139" s="7" t="n">
        <v>922298</v>
      </c>
      <c r="C6139" s="7" t="n">
        <v>427184</v>
      </c>
      <c r="D6139" s="7" t="n">
        <v>176016</v>
      </c>
      <c r="E6139" s="8" t="n">
        <v>39489</v>
      </c>
      <c r="F6139" s="7" t="n">
        <v>5</v>
      </c>
      <c r="G6139" s="7" t="inlineStr">
        <is>
          <t>Great dressing, a keeper for sure. I only used a little more than half of the olive oil because I didn't want to dilute the wonderful flavor, and I loved the "tang" Thanks for posting.</t>
        </is>
      </c>
    </row>
    <row r="6140">
      <c r="A6140" s="7" t="n">
        <v>56460</v>
      </c>
      <c r="B6140" s="7" t="n">
        <v>1039135</v>
      </c>
      <c r="C6140" s="7" t="n">
        <v>1072593</v>
      </c>
      <c r="D6140" s="7" t="n">
        <v>401827</v>
      </c>
      <c r="E6140" s="8" t="n">
        <v>40592</v>
      </c>
      <c r="F6140" s="7" t="n">
        <v>5</v>
      </c>
      <c r="G6140" s="7" t="inlineStr">
        <is>
          <t>I posted a gorgeous picture.  My lips may lie their butt off, but my eyes tell the truth.</t>
        </is>
      </c>
    </row>
    <row r="6141">
      <c r="A6141" s="7" t="n">
        <v>89675</v>
      </c>
      <c r="B6141" s="7" t="n">
        <v>1049257</v>
      </c>
      <c r="C6141" s="7" t="n">
        <v>437904</v>
      </c>
      <c r="D6141" s="7" t="n">
        <v>102274</v>
      </c>
      <c r="E6141" s="8" t="n">
        <v>41210</v>
      </c>
      <c r="F6141" s="7" t="n">
        <v>4</v>
      </c>
      <c r="G6141" s="7" t="inlineStr">
        <is>
          <t>Tasty, both my toddlers ate two servings with flour tortillas to dunk.</t>
        </is>
      </c>
    </row>
    <row r="6142">
      <c r="A6142" s="7" t="n">
        <v>107092</v>
      </c>
      <c r="B6142" s="7" t="n">
        <v>373693</v>
      </c>
      <c r="C6142" s="7" t="n">
        <v>64203</v>
      </c>
      <c r="D6142" s="7" t="n">
        <v>7998</v>
      </c>
      <c r="E6142" s="8" t="n">
        <v>38409</v>
      </c>
      <c r="F6142" s="7" t="n">
        <v>5</v>
      </c>
      <c r="G6142" s="7" t="inlineStr">
        <is>
          <t>I made this recipe that TK adopted as part of a recipe swap. I originally made the recipe with Mayo and wasn't crazy about it but knew it had some great potential. I then made another batch, but made it with Miracle Whip, thinking that would add some additional flavor &amp; zest to it. It did and was fabulous! I used 1 tsp of Cayenne Pepper and 1/2 tsp of Cajun seasoning. We used this dip for tomatoes and cucumbers and it was fabulous! The kids, my dh and I all enjoyed it. Excellent veggie dip!</t>
        </is>
      </c>
    </row>
    <row r="6143">
      <c r="A6143" s="7" t="n">
        <v>54564</v>
      </c>
      <c r="B6143" s="7" t="n">
        <v>590921</v>
      </c>
      <c r="C6143" s="7" t="n">
        <v>68588</v>
      </c>
      <c r="D6143" s="7" t="n">
        <v>40837</v>
      </c>
      <c r="E6143" s="8" t="n">
        <v>39334</v>
      </c>
      <c r="F6143" s="7" t="n">
        <v>5</v>
      </c>
      <c r="G6143" s="7" t="inlineStr">
        <is>
          <t>excelent recipe, will be our favorite from now on. from Brewhead</t>
        </is>
      </c>
    </row>
    <row r="6144">
      <c r="A6144" s="7" t="n">
        <v>89611</v>
      </c>
      <c r="B6144" s="7" t="n">
        <v>281855</v>
      </c>
      <c r="C6144" s="7" t="n">
        <v>143559</v>
      </c>
      <c r="D6144" s="7" t="n">
        <v>102916</v>
      </c>
      <c r="E6144" s="8" t="n">
        <v>38407</v>
      </c>
      <c r="F6144" s="7" t="n">
        <v>0</v>
      </c>
      <c r="G6144" s="7" t="inlineStr">
        <is>
          <t>This is very yummy.Was pleasantly surprised at the wonderful smokey flavor from the bacon.I didn't put the nutmeg in,only because DH(very picky eater) asked me not to.I also added extra water from the start,,as I thought the rice would absorb quite a bit and it turned out perfect. This was very delicious.A keeper. Thanks for sharing a wonderful recipe.</t>
        </is>
      </c>
    </row>
    <row r="6145" ht="409.5" customHeight="1">
      <c r="A6145" s="7" t="n">
        <v>125877</v>
      </c>
      <c r="B6145" s="7" t="n">
        <v>928338</v>
      </c>
      <c r="C6145" s="7" t="n">
        <v>335614</v>
      </c>
      <c r="D6145" s="7" t="n">
        <v>332616</v>
      </c>
      <c r="E6145" s="8" t="n">
        <v>39896</v>
      </c>
      <c r="F6145" s="7" t="n">
        <v>5</v>
      </c>
      <c r="G6145" s="9" t="inlineStr">
        <is>
          <t>Wow. This is way too easy to taste this good. I ended up smashing mine up into a tapenade kind of thing, with some more lovely roasty olives on top just to look pretty. The roasting mellows the flavors of the olives and tomatoes, and it really tastes so much better than store bought tapenade. 
I have a feeling this is going to be a favorite at my house. 
Made for PAC Spring 2009.</t>
        </is>
      </c>
    </row>
    <row r="6146">
      <c r="A6146" s="7" t="n">
        <v>124963</v>
      </c>
      <c r="B6146" s="7" t="n">
        <v>351142</v>
      </c>
      <c r="C6146" s="7" t="n">
        <v>89831</v>
      </c>
      <c r="D6146" s="7" t="n">
        <v>114509</v>
      </c>
      <c r="E6146" s="8" t="n">
        <v>38447</v>
      </c>
      <c r="F6146" s="7" t="n">
        <v>5</v>
      </c>
      <c r="G6146" s="7" t="inlineStr">
        <is>
          <t>I've made these many times in the past, I usually double the recipe and make in jumbo muffin tins. This is a wonderful recipe for bran muffins, they really rise nice and high! thanks for posting...Kittencal:)</t>
        </is>
      </c>
    </row>
    <row r="6147">
      <c r="A6147" s="7" t="n">
        <v>71085</v>
      </c>
      <c r="B6147" s="7" t="n">
        <v>532062</v>
      </c>
      <c r="C6147" s="7" t="n">
        <v>520150</v>
      </c>
      <c r="D6147" s="7" t="n">
        <v>36548</v>
      </c>
      <c r="E6147" s="8" t="n">
        <v>39597</v>
      </c>
      <c r="F6147" s="7" t="n">
        <v>5</v>
      </c>
      <c r="G6147" s="7" t="inlineStr">
        <is>
          <t>My DH really enjoyed this chicken.  I do have to admit, however, that I didn't include the lemon juice.  I didn't have any - &amp; I don't think he would have liked it as much anyway.  I froze the chicken in the marinade for oamc cooking.  Thank you very much - I will make this again.</t>
        </is>
      </c>
    </row>
    <row r="6148">
      <c r="A6148" s="7" t="n">
        <v>107030</v>
      </c>
      <c r="B6148" s="7" t="n">
        <v>356829</v>
      </c>
      <c r="C6148" s="7" t="n">
        <v>431716</v>
      </c>
      <c r="D6148" s="7" t="n">
        <v>42603</v>
      </c>
      <c r="E6148" s="8" t="n">
        <v>39568</v>
      </c>
      <c r="F6148" s="7" t="n">
        <v>4</v>
      </c>
      <c r="G6148" s="7" t="inlineStr">
        <is>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is>
      </c>
    </row>
    <row r="6149">
      <c r="A6149" s="7" t="n">
        <v>65579</v>
      </c>
      <c r="B6149" s="7" t="n">
        <v>767715</v>
      </c>
      <c r="C6149" s="7" t="n">
        <v>482933</v>
      </c>
      <c r="D6149" s="7" t="n">
        <v>341939</v>
      </c>
      <c r="E6149" s="8" t="n">
        <v>40093</v>
      </c>
      <c r="F6149" s="7" t="n">
        <v>5</v>
      </c>
      <c r="G6149" s="7" t="inlineStr">
        <is>
          <t>The aroma alone is TDF!  Delicious and easy too.  Love finding ways to use my leftovers-in this case turkey and kielbasa.    I used half the bread crumb mixture. Subbed in black eye peas for the white beans-1 can. Tonight, I also made a salad and Recipe#361967.  Thanks wicked cook 46 for sharing another great recipe. Made for Everyday is a Holiday.</t>
        </is>
      </c>
    </row>
    <row r="6150">
      <c r="A6150" s="7" t="n">
        <v>117584</v>
      </c>
      <c r="B6150" s="7" t="n">
        <v>1063759</v>
      </c>
      <c r="C6150" s="7" t="n">
        <v>126440</v>
      </c>
      <c r="D6150" s="7" t="n">
        <v>410513</v>
      </c>
      <c r="E6150" s="8" t="n">
        <v>42505</v>
      </c>
      <c r="F6150" s="7" t="n">
        <v>5</v>
      </c>
      <c r="G6150" s="7" t="inlineStr">
        <is>
          <t>Very good breakfast. I used my homemade buns and added a few bites of ham first then followed the recipe. I did cook mine 2 min. longer as they didn't look done but they ended up being a hard cooked yolk. Will try this with whisked eggs next time. Tried it with scrambled egg, ham and cream, took much longer 30 min. plus topped with cheese for another 5 min. Still good, wrapped in foil but bun was hard to cut with a knife.</t>
        </is>
      </c>
    </row>
    <row r="6151">
      <c r="A6151" s="7" t="n">
        <v>22351</v>
      </c>
      <c r="B6151" s="7" t="n">
        <v>169353</v>
      </c>
      <c r="C6151" s="7" t="n">
        <v>436325</v>
      </c>
      <c r="D6151" s="7" t="n">
        <v>184755</v>
      </c>
      <c r="E6151" s="8" t="n">
        <v>41592</v>
      </c>
      <c r="F6151" s="7" t="n">
        <v>5</v>
      </c>
      <c r="G6151" s="7" t="inlineStr">
        <is>
          <t>I didn&amp;#039;t get to taste it as I gave the pie to 2 very special young ladies I know...well they thought it was the bomb! I gotta make me one!</t>
        </is>
      </c>
    </row>
    <row r="6152">
      <c r="A6152" s="7" t="n">
        <v>86903</v>
      </c>
      <c r="B6152" s="7" t="n">
        <v>320574</v>
      </c>
      <c r="C6152" s="7" t="n">
        <v>1792349</v>
      </c>
      <c r="D6152" s="7" t="n">
        <v>142853</v>
      </c>
      <c r="E6152" s="8" t="n">
        <v>40651</v>
      </c>
      <c r="F6152" s="7" t="n">
        <v>5</v>
      </c>
      <c r="G6152" s="7" t="inlineStr">
        <is>
          <t>So good!  I added some garlic while blending as well, and even a bit of water to thin it down and make it last.  Great if you love thick dressing.  This is a keeper, thanks.</t>
        </is>
      </c>
    </row>
    <row r="6153">
      <c r="A6153" s="7" t="n">
        <v>5236</v>
      </c>
      <c r="B6153" s="7" t="n">
        <v>602367</v>
      </c>
      <c r="C6153" s="7" t="n">
        <v>232669</v>
      </c>
      <c r="D6153" s="7" t="n">
        <v>118785</v>
      </c>
      <c r="E6153" s="8" t="n">
        <v>39072</v>
      </c>
      <c r="F6153" s="7" t="n">
        <v>5</v>
      </c>
      <c r="G6153" s="7" t="inlineStr">
        <is>
          <t>He Cheryl, very delicious! Thank you, However, I did make a few changes - we used a mixture of cremini and button mushrooms, instead of basil(personal preference)we used Italian seasoning and we used Guyere in stead of Swiss. Increased the amount of onion powder and added a clove of garlic(smashed)which I added at the end of cooking the mushrooms. Don't you love people who take a basic recipe and turn it all around? Sorry - a lot of it is due to their likes &amp; dislikes here at the 'home' It was truly "yummelicious" and we'll definitely make this again. Thanks for posting, Diane :=) OH, omitted the hot sauce, can't serve it here.</t>
        </is>
      </c>
    </row>
    <row r="6154">
      <c r="A6154" s="7" t="n">
        <v>107986</v>
      </c>
      <c r="B6154" s="7" t="n">
        <v>987485</v>
      </c>
      <c r="C6154" s="7" t="n">
        <v>57042</v>
      </c>
      <c r="D6154" s="7" t="n">
        <v>334409</v>
      </c>
      <c r="E6154" s="8" t="n">
        <v>39909</v>
      </c>
      <c r="F6154" s="7" t="n">
        <v>0</v>
      </c>
      <c r="G6154" s="7" t="inlineStr">
        <is>
          <t>I'm not rating this recipe as I have not tried it. My copy of this recipe I to found in the same magazine calls for 1/3 cup pumpkin puree. The rest is the same. This sound yummy! I hope to try this soon. Christine (internetnut)</t>
        </is>
      </c>
    </row>
    <row r="6155" ht="409.5" customHeight="1">
      <c r="A6155" s="7" t="n">
        <v>57844</v>
      </c>
      <c r="B6155" s="7" t="n">
        <v>262606</v>
      </c>
      <c r="C6155" s="7" t="n">
        <v>1638650</v>
      </c>
      <c r="D6155" s="7" t="n">
        <v>24293</v>
      </c>
      <c r="E6155" s="8" t="n">
        <v>40351</v>
      </c>
      <c r="F6155" s="7" t="n">
        <v>5</v>
      </c>
      <c r="G6155" s="9" t="inlineStr">
        <is>
          <t>It's great... Simple fairly inexpensive and delish, great recipe. _x000D_
-All it needs is a touch of garlic and rosemary. And I added a shot of whiskey to the steak while searing it in the butter to kick the flames up a bit while giving a little more flavor. Great tip for guys trying to impress the girl your cooking for.</t>
        </is>
      </c>
    </row>
    <row r="6156">
      <c r="A6156" s="7" t="n">
        <v>120499</v>
      </c>
      <c r="B6156" s="7" t="n">
        <v>642774</v>
      </c>
      <c r="C6156" s="7" t="n">
        <v>965368</v>
      </c>
      <c r="D6156" s="7" t="n">
        <v>35988</v>
      </c>
      <c r="E6156" s="8" t="n">
        <v>41177</v>
      </c>
      <c r="F6156" s="7" t="n">
        <v>5</v>
      </c>
      <c r="G6156" s="7" t="inlineStr">
        <is>
          <t>Simple, takes fresh and easy. Great for a quick lunch on cold days!</t>
        </is>
      </c>
    </row>
    <row r="6157">
      <c r="A6157" s="7" t="n">
        <v>6482</v>
      </c>
      <c r="B6157" s="7" t="n">
        <v>1111190</v>
      </c>
      <c r="C6157" s="7" t="n">
        <v>1802475801</v>
      </c>
      <c r="D6157" s="7" t="n">
        <v>186256</v>
      </c>
      <c r="E6157" s="8" t="n">
        <v>42047</v>
      </c>
      <c r="F6157" s="7" t="n">
        <v>5</v>
      </c>
      <c r="G6157" s="7" t="inlineStr">
        <is>
          <t>Taste great.I&amp;#039;m  going to try substitute the butter with olive/canola oil.</t>
        </is>
      </c>
    </row>
    <row r="6158">
      <c r="A6158" s="7" t="n">
        <v>32718</v>
      </c>
      <c r="B6158" s="7" t="n">
        <v>1021526</v>
      </c>
      <c r="C6158" s="7" t="n">
        <v>382071</v>
      </c>
      <c r="D6158" s="7" t="n">
        <v>240135</v>
      </c>
      <c r="E6158" s="8" t="n">
        <v>39361</v>
      </c>
      <c r="F6158" s="7" t="n">
        <v>4</v>
      </c>
      <c r="G6158" s="7" t="inlineStr">
        <is>
          <t>This was good but a little bitter so I added some club soda and Splenda. Made for the Went to the market game.</t>
        </is>
      </c>
    </row>
    <row r="6159">
      <c r="A6159" s="7" t="n">
        <v>38702</v>
      </c>
      <c r="B6159" s="7" t="n">
        <v>323345</v>
      </c>
      <c r="C6159" s="7" t="n">
        <v>424680</v>
      </c>
      <c r="D6159" s="7" t="n">
        <v>281198</v>
      </c>
      <c r="E6159" s="8" t="n">
        <v>40300</v>
      </c>
      <c r="F6159" s="7" t="n">
        <v>5</v>
      </c>
      <c r="G6159" s="7" t="inlineStr">
        <is>
          <t>Do love those sweet potatoes, &amp; made this way, they are really nice, we thought! The only change I made was to use just 5 mini marshmallows cut in half to give us a taste of the mallows ~ Everything else was as given here, &amp; our LARGE potato baked up in just about 13 minutes! [Made &amp; reviewed for one of my adoptees in this Spring's round of Pick A Chef]</t>
        </is>
      </c>
    </row>
    <row r="6160">
      <c r="A6160" s="7" t="n">
        <v>51247</v>
      </c>
      <c r="B6160" s="7" t="n">
        <v>428530</v>
      </c>
      <c r="C6160" s="7" t="n">
        <v>60486</v>
      </c>
      <c r="D6160" s="7" t="n">
        <v>227007</v>
      </c>
      <c r="E6160" s="8" t="n">
        <v>39944</v>
      </c>
      <c r="F6160" s="7" t="n">
        <v>4</v>
      </c>
      <c r="G6160" s="7" t="inlineStr">
        <is>
          <t>Excellent. Quick and easy. Crunchy and the sesame flavour really came through. Though I did have to make some substitutions to use what I had on hand. Subbed cider vinegar with a pinch of sugar, and 1 tbsp of minced red onion. Definitely will be preparing this again!</t>
        </is>
      </c>
    </row>
    <row r="6161">
      <c r="A6161" s="7" t="n">
        <v>71898</v>
      </c>
      <c r="B6161" s="7" t="n">
        <v>426116</v>
      </c>
      <c r="C6161" s="7" t="n">
        <v>262272</v>
      </c>
      <c r="D6161" s="7" t="n">
        <v>24709</v>
      </c>
      <c r="E6161" s="8" t="n">
        <v>39292</v>
      </c>
      <c r="F6161" s="7" t="n">
        <v>5</v>
      </c>
      <c r="G6161" s="7" t="inlineStr">
        <is>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is>
      </c>
    </row>
    <row r="6162">
      <c r="A6162" s="7" t="n">
        <v>109736</v>
      </c>
      <c r="B6162" s="7" t="n">
        <v>94556</v>
      </c>
      <c r="C6162" s="7" t="n">
        <v>37449</v>
      </c>
      <c r="D6162" s="7" t="n">
        <v>93549</v>
      </c>
      <c r="E6162" s="8" t="n">
        <v>38221</v>
      </c>
      <c r="F6162" s="7" t="n">
        <v>4</v>
      </c>
      <c r="G6162" s="7" t="inlineStr">
        <is>
          <t>My husband enjoyed this dinner, we served with creamed corn and baked beans. I used cube steaks. Easy, yummy recipe, thanks!</t>
        </is>
      </c>
    </row>
    <row r="6163">
      <c r="A6163" s="7" t="n">
        <v>54293</v>
      </c>
      <c r="B6163" s="7" t="n">
        <v>1047088</v>
      </c>
      <c r="C6163" s="7" t="n">
        <v>452576</v>
      </c>
      <c r="D6163" s="7" t="n">
        <v>36355</v>
      </c>
      <c r="E6163" s="8" t="n">
        <v>39494</v>
      </c>
      <c r="F6163" s="7" t="n">
        <v>4</v>
      </c>
      <c r="G6163" s="7" t="inlineStr">
        <is>
          <t>This was pretty good and relatively easy to make --the foil on top makes all the difference!</t>
        </is>
      </c>
    </row>
    <row r="6164">
      <c r="A6164" s="7" t="n">
        <v>121474</v>
      </c>
      <c r="B6164" s="7" t="n">
        <v>343328</v>
      </c>
      <c r="C6164" s="7" t="n">
        <v>29782</v>
      </c>
      <c r="D6164" s="7" t="n">
        <v>159087</v>
      </c>
      <c r="E6164" s="8" t="n">
        <v>38809</v>
      </c>
      <c r="F6164" s="7" t="n">
        <v>5</v>
      </c>
      <c r="G6164" s="7" t="inlineStr">
        <is>
          <t xml:space="preserve">YUM! this is good. I had one right after dinner. I added some nestle quik for more of a chocolate taste. Thanks for sharing this delicious cocktail. </t>
        </is>
      </c>
    </row>
    <row r="6165">
      <c r="A6165" t="n">
        <v>80063</v>
      </c>
      <c r="B6165" t="n">
        <v>638823</v>
      </c>
      <c r="C6165" t="n">
        <v>15521</v>
      </c>
      <c r="D6165" t="n">
        <v>223444</v>
      </c>
      <c r="E6165" s="1" t="n">
        <v>40576</v>
      </c>
      <c r="F6165" t="n">
        <v>5</v>
      </c>
      <c r="G6165" t="inlineStr">
        <is>
          <t>My daughter requested a turtle cheesecake for her birthday and I had been sick for three weeks and just the day before had been diagnosed with Pneumonia.  I wanted to make her something that didn't completely wipe me out.  I found this and it was just what I was looking for.  It was very easy, but the results tasted like I had slaved all day!  I was so happy that I could make her something she loved with minimal effort.  Thanks for sharing!</t>
        </is>
      </c>
    </row>
    <row r="6166">
      <c r="A6166" t="n">
        <v>23238</v>
      </c>
      <c r="B6166" t="n">
        <v>1002735</v>
      </c>
      <c r="C6166" t="n">
        <v>551112</v>
      </c>
      <c r="D6166" t="n">
        <v>92963</v>
      </c>
      <c r="E6166" s="1" t="n">
        <v>39901</v>
      </c>
      <c r="F6166" t="n">
        <v>5</v>
      </c>
      <c r="G6166" t="inlineStr">
        <is>
          <t>This was great. I will definitely make it again!</t>
        </is>
      </c>
    </row>
    <row r="6167">
      <c r="A6167" s="7" t="n">
        <v>90142</v>
      </c>
      <c r="B6167" s="7" t="n">
        <v>1066742</v>
      </c>
      <c r="C6167" s="7" t="n">
        <v>23466</v>
      </c>
      <c r="D6167" s="7" t="n">
        <v>63446</v>
      </c>
      <c r="E6167" s="8" t="n">
        <v>40217</v>
      </c>
      <c r="F6167" s="7" t="n">
        <v>5</v>
      </c>
      <c r="G6167" s="7" t="inlineStr">
        <is>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is>
      </c>
    </row>
    <row r="6168">
      <c r="A6168" s="7" t="n">
        <v>30360</v>
      </c>
      <c r="B6168" s="7" t="n">
        <v>976345</v>
      </c>
      <c r="C6168" s="7" t="n">
        <v>293946</v>
      </c>
      <c r="D6168" s="7" t="n">
        <v>102525</v>
      </c>
      <c r="E6168" s="8" t="n">
        <v>38862</v>
      </c>
      <c r="F6168" s="7" t="n">
        <v>5</v>
      </c>
      <c r="G6168" s="7" t="inlineStr">
        <is>
          <t>I made this for the Summer 2006 Pick A Chef Contest.  This is a REALLY GOOD RECIPE!!!  It is like a REALLY thick manwich and it is SO good on the hotdog.  I want to let you know to keep stirring it so that it does not stick to your pan.  I blabbered cheese on the top of it and it was wonderful!!  The taste and the texture is so very good.  This is a definate keeper and will be made again and again!!</t>
        </is>
      </c>
    </row>
    <row r="6169">
      <c r="A6169" s="7" t="n">
        <v>72672</v>
      </c>
      <c r="B6169" s="7" t="n">
        <v>678862</v>
      </c>
      <c r="C6169" s="7" t="n">
        <v>381258</v>
      </c>
      <c r="D6169" s="7" t="n">
        <v>94441</v>
      </c>
      <c r="E6169" s="8" t="n">
        <v>39135</v>
      </c>
      <c r="F6169" s="7" t="n">
        <v>5</v>
      </c>
      <c r="G6169" s="7" t="inlineStr">
        <is>
          <t>This is the best in it's class!!!</t>
        </is>
      </c>
    </row>
    <row r="6170">
      <c r="A6170" s="7" t="n">
        <v>57234</v>
      </c>
      <c r="B6170" s="7" t="n">
        <v>221382</v>
      </c>
      <c r="C6170" s="7" t="n">
        <v>25711</v>
      </c>
      <c r="D6170" s="7" t="n">
        <v>37550</v>
      </c>
      <c r="E6170" s="8" t="n">
        <v>37589</v>
      </c>
      <c r="F6170" s="7" t="n">
        <v>5</v>
      </c>
      <c r="G6170" s="7" t="inlineStr">
        <is>
          <t>This was awesome! I cooked it for the first time to go along with my Thanksgiving dinner - what a hit! I can't wait to make it again.</t>
        </is>
      </c>
    </row>
    <row r="6171">
      <c r="A6171" s="7" t="n">
        <v>2805</v>
      </c>
      <c r="B6171" s="7" t="n">
        <v>380673</v>
      </c>
      <c r="C6171" s="7" t="n">
        <v>2002236129</v>
      </c>
      <c r="D6171" s="7" t="n">
        <v>173250</v>
      </c>
      <c r="E6171" s="8" t="n">
        <v>43313</v>
      </c>
      <c r="F6171" s="7" t="n">
        <v>1</v>
      </c>
      <c r="G6171" s="7" t="inlineStr">
        <is>
          <t>Terrible instructions. Adding the maple syrup nut blend when still raw causes it to not cook in the middle and bottom. Ended up only cooked on the sides. Horrible recipe and instructions :-{</t>
        </is>
      </c>
    </row>
    <row r="6172">
      <c r="A6172" s="7" t="n">
        <v>54558</v>
      </c>
      <c r="B6172" s="7" t="n">
        <v>1065589</v>
      </c>
      <c r="C6172" s="7" t="n">
        <v>1058097</v>
      </c>
      <c r="D6172" s="7" t="n">
        <v>178169</v>
      </c>
      <c r="E6172" s="8" t="n">
        <v>40110</v>
      </c>
      <c r="F6172" s="7" t="n">
        <v>5</v>
      </c>
      <c r="G6172" s="7" t="inlineStr">
        <is>
          <t>A great easy recipe, not just for beginners.  This is a nice one to make when you're tired after a long day.  The flavors remind me a little of French onion soup, and  this bread would make a wonderful accompaniment to soup, or a big bowl of chili.  Thanks for posting!</t>
        </is>
      </c>
    </row>
    <row r="6173">
      <c r="A6173" s="7" t="n">
        <v>70646</v>
      </c>
      <c r="B6173" s="7" t="n">
        <v>1074855</v>
      </c>
      <c r="C6173" s="7" t="n">
        <v>1802641842</v>
      </c>
      <c r="D6173" s="7" t="n">
        <v>135350</v>
      </c>
      <c r="E6173" s="8" t="n">
        <v>41733</v>
      </c>
      <c r="F6173" s="7" t="n">
        <v>2</v>
      </c>
      <c r="G6173" s="7" t="inlineStr">
        <is>
          <t>After searching on line for a great mac &amp;amp; cheese recipe, I thought with the high ratings for this recipe it would be hard to go wrong.   Turned out to be a huge disappointment.  I followed the instructions exactly, and  found the results to be dry and bland.  Will continue my search for a winner.</t>
        </is>
      </c>
    </row>
    <row r="6174">
      <c r="A6174" s="7" t="n">
        <v>15704</v>
      </c>
      <c r="B6174" s="7" t="n">
        <v>512393</v>
      </c>
      <c r="C6174" s="7" t="n">
        <v>824547</v>
      </c>
      <c r="D6174" s="7" t="n">
        <v>278439</v>
      </c>
      <c r="E6174" s="8" t="n">
        <v>40251</v>
      </c>
      <c r="F6174" s="7" t="n">
        <v>5</v>
      </c>
      <c r="G6174" s="7" t="inlineStr">
        <is>
          <t>This was delicious!! A new favorite in our house!</t>
        </is>
      </c>
    </row>
    <row r="6175">
      <c r="A6175" s="7" t="n">
        <v>99633</v>
      </c>
      <c r="B6175" s="7" t="n">
        <v>212656</v>
      </c>
      <c r="C6175" s="7" t="n">
        <v>576160</v>
      </c>
      <c r="D6175" s="7" t="n">
        <v>199579</v>
      </c>
      <c r="E6175" s="8" t="n">
        <v>39326</v>
      </c>
      <c r="F6175" s="7" t="n">
        <v>5</v>
      </c>
      <c r="G6175" s="7" t="inlineStr">
        <is>
          <t>My husband and my children loved this casserole,we will be making this one for years to come.Thank you for a great recipe.</t>
        </is>
      </c>
    </row>
    <row r="6176">
      <c r="A6176" s="7" t="n">
        <v>82920</v>
      </c>
      <c r="B6176" s="7" t="n">
        <v>1003543</v>
      </c>
      <c r="C6176" s="7" t="n">
        <v>95743</v>
      </c>
      <c r="D6176" s="7" t="n">
        <v>94226</v>
      </c>
      <c r="E6176" s="8" t="n">
        <v>38172</v>
      </c>
      <c r="F6176" s="7" t="n">
        <v>5</v>
      </c>
      <c r="G6176" s="7" t="inlineStr">
        <is>
          <t xml:space="preserve">Great way to enjoy snow peas.  Nice, mild and mellow sauce. I used just 2 tsp of oil and it worked just fine.  </t>
        </is>
      </c>
    </row>
    <row r="6177">
      <c r="A6177" s="7" t="n">
        <v>90387</v>
      </c>
      <c r="B6177" s="7" t="n">
        <v>309378</v>
      </c>
      <c r="C6177" s="7" t="n">
        <v>1072593</v>
      </c>
      <c r="D6177" s="7" t="n">
        <v>22691</v>
      </c>
      <c r="E6177" s="8" t="n">
        <v>39887</v>
      </c>
      <c r="F6177" s="7" t="n">
        <v>5</v>
      </c>
      <c r="G6177" s="7" t="inlineStr">
        <is>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is>
      </c>
    </row>
    <row r="6178">
      <c r="A6178" s="7" t="n">
        <v>110782</v>
      </c>
      <c r="B6178" s="7" t="n">
        <v>945237</v>
      </c>
      <c r="C6178" s="7" t="n">
        <v>269860</v>
      </c>
      <c r="D6178" s="7" t="n">
        <v>162860</v>
      </c>
      <c r="E6178" s="8" t="n">
        <v>39002</v>
      </c>
      <c r="F6178" s="7" t="n">
        <v>4</v>
      </c>
      <c r="G6178" s="7" t="inlineStr">
        <is>
          <t>This was great!  I can't tell you how many times I've ruined roast, and this one came out great.  My husband always complains about overdone meat, but he ate the whole plate of this meal. I took the meat out at exactly 8 hours, but I could have taken it out 30 minutes earlier.  The vegetables I had to continue to cook an hour longer.  I added an onion to the recipe as well, but it probably didn't need it because the flavoring was all in there.  Thanks for this great recipe!</t>
        </is>
      </c>
    </row>
    <row r="6179">
      <c r="A6179" s="7" t="n">
        <v>49057</v>
      </c>
      <c r="B6179" s="7" t="n">
        <v>483197</v>
      </c>
      <c r="C6179" s="7" t="n">
        <v>503618</v>
      </c>
      <c r="D6179" s="7" t="n">
        <v>269446</v>
      </c>
      <c r="E6179" s="8" t="n">
        <v>39455</v>
      </c>
      <c r="F6179" s="7" t="n">
        <v>5</v>
      </c>
      <c r="G6179" s="7" t="inlineStr">
        <is>
          <t>I finally got around to making this soup and I am glad I did! I doubled the recipe and used won ton wraps cut into 1/4" noodles instead of the egg noodles. We all adored this soup. It's easy to prepare and has a most perfect balance of flavours. I loved the method of roasting and smashing in a mortar and pestle the aromatics of this dish, it created a smooth and well combined flavour. I definitely recommend adding the crispy fried noodles at the end as well as a slice of lime. Thanks for posting this recipe Leggy Peggy, it rocks!!</t>
        </is>
      </c>
    </row>
    <row r="6180">
      <c r="A6180" s="7" t="n">
        <v>50053</v>
      </c>
      <c r="B6180" s="7" t="n">
        <v>510173</v>
      </c>
      <c r="C6180" s="7" t="n">
        <v>938809</v>
      </c>
      <c r="D6180" s="7" t="n">
        <v>89207</v>
      </c>
      <c r="E6180" s="8" t="n">
        <v>39862</v>
      </c>
      <c r="F6180" s="7" t="n">
        <v>5</v>
      </c>
      <c r="G6180" s="7" t="inlineStr">
        <is>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is>
      </c>
    </row>
    <row r="6181">
      <c r="A6181" s="7" t="n">
        <v>88660</v>
      </c>
      <c r="B6181" s="7" t="n">
        <v>427517</v>
      </c>
      <c r="C6181" s="7" t="n">
        <v>180779</v>
      </c>
      <c r="D6181" s="7" t="n">
        <v>31288</v>
      </c>
      <c r="E6181" s="8" t="n">
        <v>38343</v>
      </c>
      <c r="F6181" s="7" t="n">
        <v>5</v>
      </c>
      <c r="G6181" s="7" t="inlineStr">
        <is>
          <t>This looks almost exactly like the recipe for fudge my mom used to use. I was nervous about making it because I have never made fudge before. Turned out perfect. Soft and creamy with a smooth, rich chocolate flavor. Thanks for posting this. It was an easy recipe to follow.</t>
        </is>
      </c>
    </row>
    <row r="6182">
      <c r="A6182" s="7" t="n">
        <v>37624</v>
      </c>
      <c r="B6182" s="7" t="n">
        <v>880591</v>
      </c>
      <c r="C6182" s="7" t="n">
        <v>839492</v>
      </c>
      <c r="D6182" s="7" t="n">
        <v>342102</v>
      </c>
      <c r="E6182" s="8" t="n">
        <v>40529</v>
      </c>
      <c r="F6182" s="7" t="n">
        <v>4</v>
      </c>
      <c r="G6182" s="7" t="inlineStr">
        <is>
          <t>My husband loved this recipe, I enjoyed it as well (5 with minor changes). One thing I left out was the carrots, I felt that they were an odd accompaniment to clam chowder. I have never been crazy about rosemary but still made it with the rosemary and all other ingredients that the recipe called for (I used a very large vidalia onion).&lt;br/&gt;When I make this again, I think I will substitute sliced celery for the carrots and leave out the rosemary, I anticipate this will give me what I'm looking for.  The recipe overall is a wonderful from scratch, hearty clam chowder that is pretty quick to put together and full of flavor.</t>
        </is>
      </c>
    </row>
    <row r="6183">
      <c r="A6183" s="7" t="n">
        <v>110785</v>
      </c>
      <c r="B6183" s="7" t="n">
        <v>677262</v>
      </c>
      <c r="C6183" s="7" t="n">
        <v>428885</v>
      </c>
      <c r="D6183" s="7" t="n">
        <v>366724</v>
      </c>
      <c r="E6183" s="8" t="n">
        <v>40064</v>
      </c>
      <c r="F6183" s="7" t="n">
        <v>5</v>
      </c>
      <c r="G6183" s="7" t="inlineStr">
        <is>
          <t>I thought this was great, and I did add the brandy, which really helped. This is a true lullaby and I was calmly and quite profoundly asleep, most especially when I need it the most. The whole milk is a must, but am wondering if whole soy milk would produce the same effect? Used clover honey, and the almonds...... I am looking forward to having this as my go-to lullaby.....Made for *Everyday is a Holiday* September 09</t>
        </is>
      </c>
    </row>
    <row r="6184">
      <c r="A6184" s="7" t="n">
        <v>92916</v>
      </c>
      <c r="B6184" s="7" t="n">
        <v>212081</v>
      </c>
      <c r="C6184" s="7" t="n">
        <v>2001051472</v>
      </c>
      <c r="D6184" s="7" t="n">
        <v>199581</v>
      </c>
      <c r="E6184" s="8" t="n">
        <v>42536</v>
      </c>
      <c r="F6184" s="7" t="n">
        <v>5</v>
      </c>
      <c r="G6184" s="7" t="inlineStr">
        <is>
          <t>So after googling a whole lot of recipes that I could make with my available ingredients, I was very lucky to select this one. So simple, so tasty.</t>
        </is>
      </c>
    </row>
    <row r="6185">
      <c r="A6185" s="7" t="n">
        <v>70220</v>
      </c>
      <c r="B6185" s="7" t="n">
        <v>247</v>
      </c>
      <c r="C6185" s="7" t="n">
        <v>461834</v>
      </c>
      <c r="D6185" s="7" t="n">
        <v>373842</v>
      </c>
      <c r="E6185" s="8" t="n">
        <v>41539</v>
      </c>
      <c r="F6185" s="7" t="n">
        <v>5</v>
      </c>
      <c r="G6185" s="7" t="inlineStr">
        <is>
          <t>Wonderful quiche!!  I made 1/3 of the recipe and used a recipe from my &amp;quot;Small Batch Baking&amp;quot; cookbook for the pie crust which made one mini pie/quiche to serve two.  I served it with some fresh fruit and blueberry muffins, yummy brunch!!  Made for your win in the football pool game, congrats again!!</t>
        </is>
      </c>
    </row>
    <row r="6186">
      <c r="A6186" s="7" t="n">
        <v>19135</v>
      </c>
      <c r="B6186" s="7" t="n">
        <v>101876</v>
      </c>
      <c r="C6186" s="7" t="n">
        <v>136004</v>
      </c>
      <c r="D6186" s="7" t="n">
        <v>66</v>
      </c>
      <c r="E6186" s="8" t="n">
        <v>39604</v>
      </c>
      <c r="F6186" s="7" t="n">
        <v>5</v>
      </c>
      <c r="G6186" s="7" t="inlineStr">
        <is>
          <t>Outstanding!  The only change I made was add 2 Tblsp water (rather than add 1 Tblsp water to dry mustard).  Didn't have expresso so made a strong pot of coffee and added that.  Fabulous flavor - deep and rich.  We're going to have this one alot.  Thanks!</t>
        </is>
      </c>
    </row>
    <row r="6187">
      <c r="A6187" t="n">
        <v>75527</v>
      </c>
      <c r="B6187" t="n">
        <v>703523</v>
      </c>
      <c r="C6187" t="n">
        <v>520620</v>
      </c>
      <c r="D6187" t="n">
        <v>108652</v>
      </c>
      <c r="E6187" s="1" t="n">
        <v>40211</v>
      </c>
      <c r="F6187" t="n">
        <v>5</v>
      </c>
      <c r="G6187" t="inlineStr">
        <is>
          <t>this was great I added garlic ,water chestnuts and bean sprouts very tasty</t>
        </is>
      </c>
    </row>
    <row r="6188">
      <c r="A6188" s="7" t="n">
        <v>32933</v>
      </c>
      <c r="B6188" s="7" t="n">
        <v>851421</v>
      </c>
      <c r="C6188" s="7" t="n">
        <v>849334</v>
      </c>
      <c r="D6188" s="7" t="n">
        <v>146141</v>
      </c>
      <c r="E6188" s="8" t="n">
        <v>39716</v>
      </c>
      <c r="F6188" s="7" t="n">
        <v>5</v>
      </c>
      <c r="G6188" s="7" t="inlineStr">
        <is>
          <t>This is a new favorite, I LOVE this recipe!  I omit the capers and currants, and use less less olives and olive oil - and more tomatoes - just personal preferences, but this recipe is really excellent! I serve it over mixed greens.  So healthy and really delicious!</t>
        </is>
      </c>
    </row>
    <row r="6189">
      <c r="A6189" s="7" t="n">
        <v>46280</v>
      </c>
      <c r="B6189" s="7" t="n">
        <v>827829</v>
      </c>
      <c r="C6189" s="7" t="n">
        <v>337668</v>
      </c>
      <c r="D6189" s="7" t="n">
        <v>373451</v>
      </c>
      <c r="E6189" s="8" t="n">
        <v>39972</v>
      </c>
      <c r="F6189" s="7" t="n">
        <v>5</v>
      </c>
      <c r="G6189" s="7" t="inlineStr">
        <is>
          <t>I can't believe it's not chicken!  Seriously though, this is really good tofu!  I used jalapenos (with seeds) instead of green chili because I like it a bit spicier.  My hubby couldn't figure out how to grill it so he placed it on tin foil on the grill.  Both of us agreed that it would have been better placed on the grill and then possibly baked after that.  We used this as an appetizer.  Will definately try this again.  Thanks for posting!  Made for ZWT5-RRR.</t>
        </is>
      </c>
    </row>
    <row r="6190">
      <c r="A6190" s="7" t="n">
        <v>86244</v>
      </c>
      <c r="B6190" s="7" t="n">
        <v>515628</v>
      </c>
      <c r="C6190" s="7" t="n">
        <v>1418826</v>
      </c>
      <c r="D6190" s="7" t="n">
        <v>73274</v>
      </c>
      <c r="E6190" s="8" t="n">
        <v>40114</v>
      </c>
      <c r="F6190" s="7" t="n">
        <v>5</v>
      </c>
      <c r="G6190" s="7" t="inlineStr">
        <is>
          <t>I forgot to mention in my review that if you have a SILPAT, or silicone baking liner, you can place them on there and they won't stick at all. No more butter required, and easy to clean.</t>
        </is>
      </c>
    </row>
    <row r="6191">
      <c r="A6191" s="7" t="n">
        <v>69558</v>
      </c>
      <c r="B6191" s="7" t="n">
        <v>11926</v>
      </c>
      <c r="C6191" s="7" t="n">
        <v>174096</v>
      </c>
      <c r="D6191" s="7" t="n">
        <v>358468</v>
      </c>
      <c r="E6191" s="8" t="n">
        <v>39889</v>
      </c>
      <c r="F6191" s="7" t="n">
        <v>5</v>
      </c>
      <c r="G6191" s="7" t="inlineStr">
        <is>
          <t>The sauce on this was excellent.  I can see using it for other dishes as well.  Thanks for sharing!</t>
        </is>
      </c>
    </row>
    <row r="6192">
      <c r="A6192" s="7" t="n">
        <v>16443</v>
      </c>
      <c r="B6192" s="7" t="n">
        <v>459348</v>
      </c>
      <c r="C6192" s="7" t="n">
        <v>2001625880</v>
      </c>
      <c r="D6192" s="7" t="n">
        <v>102524</v>
      </c>
      <c r="E6192" s="8" t="n">
        <v>42930</v>
      </c>
      <c r="F6192" s="7" t="n">
        <v>5</v>
      </c>
      <c r="G6192" s="7" t="inlineStr">
        <is>
          <t>This was a really great recipe. I made this for my dad &amp;amp; I(the boyfriend is picky &amp;amp; doesn't like anything lol) the other none night &amp;amp; was in love with it. I've done many recipes on saut&amp;eacute;ed mushrooms &amp;amp; onions &amp;amp; this one in particular really stuck out to me. I did however tweak just a wee bit. I used mini bellas instead of the crimini &amp;amp; used about a spoonful of minced garlic( I adore garlic). I also poured some jarred mushroom gravy from the store on top of my steak with the mushrooms &amp;amp; onions. Tasted so divine! My dad had a porkchop with the mushrooms &amp;amp; onions &amp;amp; mushroom gravy smothered over his as well &amp;amp; he absolutely loved his as well. I definitely recommend this recipe to all who love this type of toppings on meats or just by itself!</t>
        </is>
      </c>
    </row>
    <row r="6193">
      <c r="A6193" s="7" t="n">
        <v>78541</v>
      </c>
      <c r="B6193" s="7" t="n">
        <v>365917</v>
      </c>
      <c r="C6193" s="7" t="n">
        <v>79985</v>
      </c>
      <c r="D6193" s="7" t="n">
        <v>63212</v>
      </c>
      <c r="E6193" s="8" t="n">
        <v>37899</v>
      </c>
      <c r="F6193" s="7" t="n">
        <v>5</v>
      </c>
      <c r="G6193" s="7" t="inlineStr">
        <is>
          <t>Excellent and easy dish.  Wonderful flavor combinations. Especially loved the addition of the bacon.  The dressing brought everything together into a delicious dish. We'll make this one again and again!</t>
        </is>
      </c>
    </row>
    <row r="6194">
      <c r="A6194" s="7" t="n">
        <v>97675</v>
      </c>
      <c r="B6194" s="7" t="n">
        <v>33580</v>
      </c>
      <c r="C6194" s="7" t="n">
        <v>20832</v>
      </c>
      <c r="D6194" s="7" t="n">
        <v>82226</v>
      </c>
      <c r="E6194" s="8" t="n">
        <v>38733</v>
      </c>
      <c r="F6194" s="7" t="n">
        <v>0</v>
      </c>
      <c r="G6194" s="7" t="inlineStr">
        <is>
          <t>BE VERY CAREFUL WITH THIS RECIPE!!! On average, natural vanilla extract is 72 proof, or 36% alcohol. 1 teaspoon of this concoction  to a 30lb. 2-year-old is the same as 2-1/3 shots of booze to a 200lb. adult! Or, a sing;e shot to a 65lb kid... Of course they are gonna be happy, they'll be looped!</t>
        </is>
      </c>
    </row>
    <row r="6195">
      <c r="A6195" s="7" t="n">
        <v>107618</v>
      </c>
      <c r="B6195" s="7" t="n">
        <v>226530</v>
      </c>
      <c r="C6195" s="7" t="n">
        <v>1802855276</v>
      </c>
      <c r="D6195" s="7" t="n">
        <v>466827</v>
      </c>
      <c r="E6195" s="8" t="n">
        <v>41815</v>
      </c>
      <c r="F6195" s="7" t="n">
        <v>5</v>
      </c>
      <c r="G6195" s="7" t="inlineStr">
        <is>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is>
      </c>
    </row>
    <row r="6196">
      <c r="A6196" s="7" t="n">
        <v>76881</v>
      </c>
      <c r="B6196" s="7" t="n">
        <v>571768</v>
      </c>
      <c r="C6196" s="7" t="n">
        <v>226294</v>
      </c>
      <c r="D6196" s="7" t="n">
        <v>228463</v>
      </c>
      <c r="E6196" s="8" t="n">
        <v>41756</v>
      </c>
      <c r="F6196" s="7" t="n">
        <v>5</v>
      </c>
      <c r="G6196" s="7" t="inlineStr">
        <is>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is>
      </c>
    </row>
    <row r="6197">
      <c r="A6197" s="7" t="n">
        <v>87837</v>
      </c>
      <c r="B6197" s="7" t="n">
        <v>904619</v>
      </c>
      <c r="C6197" s="7" t="n">
        <v>91392</v>
      </c>
      <c r="D6197" s="7" t="n">
        <v>72101</v>
      </c>
      <c r="E6197" s="8" t="n">
        <v>38864</v>
      </c>
      <c r="F6197" s="7" t="n">
        <v>3</v>
      </c>
      <c r="G6197" s="7" t="inlineStr">
        <is>
          <t>Both the hsuband and I agreed it lcked taste, surprising, given the spices in the recipe.  I put some hot sauce into the final product to perk it up.  This smellsd fantastic cooking, and we both had high hopes that it would taste as good as it smelled.  Very healthy recipe, but the taste we hoped for wasn't there for us.</t>
        </is>
      </c>
    </row>
    <row r="6198">
      <c r="A6198" t="n">
        <v>41555</v>
      </c>
      <c r="B6198" t="n">
        <v>992817</v>
      </c>
      <c r="C6198" t="n">
        <v>482376</v>
      </c>
      <c r="D6198" t="n">
        <v>457092</v>
      </c>
      <c r="E6198" s="1" t="n">
        <v>40840</v>
      </c>
      <c r="F6198" t="n">
        <v>5</v>
      </c>
      <c r="G6198" t="inlineStr">
        <is>
          <t>Excellent fried chicken and very simple to make! The chicken was very crispy on the outside and moist on the inside. The chicken was not greasy at all. The only thing I'd add is a bit more salt. Maybe adding the additional salt after dredging or maybe right after taking it out of the fry pan.? Thanks for an easy and delicious fried chicken recipe! Made for Fall Pick A Chef in the contest and events forum.</t>
        </is>
      </c>
    </row>
    <row r="6199">
      <c r="A6199" s="7" t="n">
        <v>9902</v>
      </c>
      <c r="B6199" s="7" t="n">
        <v>355200</v>
      </c>
      <c r="C6199" s="7" t="n">
        <v>62191</v>
      </c>
      <c r="D6199" s="7" t="n">
        <v>92096</v>
      </c>
      <c r="E6199" s="8" t="n">
        <v>38402</v>
      </c>
      <c r="F6199" s="7" t="n">
        <v>5</v>
      </c>
      <c r="G6199" s="7" t="inlineStr">
        <is>
          <t xml:space="preserve">Very good!! Even better the next day, if you can believe that. I didn't have tomato puree, so I took canned chopped tomatos and whirled them in my food processor. I simmered them for 3 hours, when I served it up with your meatballs, the sauce was a little watery, but I'm sure it's because I used the tomatos instead of the puree. So I simmered for a few more hours. I put in in the fridge over night, when I warmed it up today, a nice thick sauce. This will be put in my tryed and true cookbook. Thanks so much for sharing this recipe. </t>
        </is>
      </c>
    </row>
    <row r="6200" ht="409.5" customHeight="1">
      <c r="A6200" s="7" t="n">
        <v>14742</v>
      </c>
      <c r="B6200" s="7" t="n">
        <v>654879</v>
      </c>
      <c r="C6200" s="7" t="n">
        <v>171993</v>
      </c>
      <c r="D6200" s="7" t="n">
        <v>48090</v>
      </c>
      <c r="E6200" s="8" t="n">
        <v>38300</v>
      </c>
      <c r="F6200" s="7" t="n">
        <v>5</v>
      </c>
      <c r="G6200" s="9" t="inlineStr">
        <is>
          <t>As an avid back-packer and camper I thought I'd died and gone to heaven when I came across this! I was looking for a 'regular' potato soup recipe for supper tonight and ended up trying this one out.  I omitted the seasoning salt (for lack of) but I added a little dried parmesan cheese.  It was very tasty and filling - a little thick ... but I like it that way! :)  _x000D_
Anyway ... makes a great little Meal Ready to Eat and I'll be sure to make a batch for my next trip - Thank You!</t>
        </is>
      </c>
    </row>
    <row r="6201">
      <c r="A6201" s="7" t="n">
        <v>26286</v>
      </c>
      <c r="B6201" s="7" t="n">
        <v>340687</v>
      </c>
      <c r="C6201" s="7" t="n">
        <v>141012</v>
      </c>
      <c r="D6201" s="7" t="n">
        <v>136589</v>
      </c>
      <c r="E6201" s="8" t="n">
        <v>39617</v>
      </c>
      <c r="F6201" s="7" t="n">
        <v>4</v>
      </c>
      <c r="G6201" s="7" t="inlineStr">
        <is>
          <t>My family and I really loved this moist cake, but since there was no time mentioned for the sauce that goes on top, I found the sugar hadn't totally melted. It made the cake too sweet. So we cut off a layer from the top to get rid of the sauce and the cake was delicious. I use 1 1/2 cup of sugar and the sweetness was just right. I substituted 1 medium banana (1/2 cup) for 1/2 cup oil as we don't get apple sauce here and it was undetectable. A great substitute. Can someone who reviews after me please tell me how long to boil the sauce . I too used cinnamon 1 tsp and nutmeg 1/4 tsp and baked in a 9x13. Thanks for the recipe.</t>
        </is>
      </c>
    </row>
    <row r="6202">
      <c r="A6202" s="7" t="n">
        <v>49052</v>
      </c>
      <c r="B6202" s="7" t="n">
        <v>988489</v>
      </c>
      <c r="C6202" s="7" t="n">
        <v>89831</v>
      </c>
      <c r="D6202" s="7" t="n">
        <v>170918</v>
      </c>
      <c r="E6202" s="8" t="n">
        <v>38878</v>
      </c>
      <c r="F6202" s="7" t="n">
        <v>5</v>
      </c>
      <c r="G6202" s="7" t="inlineStr">
        <is>
          <t>Oh Laurie, this is just way too good! I used vanilla ice cream and Skor candy bars for this, my DH was in heaven lol, sooooo good, thank you for posting hon, I will be making this again very soon!...Kitten:)</t>
        </is>
      </c>
    </row>
    <row r="6203">
      <c r="A6203" s="7" t="n">
        <v>81469</v>
      </c>
      <c r="B6203" s="7" t="n">
        <v>98829</v>
      </c>
      <c r="C6203" s="7" t="n">
        <v>919451</v>
      </c>
      <c r="D6203" s="7" t="n">
        <v>42038</v>
      </c>
      <c r="E6203" s="8" t="n">
        <v>40325</v>
      </c>
      <c r="F6203" s="7" t="n">
        <v>5</v>
      </c>
      <c r="G6203" s="7" t="inlineStr">
        <is>
          <t>So  Yummy!  A little sweeter than I would like.  I'll reduce the amount of sugar next time, but my oh my it tasted like blueberry muffins instead of pancakes!</t>
        </is>
      </c>
    </row>
    <row r="6204">
      <c r="A6204" s="7" t="n">
        <v>77865</v>
      </c>
      <c r="B6204" s="7" t="n">
        <v>978470</v>
      </c>
      <c r="C6204" s="7" t="n">
        <v>629484</v>
      </c>
      <c r="D6204" s="7" t="n">
        <v>104975</v>
      </c>
      <c r="E6204" s="8" t="n">
        <v>39608</v>
      </c>
      <c r="F6204" s="7" t="n">
        <v>5</v>
      </c>
      <c r="G6204" s="7" t="inlineStr">
        <is>
          <t>Takes a while to unwrap all of the candies but worth the time as the rest of the recipe is super simple.  Great to mix up the flavors and colors for all different holiday gifts.</t>
        </is>
      </c>
    </row>
    <row r="6205">
      <c r="A6205" s="7" t="n">
        <v>46063</v>
      </c>
      <c r="B6205" s="7" t="n">
        <v>161058</v>
      </c>
      <c r="C6205" s="7" t="n">
        <v>480970</v>
      </c>
      <c r="D6205" s="7" t="n">
        <v>85201</v>
      </c>
      <c r="E6205" s="8" t="n">
        <v>39828</v>
      </c>
      <c r="F6205" s="7" t="n">
        <v>5</v>
      </c>
      <c r="G6205" s="7" t="inlineStr">
        <is>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is>
      </c>
    </row>
    <row r="6206">
      <c r="A6206" s="7" t="n">
        <v>11417</v>
      </c>
      <c r="B6206" s="7" t="n">
        <v>165800</v>
      </c>
      <c r="C6206" s="7" t="n">
        <v>343228</v>
      </c>
      <c r="D6206" s="7" t="n">
        <v>385889</v>
      </c>
      <c r="E6206" s="8" t="n">
        <v>40057</v>
      </c>
      <c r="F6206" s="7" t="n">
        <v>0</v>
      </c>
      <c r="G6206" s="7" t="inlineStr">
        <is>
          <t>This was okay... I do plan on re-making it coz i know i didn't make it right. I've had loubieh bizeit before but i've never made it before. and i know it wasn't suppose to tast like that and i'm pretty sure you aren't ment to burn it. I will re make and re rate.</t>
        </is>
      </c>
    </row>
    <row r="6207">
      <c r="A6207" s="7" t="n">
        <v>101929</v>
      </c>
      <c r="B6207" s="7" t="n">
        <v>541619</v>
      </c>
      <c r="C6207" s="7" t="n">
        <v>5060</v>
      </c>
      <c r="D6207" s="7" t="n">
        <v>20244</v>
      </c>
      <c r="E6207" s="8" t="n">
        <v>37366</v>
      </c>
      <c r="F6207" s="7" t="n">
        <v>5</v>
      </c>
      <c r="G6207" s="7" t="inlineStr">
        <is>
          <t>Nummy supper tonight!!  added some dried basil to the bread crumbs and parmesan, also used real smashed garlic clove instead of the salt.  Great tasting pork chops!!thanks for sharing a good one sheila, we will use it again and again!!</t>
        </is>
      </c>
    </row>
    <row r="6208">
      <c r="A6208" s="7" t="n">
        <v>62915</v>
      </c>
      <c r="B6208" s="7" t="n">
        <v>395442</v>
      </c>
      <c r="C6208" s="7" t="n">
        <v>187070</v>
      </c>
      <c r="D6208" s="7" t="n">
        <v>133031</v>
      </c>
      <c r="E6208" s="8" t="n">
        <v>38683</v>
      </c>
      <c r="F6208" s="7" t="n">
        <v>5</v>
      </c>
      <c r="G6208" s="7" t="inlineStr">
        <is>
          <t>It was a great and very simple change to plain banana shake and the kids love the colour of it. well done</t>
        </is>
      </c>
    </row>
    <row r="6209">
      <c r="A6209" s="7" t="n">
        <v>118109</v>
      </c>
      <c r="B6209" s="7" t="n">
        <v>494390</v>
      </c>
      <c r="C6209" s="7" t="n">
        <v>552613</v>
      </c>
      <c r="D6209" s="7" t="n">
        <v>304712</v>
      </c>
      <c r="E6209" s="8" t="n">
        <v>39612</v>
      </c>
      <c r="F6209" s="7" t="n">
        <v>4</v>
      </c>
      <c r="G6209" s="7" t="inlineStr">
        <is>
          <t>This was my first time actually having halloumi.  I had wanted to in the past but due to the fat I kept deciding not to.  Today I managed to find reduced fat halloumi so I gave this recipe a go and ended up enjoying it :)  Thanks! Made for ZWT4.</t>
        </is>
      </c>
    </row>
    <row r="6210">
      <c r="A6210" s="7" t="n">
        <v>93129</v>
      </c>
      <c r="B6210" s="7" t="n">
        <v>581103</v>
      </c>
      <c r="C6210" s="7" t="n">
        <v>268426</v>
      </c>
      <c r="D6210" s="7" t="n">
        <v>53909</v>
      </c>
      <c r="E6210" s="8" t="n">
        <v>38684</v>
      </c>
      <c r="F6210" s="7" t="n">
        <v>5</v>
      </c>
      <c r="G6210" s="7" t="inlineStr">
        <is>
          <t>This is a great recipe.  I hated salmon until I tried this recipe.  Very easy to make, love it.  I make it once a week with my boyfriend.  Try it out on anyone you know who is an ardent fish hater!</t>
        </is>
      </c>
    </row>
    <row r="6211">
      <c r="A6211" s="7" t="n">
        <v>105138</v>
      </c>
      <c r="B6211" s="7" t="n">
        <v>189795</v>
      </c>
      <c r="C6211" s="7" t="n">
        <v>22015</v>
      </c>
      <c r="D6211" s="7" t="n">
        <v>32661</v>
      </c>
      <c r="E6211" s="8" t="n">
        <v>38341</v>
      </c>
      <c r="F6211" s="7" t="n">
        <v>5</v>
      </c>
      <c r="G6211" s="7" t="inlineStr">
        <is>
          <t>I made this for our family Christmas dinner yesterday.   It is very good.  DH &amp; I will make it again but because we like to experiment we're going to try different wines to see how each one changes the flavor.   I'm thinking that marsala would be good to try.</t>
        </is>
      </c>
    </row>
    <row r="6212" ht="409.5" customHeight="1">
      <c r="A6212" t="n">
        <v>104853</v>
      </c>
      <c r="B6212" t="n">
        <v>1017418</v>
      </c>
      <c r="C6212" t="n">
        <v>437776</v>
      </c>
      <c r="D6212" t="n">
        <v>64771</v>
      </c>
      <c r="E6212" s="1" t="n">
        <v>39476</v>
      </c>
      <c r="F6212" t="n">
        <v>5</v>
      </c>
      <c r="G6212" s="2" t="inlineStr">
        <is>
          <t>wow these are so amazing. I was worried that they wouldn't turn out because the batter was really thick but they were fine.
I put so much random stuff in there. egg, flax meal, applesauce, low-fat yogurt, and sugar-free pudding, low-fat cream cheese. i think it cut the fat and calories significantly while adding more nutritional value and still tasting delicious.</t>
        </is>
      </c>
    </row>
    <row r="6213">
      <c r="A6213" s="7" t="n">
        <v>37578</v>
      </c>
      <c r="B6213" s="7" t="n">
        <v>365211</v>
      </c>
      <c r="C6213" s="7" t="n">
        <v>284180</v>
      </c>
      <c r="D6213" s="7" t="n">
        <v>85199</v>
      </c>
      <c r="E6213" s="8" t="n">
        <v>38796</v>
      </c>
      <c r="F6213" s="7" t="n">
        <v>4</v>
      </c>
      <c r="G6213" s="7" t="inlineStr">
        <is>
          <t>I've made this recipe twice.  Once I pressure-canned the beans after cooking them, and they have been great - 5-star.  The other time I served them immediately after cooking and I thought they were missing something, as if the flavors hadn't had time to blend.  I just don't think 30 minutes is enough time for the Rotel to cook with the beans.  Since most people won't pressure-can these before serving, I can only give this recipe 4 stars (which still means a good pot of beans!).</t>
        </is>
      </c>
    </row>
    <row r="6214">
      <c r="A6214" s="7" t="n">
        <v>100754</v>
      </c>
      <c r="B6214" s="7" t="n">
        <v>236369</v>
      </c>
      <c r="C6214" s="7" t="n">
        <v>226066</v>
      </c>
      <c r="D6214" s="7" t="n">
        <v>300958</v>
      </c>
      <c r="E6214" s="8" t="n">
        <v>39579</v>
      </c>
      <c r="F6214" s="7" t="n">
        <v>5</v>
      </c>
      <c r="G6214" s="7" t="inlineStr">
        <is>
          <t>This made for a tasty lunch!  Next time I will use pita - used tortillas and the salad didn't want to stay in ;) - loved this mix! Thanks Brooke! :)</t>
        </is>
      </c>
    </row>
    <row r="6215">
      <c r="A6215" s="7" t="n">
        <v>94347</v>
      </c>
      <c r="B6215" s="7" t="n">
        <v>25767</v>
      </c>
      <c r="C6215" s="7" t="n">
        <v>527886</v>
      </c>
      <c r="D6215" s="7" t="n">
        <v>249024</v>
      </c>
      <c r="E6215" s="8" t="n">
        <v>39626</v>
      </c>
      <c r="F6215" s="7" t="n">
        <v>0</v>
      </c>
      <c r="G6215" s="7" t="inlineStr">
        <is>
          <t>Very attractive visually, but the dressing really was not to my taste - sweet enough to be cloying, yet harsh from the white vinegar. I might try this same combination of fruit and vegetables, with maybe a splash of rice wine.</t>
        </is>
      </c>
    </row>
    <row r="6216">
      <c r="A6216" s="7" t="n">
        <v>20583</v>
      </c>
      <c r="B6216" s="7" t="n">
        <v>1125410</v>
      </c>
      <c r="C6216" s="7" t="n">
        <v>236470</v>
      </c>
      <c r="D6216" s="7" t="n">
        <v>139504</v>
      </c>
      <c r="E6216" s="8" t="n">
        <v>39228</v>
      </c>
      <c r="F6216" s="7" t="n">
        <v>5</v>
      </c>
      <c r="G6216" s="7" t="inlineStr">
        <is>
          <t>A  great recipe.</t>
        </is>
      </c>
    </row>
    <row r="6217">
      <c r="A6217" s="7" t="n">
        <v>106598</v>
      </c>
      <c r="B6217" s="7" t="n">
        <v>473541</v>
      </c>
      <c r="C6217" s="7" t="n">
        <v>135470</v>
      </c>
      <c r="D6217" s="7" t="n">
        <v>253661</v>
      </c>
      <c r="E6217" s="8" t="n">
        <v>39598</v>
      </c>
      <c r="F6217" s="7" t="n">
        <v>2</v>
      </c>
      <c r="G6217" s="7" t="inlineStr">
        <is>
          <t>I didn't care for this drink, it was very strong and not balanced. The rum dominated, the apple not noticable and the chambord with the rum a strange taste combination. I ended up adding cranberry juice concentrate, orange juice and lime juice with lots of ice to make it paletable. Reviewed for ZWT 4 Asian Forum Countries of Asia Challenge, by a Chic Chef. Thanks for posting this Boomette, I wished I had liked it more.</t>
        </is>
      </c>
    </row>
    <row r="6218" ht="409.5" customHeight="1">
      <c r="A6218" s="7" t="n">
        <v>101538</v>
      </c>
      <c r="B6218" s="7" t="n">
        <v>557461</v>
      </c>
      <c r="C6218" s="7" t="n">
        <v>41578</v>
      </c>
      <c r="D6218" s="7" t="n">
        <v>55215</v>
      </c>
      <c r="E6218" s="8" t="n">
        <v>37780</v>
      </c>
      <c r="F6218" s="7" t="n">
        <v>5</v>
      </c>
      <c r="G6218" s="9" t="inlineStr">
        <is>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is>
      </c>
    </row>
    <row r="6219">
      <c r="A6219" s="7" t="n">
        <v>108424</v>
      </c>
      <c r="B6219" s="7" t="n">
        <v>659680</v>
      </c>
      <c r="C6219" s="7" t="n">
        <v>226066</v>
      </c>
      <c r="D6219" s="7" t="n">
        <v>254908</v>
      </c>
      <c r="E6219" s="8" t="n">
        <v>39432</v>
      </c>
      <c r="F6219" s="7" t="n">
        <v>5</v>
      </c>
      <c r="G6219" s="7" t="inlineStr">
        <is>
          <t>I would give your hot chocolate 10 stars!!!  After shoveling and freezing it made us feel so warm and good!!!  My dbf had his without cinnamon - I used those little fish cinnamon candies - loved it!!  Used regular whipped cream.  Thanks nyteglori!! :)</t>
        </is>
      </c>
    </row>
    <row r="6220">
      <c r="A6220" s="7" t="n">
        <v>74934</v>
      </c>
      <c r="B6220" s="7" t="n">
        <v>466019</v>
      </c>
      <c r="C6220" s="7" t="n">
        <v>27783</v>
      </c>
      <c r="D6220" s="7" t="n">
        <v>17118</v>
      </c>
      <c r="E6220" s="8" t="n">
        <v>37285</v>
      </c>
      <c r="F6220" s="7" t="n">
        <v>4</v>
      </c>
      <c r="G6220" s="7" t="inlineStr">
        <is>
          <t>I thought these were very good.  Simple to prepare and they are quite fluffy and moist. I'd make them again for myself -but not everyone in my family cared for them as well as I did (hence the four stars).</t>
        </is>
      </c>
    </row>
    <row r="6221" ht="330" customHeight="1">
      <c r="A6221" s="7" t="n">
        <v>13538</v>
      </c>
      <c r="B6221" s="7" t="n">
        <v>255604</v>
      </c>
      <c r="C6221" s="7" t="n">
        <v>74288</v>
      </c>
      <c r="D6221" s="7" t="n">
        <v>58032</v>
      </c>
      <c r="E6221" s="8" t="n">
        <v>38524</v>
      </c>
      <c r="F6221" s="7" t="n">
        <v>5</v>
      </c>
      <c r="G6221" s="9" t="inlineStr">
        <is>
          <t xml:space="preserve">I had many compliments on this dressing. You'll love it if you enjoy sweet french dressing!  The dressing keeps fresh for several weeks in the fridge._x000D_
</t>
        </is>
      </c>
    </row>
    <row r="6222">
      <c r="A6222" s="7" t="n">
        <v>34525</v>
      </c>
      <c r="B6222" s="7" t="n">
        <v>486798</v>
      </c>
      <c r="C6222" s="7" t="n">
        <v>502207</v>
      </c>
      <c r="D6222" s="7" t="n">
        <v>158251</v>
      </c>
      <c r="E6222" s="8" t="n">
        <v>39811</v>
      </c>
      <c r="F6222" s="7" t="n">
        <v>5</v>
      </c>
      <c r="G6222" s="7" t="inlineStr">
        <is>
          <t>I know I've had this at your house, but I finally made it myself.  I took it to a Mexican themed Christmas Eve dinner and everyone loved it.  Thanks for a great recipe!</t>
        </is>
      </c>
    </row>
    <row r="6223">
      <c r="A6223" s="7" t="n">
        <v>52726</v>
      </c>
      <c r="B6223" s="7" t="n">
        <v>41431</v>
      </c>
      <c r="C6223" s="7" t="n">
        <v>107651</v>
      </c>
      <c r="D6223" s="7" t="n">
        <v>31955</v>
      </c>
      <c r="E6223" s="8" t="n">
        <v>38389</v>
      </c>
      <c r="F6223" s="7" t="n">
        <v>5</v>
      </c>
      <c r="G6223" s="7" t="inlineStr">
        <is>
          <t>A great flavour combination, I added extra ginger as ZNGLASS suggested and the grated peel from an orange,  hmmmmm!! delicious!!</t>
        </is>
      </c>
    </row>
    <row r="6224">
      <c r="A6224" s="7" t="n">
        <v>3106</v>
      </c>
      <c r="B6224" s="7" t="n">
        <v>263559</v>
      </c>
      <c r="C6224" s="7" t="n">
        <v>2001763698</v>
      </c>
      <c r="D6224" s="7" t="n">
        <v>44990</v>
      </c>
      <c r="E6224" s="8" t="n">
        <v>43031</v>
      </c>
      <c r="F6224" s="7" t="n">
        <v>0</v>
      </c>
      <c r="G6224" s="7" t="inlineStr">
        <is>
          <t>And for me, I'd add a 2T of cornstarch to some cold water then add it to your broth after roast is done to make gravy, it is delish! That way you don't get that flour taste.</t>
        </is>
      </c>
    </row>
    <row r="6225">
      <c r="A6225" s="7" t="n">
        <v>86696</v>
      </c>
      <c r="B6225" s="7" t="n">
        <v>296088</v>
      </c>
      <c r="C6225" s="7" t="n">
        <v>2594200</v>
      </c>
      <c r="D6225" s="7" t="n">
        <v>46922</v>
      </c>
      <c r="E6225" s="8" t="n">
        <v>41270</v>
      </c>
      <c r="F6225" s="7" t="n">
        <v>5</v>
      </c>
      <c r="G6225" s="7" t="inlineStr">
        <is>
          <t>Best baked ham I've had in a long time!  The ham is tender and the juice left from the baking.... simply to die for!</t>
        </is>
      </c>
    </row>
    <row r="6226">
      <c r="A6226" s="7" t="n">
        <v>77650</v>
      </c>
      <c r="B6226" s="7" t="n">
        <v>692598</v>
      </c>
      <c r="C6226" s="7" t="n">
        <v>391048</v>
      </c>
      <c r="D6226" s="7" t="n">
        <v>70239</v>
      </c>
      <c r="E6226" s="8" t="n">
        <v>39377</v>
      </c>
      <c r="F6226" s="7" t="n">
        <v>1</v>
      </c>
      <c r="G6226" s="7" t="inlineStr">
        <is>
          <t>This was waaay too soupy for me. Perhaps if the recipe stated the amount of hash browns? 1 lb or 2 lbs? My oreida shred hash browns bag was 1 lb, so perhaps that was the problem. Sauteeing the onion first would have been nice as well. Sorry I couldn't give it better!!</t>
        </is>
      </c>
    </row>
    <row r="6227">
      <c r="A6227" s="7" t="n">
        <v>93753</v>
      </c>
      <c r="B6227" s="7" t="n">
        <v>340674</v>
      </c>
      <c r="C6227" s="7" t="n">
        <v>140132</v>
      </c>
      <c r="D6227" s="7" t="n">
        <v>136589</v>
      </c>
      <c r="E6227" s="8" t="n">
        <v>39500</v>
      </c>
      <c r="F6227" s="7" t="n">
        <v>5</v>
      </c>
      <c r="G6227" s="7" t="inlineStr">
        <is>
          <t>We loved the cake.  It reminded me of the cake my g'ma used to make.  DH loved the sauce I drizzled over.  Thank you for an old fashioned recipe from my childhood.    Stephanie</t>
        </is>
      </c>
    </row>
    <row r="6228">
      <c r="A6228" s="7" t="n">
        <v>118363</v>
      </c>
      <c r="B6228" s="7" t="n">
        <v>1008890</v>
      </c>
      <c r="C6228" s="7" t="n">
        <v>286566</v>
      </c>
      <c r="D6228" s="7" t="n">
        <v>321986</v>
      </c>
      <c r="E6228" s="8" t="n">
        <v>39724</v>
      </c>
      <c r="F6228" s="7" t="n">
        <v>5</v>
      </c>
      <c r="G6228" s="7" t="inlineStr">
        <is>
          <t>Thank you, the DM, DS and myself enjoyed this lovely treat as part of our Appy night.  My mushrooms were big and meaty and just over 9 oz worth.  I did just toast the bruschettina slices in the toaster and then rubbed with the garlic clove and topped with the mushrooms.  Thanks you Brandess, made for Swap #21 October 2008</t>
        </is>
      </c>
    </row>
    <row r="6229">
      <c r="A6229" s="7" t="n">
        <v>93238</v>
      </c>
      <c r="B6229" s="7" t="n">
        <v>52505</v>
      </c>
      <c r="C6229" s="7" t="n">
        <v>1448648</v>
      </c>
      <c r="D6229" s="7" t="n">
        <v>323019</v>
      </c>
      <c r="E6229" s="8" t="n">
        <v>41958</v>
      </c>
      <c r="F6229" s="7" t="n">
        <v>5</v>
      </c>
      <c r="G6229" s="7" t="inlineStr">
        <is>
          <t>Very good basic low carb crust for no bake recipes.  I added an extra 1/2 tbsp of sugar (I like my crust a little sweeter.)  Thanks for the recipe!</t>
        </is>
      </c>
    </row>
    <row r="6230">
      <c r="A6230" s="7" t="n">
        <v>30568</v>
      </c>
      <c r="B6230" s="7" t="n">
        <v>162751</v>
      </c>
      <c r="C6230" s="7" t="n">
        <v>750015</v>
      </c>
      <c r="D6230" s="7" t="n">
        <v>280810</v>
      </c>
      <c r="E6230" s="8" t="n">
        <v>39480</v>
      </c>
      <c r="F6230" s="7" t="n">
        <v>4</v>
      </c>
      <c r="G6230" s="7" t="inlineStr">
        <is>
          <t>This is very good, mom use to make this a long time ago.  A very light dessert.</t>
        </is>
      </c>
    </row>
    <row r="6231">
      <c r="A6231" s="7" t="n">
        <v>103460</v>
      </c>
      <c r="B6231" s="7" t="n">
        <v>65046</v>
      </c>
      <c r="C6231" s="7" t="n">
        <v>383853</v>
      </c>
      <c r="D6231" s="7" t="n">
        <v>458701</v>
      </c>
      <c r="E6231" s="8" t="n">
        <v>40811</v>
      </c>
      <c r="F6231" s="7" t="n">
        <v>5</v>
      </c>
      <c r="G6231" s="7" t="inlineStr">
        <is>
          <t>Very tasty chicken!  I love chicken but get tired of the same old breading recipes. Every ingredient seemed to work perfectly together.  I had a big jug of apple cider in my fridge that needed using up, so that's what initially drew me to this recipe...so glad it did!  Thanks for posting!</t>
        </is>
      </c>
    </row>
    <row r="6232">
      <c r="A6232" s="7" t="n">
        <v>73564</v>
      </c>
      <c r="B6232" s="7" t="n">
        <v>236832</v>
      </c>
      <c r="C6232" s="7" t="n">
        <v>157323</v>
      </c>
      <c r="D6232" s="7" t="n">
        <v>95209</v>
      </c>
      <c r="E6232" s="8" t="n">
        <v>38211</v>
      </c>
      <c r="F6232" s="7" t="n">
        <v>5</v>
      </c>
      <c r="G6232" s="7" t="inlineStr">
        <is>
          <t>This was wonderful and very easy to make.  I made it for friends and they loved it.  Although next time I make it I will double the recipe.</t>
        </is>
      </c>
    </row>
    <row r="6233" ht="195" customHeight="1">
      <c r="A6233" s="7" t="n">
        <v>52834</v>
      </c>
      <c r="B6233" s="7" t="n">
        <v>570756</v>
      </c>
      <c r="C6233" s="7" t="n">
        <v>146169</v>
      </c>
      <c r="D6233" s="7" t="n">
        <v>11347</v>
      </c>
      <c r="E6233" s="8" t="n">
        <v>38509</v>
      </c>
      <c r="F6233" s="7" t="n">
        <v>5</v>
      </c>
      <c r="G6233" s="9" t="inlineStr">
        <is>
          <t xml:space="preserve">This was very easy and good.. I grilled chicken _x000D_
tenders.  I love recipes with just a few ingredients.  </t>
        </is>
      </c>
    </row>
    <row r="6234">
      <c r="A6234" s="7" t="n">
        <v>4348</v>
      </c>
      <c r="B6234" s="7" t="n">
        <v>693193</v>
      </c>
      <c r="C6234" s="7" t="n">
        <v>469903</v>
      </c>
      <c r="D6234" s="7" t="n">
        <v>142289</v>
      </c>
      <c r="E6234" s="8" t="n">
        <v>39521</v>
      </c>
      <c r="F6234" s="7" t="n">
        <v>4</v>
      </c>
      <c r="G6234" s="7" t="inlineStr">
        <is>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is>
      </c>
    </row>
    <row r="6235" ht="409.5" customHeight="1">
      <c r="A6235" s="7" t="n">
        <v>81856</v>
      </c>
      <c r="B6235" s="7" t="n">
        <v>358125</v>
      </c>
      <c r="C6235" s="7" t="n">
        <v>21752</v>
      </c>
      <c r="D6235" s="7" t="n">
        <v>24217</v>
      </c>
      <c r="E6235" s="8" t="n">
        <v>37580</v>
      </c>
      <c r="F6235" s="7" t="n">
        <v>5</v>
      </c>
      <c r="G6235" s="9" t="inlineStr">
        <is>
          <t>Confession #1 -- I did not make this recipe.  I bought the ingredients, and I "observed", but my daughter Adiya and her friend Chana made this yesterday afternoon.  Adiya decided to add some pizza seasoning (that's what it says on the jar). _x000D_
_x000D_
Confession #2 -- There was about a 1/3 of the pie left over after Adiya and 3 of her friends finished eating.  Around 11 PM I got the nibblies, and polished the whole thing off in about 8 minutes._x000D_
_x000D_
Confession #3 -- if you use a disposable 9 inch pie dish, there is minimal clean-up!_x000D_
_x000D_
Next time we're going to add lots more mozzarella cheese on top, since people tend to get very violent when fighting over the crust!</t>
        </is>
      </c>
    </row>
    <row r="6236">
      <c r="A6236" s="7" t="n">
        <v>113573</v>
      </c>
      <c r="B6236" s="7" t="n">
        <v>879240</v>
      </c>
      <c r="C6236" s="7" t="n">
        <v>589729</v>
      </c>
      <c r="D6236" s="7" t="n">
        <v>100649</v>
      </c>
      <c r="E6236" s="8" t="n">
        <v>39446</v>
      </c>
      <c r="F6236" s="7" t="n">
        <v>5</v>
      </c>
      <c r="G6236" s="7" t="inlineStr">
        <is>
          <t>If you live in California, any where in California, I am sure you have seen billboards for Anderson's. I have seen signs since I was 5 years old from the northern to the southern tip of the state. I have never eaten there and I love split pea soup. I have made this two times and my wife loves it, as do I. Thanks for the posting. I can't believe I am the first review on this. What are you waiting for zaar's, try this out!!!</t>
        </is>
      </c>
    </row>
    <row r="6237" ht="409.5" customHeight="1">
      <c r="A6237" t="n">
        <v>125303</v>
      </c>
      <c r="B6237" t="n">
        <v>620894</v>
      </c>
      <c r="C6237" t="n">
        <v>727964</v>
      </c>
      <c r="D6237" t="n">
        <v>74629</v>
      </c>
      <c r="E6237" s="1" t="n">
        <v>39478</v>
      </c>
      <c r="F6237" t="n">
        <v>5</v>
      </c>
      <c r="G6237" s="2" t="inlineStr">
        <is>
          <t>Instead of italian seasoning I used one of those italian dressing packs from good seasonings on a double recipe and then added some basil - makes it more creamy. So good!
Update: Use leeks instead of onions and home made vegetable stock - even better</t>
        </is>
      </c>
    </row>
    <row r="6238">
      <c r="A6238" s="7" t="n">
        <v>105517</v>
      </c>
      <c r="B6238" s="7" t="n">
        <v>44873</v>
      </c>
      <c r="C6238" s="7" t="n">
        <v>65056</v>
      </c>
      <c r="D6238" s="7" t="n">
        <v>57908</v>
      </c>
      <c r="E6238" s="8" t="n">
        <v>38321</v>
      </c>
      <c r="F6238" s="7" t="n">
        <v>5</v>
      </c>
      <c r="G6238" s="7" t="inlineStr">
        <is>
          <t>Mmmmmm!!!  I came across this looking for something that I could make with what I have on-hand (we're going grocery shopping tomorrow, but as of tonight the fridge is bare!) OMG, I'm so glad I tried it!  Delicious citrusy flavor from the coriander (dried and fresh) and the lemon.  Not too spicey but wonderfully intensely flavored.  I didn't make this- BF did and I just ate it.  He said he followed the recipe- he did add about a cup of yellow onion (a very nice touch that I highly recommend!) and I'm pretty sure he used less cilantro (fresh coriander) than called for.  Anyhow, it turned out wonderfully, and the flavors in this are just so terrific- sunny and pungent. Intense, but not overpowering. Mmm!!!!  I'll say it again...Mmmmmm!!!!  Loved this.  Will insist upon making it again and again!  Thanks for another great dish, Annelies!  (And a great dinner)  We served with Cooling Squash #75246 and rice.</t>
        </is>
      </c>
    </row>
    <row r="6239">
      <c r="A6239" s="7" t="n">
        <v>74362</v>
      </c>
      <c r="B6239" s="7" t="n">
        <v>205590</v>
      </c>
      <c r="C6239" s="7" t="n">
        <v>186855</v>
      </c>
      <c r="D6239" s="7" t="n">
        <v>219396</v>
      </c>
      <c r="E6239" s="8" t="n">
        <v>39217</v>
      </c>
      <c r="F6239" s="7" t="n">
        <v>4</v>
      </c>
      <c r="G6239" s="7" t="inlineStr">
        <is>
          <t>I really liked this recipe.  I did two different versions.  One, the way the recipe is written, and Two, I mixed the sunflower seeds into the dough.  Both are extremely tasty.  I think I prefer the seeds mixed in, as it makes it a chewier cookie, but rolled in makes a prettier product.  So....next time, I'll mix some in and roll.  That way I get a pretty-chewy cookie.  Ahhhh, the best of both worlds.  Thanks Syd for another tasty treat.  I can always count on you.</t>
        </is>
      </c>
    </row>
    <row r="6240">
      <c r="A6240" t="n">
        <v>86256</v>
      </c>
      <c r="B6240" t="n">
        <v>103481</v>
      </c>
      <c r="C6240" t="n">
        <v>2001333339</v>
      </c>
      <c r="D6240" t="n">
        <v>88564</v>
      </c>
      <c r="E6240" s="1" t="n">
        <v>42737</v>
      </c>
      <c r="F6240" t="n">
        <v>4</v>
      </c>
      <c r="G6240" t="inlineStr">
        <is>
          <t>I used a bit less water, let it rolling boil for about 5 minutes before turning down to simmer, and let it sit as directed maybe longer (I actually lost track of time). However, I did brown my rice in olive oil, salt my water with chicken bullion and added onions prior to cooking for flavor. But it turned out great!</t>
        </is>
      </c>
    </row>
    <row r="6241">
      <c r="A6241" s="7" t="n">
        <v>105189</v>
      </c>
      <c r="B6241" s="7" t="n">
        <v>157741</v>
      </c>
      <c r="C6241" s="7" t="n">
        <v>311904</v>
      </c>
      <c r="D6241" s="7" t="n">
        <v>46967</v>
      </c>
      <c r="E6241" s="8" t="n">
        <v>39269</v>
      </c>
      <c r="F6241" s="7" t="n">
        <v>5</v>
      </c>
      <c r="G6241" s="7" t="inlineStr">
        <is>
          <t>I just made this dish last night and it was very easy.  I added more of everything and instead of 2 jars of salsa, I used one jar each of salsa and picante.  I also added a can of Mexican corn.  Totally delicious and the whole family loved it!  It also reheats well as I just had a serving for lunch.  Yummy!</t>
        </is>
      </c>
    </row>
    <row r="6242">
      <c r="A6242" t="n">
        <v>68612</v>
      </c>
      <c r="B6242" t="n">
        <v>118747</v>
      </c>
      <c r="C6242" t="n">
        <v>199848</v>
      </c>
      <c r="D6242" t="n">
        <v>13085</v>
      </c>
      <c r="E6242" s="1" t="n">
        <v>39073</v>
      </c>
      <c r="F6242" t="n">
        <v>5</v>
      </c>
      <c r="G6242" t="inlineStr">
        <is>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is>
      </c>
    </row>
    <row r="6243">
      <c r="A6243" s="7" t="n">
        <v>88550</v>
      </c>
      <c r="B6243" s="7" t="n">
        <v>588548</v>
      </c>
      <c r="C6243" s="7" t="n">
        <v>130819</v>
      </c>
      <c r="D6243" s="7" t="n">
        <v>129613</v>
      </c>
      <c r="E6243" s="8" t="n">
        <v>39813</v>
      </c>
      <c r="F6243" s="7" t="n">
        <v>5</v>
      </c>
      <c r="G6243" s="7" t="inlineStr">
        <is>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is>
      </c>
    </row>
    <row r="6244">
      <c r="A6244" s="7" t="n">
        <v>99897</v>
      </c>
      <c r="B6244" s="7" t="n">
        <v>361517</v>
      </c>
      <c r="C6244" s="7" t="n">
        <v>68715</v>
      </c>
      <c r="D6244" s="7" t="n">
        <v>51055</v>
      </c>
      <c r="E6244" s="8" t="n">
        <v>37753</v>
      </c>
      <c r="F6244" s="7" t="n">
        <v>3</v>
      </c>
      <c r="G6244" s="7" t="inlineStr">
        <is>
          <t>This is a very healthy recipe. This combination of rice and vegetables is very good together, but I found the amount of cumin to be rather overpowering. With less cumin, this could be a nice sidedish of vegetarian meal, but I would have difficulty eating it for breakfast.</t>
        </is>
      </c>
    </row>
    <row r="6245">
      <c r="A6245" s="7" t="n">
        <v>91818</v>
      </c>
      <c r="B6245" s="7" t="n">
        <v>35285</v>
      </c>
      <c r="C6245" s="7" t="n">
        <v>740470</v>
      </c>
      <c r="D6245" s="7" t="n">
        <v>380404</v>
      </c>
      <c r="E6245" s="8" t="n">
        <v>40121</v>
      </c>
      <c r="F6245" s="7" t="n">
        <v>5</v>
      </c>
      <c r="G6245" s="7" t="inlineStr">
        <is>
          <t>This was the ultimate comfort food. My son asked what was in it and before I could answer he said he didn't care it smelled too good. My son and I ate the whole casserole. This was so easy- thank you so much!</t>
        </is>
      </c>
    </row>
    <row r="6246">
      <c r="A6246" s="7" t="n">
        <v>29215</v>
      </c>
      <c r="B6246" s="7" t="n">
        <v>72760</v>
      </c>
      <c r="C6246" s="7" t="n">
        <v>329526</v>
      </c>
      <c r="D6246" s="7" t="n">
        <v>265632</v>
      </c>
      <c r="E6246" s="8" t="n">
        <v>39407</v>
      </c>
      <c r="F6246" s="7" t="n">
        <v>4</v>
      </c>
      <c r="G6246" s="7" t="inlineStr">
        <is>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is>
      </c>
    </row>
    <row r="6247">
      <c r="A6247" s="7" t="n">
        <v>51732</v>
      </c>
      <c r="B6247" s="7" t="n">
        <v>156384</v>
      </c>
      <c r="C6247" s="7" t="n">
        <v>153188</v>
      </c>
      <c r="D6247" s="7" t="n">
        <v>180731</v>
      </c>
      <c r="E6247" s="8" t="n">
        <v>39002</v>
      </c>
      <c r="F6247" s="7" t="n">
        <v>1</v>
      </c>
      <c r="G6247" s="7" t="inlineStr">
        <is>
          <t>1/4 Cup salt is WAYYYYYYYY too much!!!  Maybe 1/4 of a tsp would have been better.  A typo or no?  I used about an 1/8 of a cup and it was still ruined....without the salt mix up it would have been amazing!</t>
        </is>
      </c>
    </row>
    <row r="6248">
      <c r="A6248" s="7" t="n">
        <v>13195</v>
      </c>
      <c r="B6248" s="7" t="n">
        <v>1124356</v>
      </c>
      <c r="C6248" s="7" t="n">
        <v>58104</v>
      </c>
      <c r="D6248" s="7" t="n">
        <v>341581</v>
      </c>
      <c r="E6248" s="8" t="n">
        <v>40287</v>
      </c>
      <c r="F6248" s="7" t="n">
        <v>5</v>
      </c>
      <c r="G6248" s="7" t="inlineStr">
        <is>
          <t>I made this in a bean crock. Holding in more moisture seeing an other reviewer found it to dry out. I did use 3 cans of beans. Also used whole grain mustard didn`t have dry. Baked and tasted found it wsn`t sweet enough for DH added 1/4 cup brown sugar, and 1/4 cup ketchup.  Used smoked chipotle for a smoky kick. No it isn`t the same baked beans the onions on top really make this tasty! Thanks.</t>
        </is>
      </c>
    </row>
    <row r="6249">
      <c r="A6249" s="7" t="n">
        <v>119606</v>
      </c>
      <c r="B6249" s="7" t="n">
        <v>580296</v>
      </c>
      <c r="C6249" s="7" t="n">
        <v>2001298489</v>
      </c>
      <c r="D6249" s="7" t="n">
        <v>45069</v>
      </c>
      <c r="E6249" s="8" t="n">
        <v>42719</v>
      </c>
      <c r="F6249" s="7" t="n">
        <v>5</v>
      </c>
      <c r="G6249" s="7" t="inlineStr">
        <is>
          <t>By far the best tasting, most flavorful recipe for slow cooker chili. I've tried 8 different similar variations, and this is the winner.</t>
        </is>
      </c>
    </row>
    <row r="6250">
      <c r="A6250" s="7" t="n">
        <v>122812</v>
      </c>
      <c r="B6250" s="7" t="n">
        <v>89568</v>
      </c>
      <c r="C6250" s="7" t="n">
        <v>1290903</v>
      </c>
      <c r="D6250" s="7" t="n">
        <v>222338</v>
      </c>
      <c r="E6250" s="8" t="n">
        <v>41030</v>
      </c>
      <c r="F6250" s="7" t="n">
        <v>5</v>
      </c>
      <c r="G6250" s="7" t="inlineStr">
        <is>
          <t>We had this for dinner last night and it was quite delicious.  I left out the water because we like chowder to be on the thick side. I prepared it by adding some minced garlic and cracked black pepper.  Next time I make this I think I will add some sweet baby peas.&lt;br/&gt;Thank you for the recipe!</t>
        </is>
      </c>
    </row>
    <row r="6251">
      <c r="A6251" s="7" t="n">
        <v>16946</v>
      </c>
      <c r="B6251" s="7" t="n">
        <v>31438</v>
      </c>
      <c r="C6251" s="7" t="n">
        <v>2001016558</v>
      </c>
      <c r="D6251" s="7" t="n">
        <v>8596</v>
      </c>
      <c r="E6251" s="8" t="n">
        <v>42613</v>
      </c>
      <c r="F6251" s="7" t="n">
        <v>5</v>
      </c>
      <c r="G6251" s="7" t="inlineStr">
        <is>
          <t>This is just amazing! Just made this, I made half of the recipe. Used 4 oz cream cheese, added a lil bit Italian seasoning, mozarella cheese, mushroom, spinach, sliced chicken, and bacon. Thank you for sharing this.</t>
        </is>
      </c>
    </row>
    <row r="6252">
      <c r="A6252" s="7" t="n">
        <v>101253</v>
      </c>
      <c r="B6252" s="7" t="n">
        <v>874193</v>
      </c>
      <c r="C6252" s="7" t="n">
        <v>176615</v>
      </c>
      <c r="D6252" s="7" t="n">
        <v>135856</v>
      </c>
      <c r="E6252" s="8" t="n">
        <v>38753</v>
      </c>
      <c r="F6252" s="7" t="n">
        <v>5</v>
      </c>
      <c r="G6252" s="7" t="inlineStr">
        <is>
          <t>Sensational! I used 3 smallish zucchini. The frosting is a layer of thick fudge and compliments the brwonies nicely, but they are so rich I'd serve in small squares. A great way to get rid of some zucchini, even a reason to go buy some more. Thanks, Kaarin!</t>
        </is>
      </c>
    </row>
    <row r="6253">
      <c r="A6253" s="7" t="n">
        <v>75204</v>
      </c>
      <c r="B6253" s="7" t="n">
        <v>203821</v>
      </c>
      <c r="C6253" s="7" t="n">
        <v>1658850</v>
      </c>
      <c r="D6253" s="7" t="n">
        <v>83789</v>
      </c>
      <c r="E6253" s="8" t="n">
        <v>40793</v>
      </c>
      <c r="F6253" s="7" t="n">
        <v>0</v>
      </c>
      <c r="G6253" s="7" t="inlineStr">
        <is>
          <t>This is the most fabulous strawberry rhubarb pie ever! I don't think I had the quantity of strawberries and rhubarb listed, I didn't measure, just used what I had. It was awesome, though! What an awesome topping! I will be trying it on other pies, too! Oh, and I used frozen strawberries, and thickened up the juice a little with cornstarch before I mixed the filling together; I still used the flour, too.</t>
        </is>
      </c>
    </row>
    <row r="6254">
      <c r="A6254" s="7" t="n">
        <v>72215</v>
      </c>
      <c r="B6254" s="7" t="n">
        <v>351119</v>
      </c>
      <c r="C6254" s="7" t="n">
        <v>1671566</v>
      </c>
      <c r="D6254" s="7" t="n">
        <v>16531</v>
      </c>
      <c r="E6254" s="8" t="n">
        <v>42038</v>
      </c>
      <c r="F6254" s="7" t="n">
        <v>0</v>
      </c>
      <c r="G6254" s="7" t="inlineStr">
        <is>
          <t>Have not made this yet, question as anyone tryed it in the pressure cooker. That helps keep white meat moist.</t>
        </is>
      </c>
    </row>
    <row r="6255">
      <c r="A6255" s="7" t="n">
        <v>96689</v>
      </c>
      <c r="B6255" s="7" t="n">
        <v>44701</v>
      </c>
      <c r="C6255" s="7" t="n">
        <v>37449</v>
      </c>
      <c r="D6255" s="7" t="n">
        <v>47597</v>
      </c>
      <c r="E6255" s="8" t="n">
        <v>37590</v>
      </c>
      <c r="F6255" s="7" t="n">
        <v>5</v>
      </c>
      <c r="G6255" s="7" t="inlineStr">
        <is>
          <t>Chia, this was really good. I kinda followed the recipe. I used turkey legs and leftover veg. ends I keep in the freezer to make soup. It came out dilicious! (I didn't use turnip). My husband decided he needed turkey meat in his soup so I added it, and put in angelhair pasta, broken up. Thanks!</t>
        </is>
      </c>
    </row>
    <row r="6256">
      <c r="A6256" s="7" t="n">
        <v>28833</v>
      </c>
      <c r="B6256" s="7" t="n">
        <v>824131</v>
      </c>
      <c r="C6256" s="7" t="n">
        <v>743966</v>
      </c>
      <c r="D6256" s="7" t="n">
        <v>78814</v>
      </c>
      <c r="E6256" s="8" t="n">
        <v>40161</v>
      </c>
      <c r="F6256" s="7" t="n">
        <v>5</v>
      </c>
      <c r="G6256" s="7" t="inlineStr">
        <is>
          <t>We absolutely loved this recipe!! Even my non-chicken loving husband and kid ate this right up! Thanks for another great recipe!</t>
        </is>
      </c>
    </row>
    <row r="6257">
      <c r="A6257" s="7" t="n">
        <v>33985</v>
      </c>
      <c r="B6257" s="7" t="n">
        <v>875264</v>
      </c>
      <c r="C6257" s="7" t="n">
        <v>655199</v>
      </c>
      <c r="D6257" s="7" t="n">
        <v>136134</v>
      </c>
      <c r="E6257" s="8" t="n">
        <v>41489</v>
      </c>
      <c r="F6257" s="7" t="n">
        <v>0</v>
      </c>
      <c r="G6257" s="7" t="inlineStr">
        <is>
          <t>I&amp;#039;ve made sauerkraut in the jars before &amp;amp; I disagree with tightening the lids &amp;amp; let it ferment. That&amp;#039;s a good way for the jars to break. I would suggest that you keep the lids loose &amp;amp; set in a waterproof container to catch any overflow of the juices until fermenting is done...it&amp;#039;ll smell up the house, but that&amp;#039;s better than busted jars &amp;amp; wasted cabbage &amp;amp; effort. Another trick is instead of putting lids on right away, stretch a clean, Unused rubber surgical-type glove over the top of the jar...as the cabbage ferments, the glove will expand &amp;amp; will then stop when done....you can put a ring on to hold the glove if desired.</t>
        </is>
      </c>
    </row>
    <row r="6258">
      <c r="A6258" s="7" t="n">
        <v>114873</v>
      </c>
      <c r="B6258" s="7" t="n">
        <v>1011325</v>
      </c>
      <c r="C6258" s="7" t="n">
        <v>778632</v>
      </c>
      <c r="D6258" s="7" t="n">
        <v>214713</v>
      </c>
      <c r="E6258" s="8" t="n">
        <v>39768</v>
      </c>
      <c r="F6258" s="7" t="n">
        <v>3</v>
      </c>
      <c r="G6258" s="7" t="inlineStr">
        <is>
          <t>This was o.k. I did need to doctor up a bit because I thought it was just way too watery. When I make again, I will substitute Vegetable Broth for water and add more half and half and tomato sauce.</t>
        </is>
      </c>
    </row>
    <row r="6259">
      <c r="A6259" s="7" t="n">
        <v>120995</v>
      </c>
      <c r="B6259" s="7" t="n">
        <v>336407</v>
      </c>
      <c r="C6259" s="7" t="n">
        <v>358796</v>
      </c>
      <c r="D6259" s="7" t="n">
        <v>133987</v>
      </c>
      <c r="E6259" s="8" t="n">
        <v>39344</v>
      </c>
      <c r="F6259" s="7" t="n">
        <v>3</v>
      </c>
      <c r="G6259" s="7" t="inlineStr">
        <is>
          <t>Really great flavor, although WAY too salty as written. Used fresh mushrooms &amp; Heinz Savory Beef Gravy (they did not have the mushroom one). This makes a lot of gravy, so be sure to make some mashed potatoes to soak it up. Brings back childhood memories, thanks for posting!</t>
        </is>
      </c>
    </row>
    <row r="6260">
      <c r="A6260" s="7" t="n">
        <v>29502</v>
      </c>
      <c r="B6260" s="7" t="n">
        <v>829192</v>
      </c>
      <c r="C6260" s="7" t="n">
        <v>541422</v>
      </c>
      <c r="D6260" s="7" t="n">
        <v>28983</v>
      </c>
      <c r="E6260" s="8" t="n">
        <v>39336</v>
      </c>
      <c r="F6260" s="7" t="n">
        <v>5</v>
      </c>
      <c r="G6260" s="7" t="inlineStr">
        <is>
          <t>I quartered the recipe as it was my first time making pickles of any sort. I was really happy with how they turned out.  I appreciated the specifics in the directions, very helpful!  Thanks!</t>
        </is>
      </c>
    </row>
    <row r="6261">
      <c r="A6261" s="7" t="n">
        <v>99904</v>
      </c>
      <c r="B6261" s="7" t="n">
        <v>879011</v>
      </c>
      <c r="C6261" s="7" t="n">
        <v>67728</v>
      </c>
      <c r="D6261" s="7" t="n">
        <v>452649</v>
      </c>
      <c r="E6261" s="8" t="n">
        <v>42241</v>
      </c>
      <c r="F6261" s="7" t="n">
        <v>5</v>
      </c>
      <c r="G6261" s="7" t="inlineStr">
        <is>
          <t>I love gingerbread, and these cupcakes did not disappoint! Although my frosting didn&amp;#039;t look as pretty as the snowy white frosting in Annacia&amp;#039;s photo, I really enjoyed the lemon zest (I used Meyer lemon) and cinnamon in it. The cakes had such a nice dome to them when they baked up, too. Thanks for posting! Made for CQ2 Family Picks Switzerland for the Cherry Bombers</t>
        </is>
      </c>
    </row>
    <row r="6262">
      <c r="A6262" s="7" t="n">
        <v>3965</v>
      </c>
      <c r="B6262" s="7" t="n">
        <v>162446</v>
      </c>
      <c r="C6262" s="7" t="n">
        <v>95743</v>
      </c>
      <c r="D6262" s="7" t="n">
        <v>45116</v>
      </c>
      <c r="E6262" s="8" t="n">
        <v>38668</v>
      </c>
      <c r="F6262" s="7" t="n">
        <v>5</v>
      </c>
      <c r="G6262" s="7" t="inlineStr">
        <is>
          <t>Wow, was this ever a hit at dinner. I really prefer roasted Brussels sprouts, so since the oven was going anyway... I used #84473 and #56103 would work as well. Delicious, papergoddess.</t>
        </is>
      </c>
    </row>
    <row r="6263">
      <c r="A6263" s="7" t="n">
        <v>116462</v>
      </c>
      <c r="B6263" s="7" t="n">
        <v>1015681</v>
      </c>
      <c r="C6263" s="7" t="n">
        <v>1812654</v>
      </c>
      <c r="D6263" s="7" t="n">
        <v>133320</v>
      </c>
      <c r="E6263" s="8" t="n">
        <v>40923</v>
      </c>
      <c r="F6263" s="7" t="n">
        <v>5</v>
      </c>
      <c r="G6263" s="7" t="inlineStr">
        <is>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is>
      </c>
    </row>
    <row r="6264">
      <c r="A6264" s="7" t="n">
        <v>76873</v>
      </c>
      <c r="B6264" s="7" t="n">
        <v>587758</v>
      </c>
      <c r="C6264" s="7" t="n">
        <v>222564</v>
      </c>
      <c r="D6264" s="7" t="n">
        <v>73062</v>
      </c>
      <c r="E6264" s="8" t="n">
        <v>39206</v>
      </c>
      <c r="F6264" s="7" t="n">
        <v>4</v>
      </c>
      <c r="G6264" s="7" t="inlineStr">
        <is>
          <t>These really where moist and tender chops, due to milk and salt soak, I believe amongst all the other believers. For crumbs, any nicely flavored crumbs could be used.</t>
        </is>
      </c>
    </row>
    <row r="6265" ht="409.5" customHeight="1">
      <c r="A6265" s="7" t="n">
        <v>60951</v>
      </c>
      <c r="B6265" s="7" t="n">
        <v>559005</v>
      </c>
      <c r="C6265" s="7" t="n">
        <v>478599</v>
      </c>
      <c r="D6265" s="7" t="n">
        <v>142388</v>
      </c>
      <c r="E6265" s="8" t="n">
        <v>39233</v>
      </c>
      <c r="F6265" s="7" t="n">
        <v>5</v>
      </c>
      <c r="G6265" s="9" t="inlineStr">
        <is>
          <t>My husband, son, and mom were WILD for these!  The black olives and cumin make such a great taste combination.  _x000D_
I didn't stray from the recipe at all.  Thank you for posting this great recipe!_x000D_
Reviewed for ZWTIII</t>
        </is>
      </c>
    </row>
    <row r="6266">
      <c r="A6266" s="7" t="n">
        <v>89328</v>
      </c>
      <c r="B6266" s="7" t="n">
        <v>770687</v>
      </c>
      <c r="C6266" s="7" t="n">
        <v>2206637</v>
      </c>
      <c r="D6266" s="7" t="n">
        <v>318572</v>
      </c>
      <c r="E6266" s="8" t="n">
        <v>42128</v>
      </c>
      <c r="F6266" s="7" t="n">
        <v>5</v>
      </c>
      <c r="G6266" s="7" t="inlineStr">
        <is>
          <t>This is awesome!  We used lots of fresh dill and raw greek yogurt from a local farmer.  Delicious!!!!  Thanks so much for sharing!!!</t>
        </is>
      </c>
    </row>
    <row r="6267">
      <c r="A6267" s="7" t="n">
        <v>24714</v>
      </c>
      <c r="B6267" s="7" t="n">
        <v>1064276</v>
      </c>
      <c r="C6267" s="7" t="n">
        <v>147027</v>
      </c>
      <c r="D6267" s="7" t="n">
        <v>90485</v>
      </c>
      <c r="E6267" s="8" t="n">
        <v>38434</v>
      </c>
      <c r="F6267" s="7" t="n">
        <v>5</v>
      </c>
      <c r="G6267" s="7" t="inlineStr">
        <is>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is>
      </c>
    </row>
    <row r="6268">
      <c r="A6268" s="7" t="n">
        <v>109564</v>
      </c>
      <c r="B6268" s="7" t="n">
        <v>317433</v>
      </c>
      <c r="C6268" s="7" t="n">
        <v>895132</v>
      </c>
      <c r="D6268" s="7" t="n">
        <v>110167</v>
      </c>
      <c r="E6268" s="8" t="n">
        <v>40526</v>
      </c>
      <c r="F6268" s="7" t="n">
        <v>5</v>
      </c>
      <c r="G6268" s="7" t="inlineStr">
        <is>
          <t>Fantastic cookie, exactly how I like it! Not too sweet and pleasantly crisp, easy to put together - just perfect. No mess at all forming the balls. Made them gluten free, and they baked 20 minutes.&lt;br/&gt;Thanks for sharing this!&lt;br/&gt;Made for Bargain Basement December 2010.</t>
        </is>
      </c>
    </row>
    <row r="6269">
      <c r="A6269" s="7" t="n">
        <v>24592</v>
      </c>
      <c r="B6269" s="7" t="n">
        <v>58067</v>
      </c>
      <c r="C6269" s="7" t="n">
        <v>666723</v>
      </c>
      <c r="D6269" s="7" t="n">
        <v>81861</v>
      </c>
      <c r="E6269" s="8" t="n">
        <v>39530</v>
      </c>
      <c r="F6269" s="7" t="n">
        <v>5</v>
      </c>
      <c r="G6269" s="7" t="inlineStr">
        <is>
          <t>Well I really wanted to try this recipe but didn't have buttermilk or a ranch packet!  I just substituted bottled ranch dressing and it worked out great!  I also used Italian flavored breadcrumbs as that was what I had on hand.  I cooked mine for about 40 minutes at 400 degrees because I had my side dish in there at that temp and it turned out great!  The coating was flavorful and the chicken was tender and moist!  Maybe a little too much paprika for my liking, but all in all a great idea and easy recipe to put together!</t>
        </is>
      </c>
    </row>
    <row r="6270" ht="300" customHeight="1">
      <c r="A6270" s="7" t="n">
        <v>81581</v>
      </c>
      <c r="B6270" s="7" t="n">
        <v>41856</v>
      </c>
      <c r="C6270" s="7" t="n">
        <v>211184</v>
      </c>
      <c r="D6270" s="7" t="n">
        <v>155358</v>
      </c>
      <c r="E6270" s="8" t="n">
        <v>38931</v>
      </c>
      <c r="F6270" s="7" t="n">
        <v>5</v>
      </c>
      <c r="G6270" s="9" t="inlineStr">
        <is>
          <t>I love it! I'm always looking for quick snacks and this was Quick! It was so good my bagel was smiling. Thanks for posting._x000D_
_x000D_
Nick's Mom</t>
        </is>
      </c>
    </row>
    <row r="6271" ht="375" customHeight="1">
      <c r="A6271" s="7" t="n">
        <v>91848</v>
      </c>
      <c r="B6271" s="7" t="n">
        <v>511998</v>
      </c>
      <c r="C6271" s="7" t="n">
        <v>209747</v>
      </c>
      <c r="D6271" s="7" t="n">
        <v>116296</v>
      </c>
      <c r="E6271" s="8" t="n">
        <v>38652</v>
      </c>
      <c r="F6271" s="7" t="n">
        <v>4</v>
      </c>
      <c r="G6271" s="9" t="inlineStr">
        <is>
          <t xml:space="preserve">This was pretty good! Next time I will use water as the broth competed with the spinach flavor- I LOVE spinach and garlic! _x000D_
_x000D_
Thanks for another great recipe cookie! </t>
        </is>
      </c>
    </row>
    <row r="6272">
      <c r="A6272" s="7" t="n">
        <v>17837</v>
      </c>
      <c r="B6272" s="7" t="n">
        <v>558600</v>
      </c>
      <c r="C6272" s="7" t="n">
        <v>40135</v>
      </c>
      <c r="D6272" s="7" t="n">
        <v>68681</v>
      </c>
      <c r="E6272" s="8" t="n">
        <v>39020</v>
      </c>
      <c r="F6272" s="7" t="n">
        <v>4</v>
      </c>
      <c r="G6272" s="7" t="inlineStr">
        <is>
          <t>Each of my girls (5 &amp; 8) made a batch for their class.  We replaced the raisins with mini marshmallows, but added one handful for the 5yo's class.  (She tells me some of her friends like raisins...but not her! LOL)  We also skipped the sprinkles.  Thanks for the great recipe!!</t>
        </is>
      </c>
    </row>
    <row r="6273">
      <c r="A6273" s="7" t="n">
        <v>29110</v>
      </c>
      <c r="B6273" s="7" t="n">
        <v>349086</v>
      </c>
      <c r="C6273" s="7" t="n">
        <v>1060667</v>
      </c>
      <c r="D6273" s="7" t="n">
        <v>50719</v>
      </c>
      <c r="E6273" s="8" t="n">
        <v>42553</v>
      </c>
      <c r="F6273" s="7" t="n">
        <v>5</v>
      </c>
      <c r="G6273" s="7" t="inlineStr">
        <is>
          <t>Made these for a bake sale. Wonderful!</t>
        </is>
      </c>
    </row>
    <row r="6274">
      <c r="A6274" s="7" t="n">
        <v>80738</v>
      </c>
      <c r="B6274" s="7" t="n">
        <v>240118</v>
      </c>
      <c r="C6274" s="7" t="n">
        <v>68460</v>
      </c>
      <c r="D6274" s="7" t="n">
        <v>73942</v>
      </c>
      <c r="E6274" s="8" t="n">
        <v>37960</v>
      </c>
      <c r="F6274" s="7" t="n">
        <v>5</v>
      </c>
      <c r="G6274" s="7" t="inlineStr">
        <is>
          <t>It worked for us Roosie!  Very good, quick and easy.  I used 1 lb. of very large shrimp, which turned out to be 15.  I made the recipe as is and we loved it...served two for us.</t>
        </is>
      </c>
    </row>
    <row r="6275">
      <c r="A6275" s="7" t="n">
        <v>2572</v>
      </c>
      <c r="B6275" s="7" t="n">
        <v>159340</v>
      </c>
      <c r="C6275" s="7" t="n">
        <v>45654</v>
      </c>
      <c r="D6275" s="7" t="n">
        <v>50158</v>
      </c>
      <c r="E6275" s="8" t="n">
        <v>37930</v>
      </c>
      <c r="F6275" s="7" t="n">
        <v>5</v>
      </c>
      <c r="G6275" s="7" t="inlineStr">
        <is>
          <t xml:space="preserve">This was a wonderfully easy dish to prepare.  My family loved it and requested again.  </t>
        </is>
      </c>
    </row>
    <row r="6276">
      <c r="A6276" s="7" t="n">
        <v>2379</v>
      </c>
      <c r="B6276" s="7" t="n">
        <v>400554</v>
      </c>
      <c r="C6276" s="7" t="n">
        <v>323186</v>
      </c>
      <c r="D6276" s="7" t="n">
        <v>460751</v>
      </c>
      <c r="E6276" s="8" t="n">
        <v>40780</v>
      </c>
      <c r="F6276" s="7" t="n">
        <v>5</v>
      </c>
      <c r="G6276" s="7" t="inlineStr">
        <is>
          <t>Although I took your advice and thought roadmap,  I did actually stick largely to recipe, my only ' changes ' were to use penne, since I didn't have pappardelle (but another time I would rather use the pappardelle, I think it would complement this dish very well), and chicken rather than tuna, simply because I'm not very fond of tuna, and even the smell is a bit off-putting.  I think tuna would be excellent in this though, it would really lend itself to blend with the other ingredients and flavours.   I loved the use of zucchini ribbons,   and all in all, we really enjoyed this easily prepared dish, rich and tasty, an excellent pasta dinner.    Thanks duonyte, made for PRMR tag game</t>
        </is>
      </c>
    </row>
    <row r="6277">
      <c r="A6277" s="7" t="n">
        <v>40279</v>
      </c>
      <c r="B6277" s="7" t="n">
        <v>788497</v>
      </c>
      <c r="C6277" s="7" t="n">
        <v>1214320</v>
      </c>
      <c r="D6277" s="7" t="n">
        <v>50482</v>
      </c>
      <c r="E6277" s="8" t="n">
        <v>39896</v>
      </c>
      <c r="F6277" s="7" t="n">
        <v>5</v>
      </c>
      <c r="G6277" s="7" t="inlineStr">
        <is>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is>
      </c>
    </row>
    <row r="6278">
      <c r="A6278" s="7" t="n">
        <v>62511</v>
      </c>
      <c r="B6278" s="7" t="n">
        <v>234047</v>
      </c>
      <c r="C6278" s="7" t="n">
        <v>394085</v>
      </c>
      <c r="D6278" s="7" t="n">
        <v>192656</v>
      </c>
      <c r="E6278" s="8" t="n">
        <v>39654</v>
      </c>
      <c r="F6278" s="7" t="n">
        <v>5</v>
      </c>
      <c r="G6278" s="7" t="inlineStr">
        <is>
          <t>Entirely luscious!  The contrast between the smooth rich onions and the crunchy topping is outstanding.   I served this with 2Bleu's Recipe #275179.  Great combination.</t>
        </is>
      </c>
    </row>
    <row r="6279" ht="225" customHeight="1">
      <c r="A6279" t="n">
        <v>84119</v>
      </c>
      <c r="B6279" t="n">
        <v>888946</v>
      </c>
      <c r="C6279" t="n">
        <v>58104</v>
      </c>
      <c r="D6279" t="n">
        <v>424013</v>
      </c>
      <c r="E6279" s="1" t="n">
        <v>40335</v>
      </c>
      <c r="F6279" t="n">
        <v>4</v>
      </c>
      <c r="G6279" s="2" t="inlineStr">
        <is>
          <t>Yummy and sweet! Maybe just a little to sweet for me. Love the color. Part of Menu #40269_x000D_
ZWT 6 Thanks!</t>
        </is>
      </c>
    </row>
    <row r="6280">
      <c r="A6280" s="7" t="n">
        <v>78820</v>
      </c>
      <c r="B6280" s="7" t="n">
        <v>499397</v>
      </c>
      <c r="C6280" s="7" t="n">
        <v>2001514554</v>
      </c>
      <c r="D6280" s="7" t="n">
        <v>296126</v>
      </c>
      <c r="E6280" s="8" t="n">
        <v>43339</v>
      </c>
      <c r="F6280" s="7" t="n">
        <v>5</v>
      </c>
      <c r="G6280" s="7" t="inlineStr">
        <is>
          <t>Excellent recipes, tasty as written. Good option when zucchinis are prolific and in season!</t>
        </is>
      </c>
    </row>
    <row r="6281">
      <c r="A6281" s="7" t="n">
        <v>126097</v>
      </c>
      <c r="B6281" s="7" t="n">
        <v>979658</v>
      </c>
      <c r="C6281" s="7" t="n">
        <v>1249407</v>
      </c>
      <c r="D6281" s="7" t="n">
        <v>190516</v>
      </c>
      <c r="E6281" s="8" t="n">
        <v>40555</v>
      </c>
      <c r="F6281" s="7" t="n">
        <v>4</v>
      </c>
      <c r="G6281" s="7" t="inlineStr">
        <is>
          <t>I just made these and they are Awesome!!  I didn't have whole wheat flour either, so I subbed AP flour.  I was going to add a touch of cinnamon too, but then I spied the pumpkin pie spice I had left over from the holidays, and added about a tsp of that to give it a little more oomph.  Sooo very good.  9 minutes at 375 were good for me.</t>
        </is>
      </c>
    </row>
    <row r="6282">
      <c r="A6282" s="7" t="n">
        <v>124088</v>
      </c>
      <c r="B6282" s="7" t="n">
        <v>698827</v>
      </c>
      <c r="C6282" s="7" t="n">
        <v>163009</v>
      </c>
      <c r="D6282" s="7" t="n">
        <v>27188</v>
      </c>
      <c r="E6282" s="8" t="n">
        <v>39882</v>
      </c>
      <c r="F6282" s="7" t="n">
        <v>5</v>
      </c>
      <c r="G6282" s="7" t="inlineStr">
        <is>
          <t>Never thought I'd give a meatloaf recipe five stars...but this one deserves it!  My daughter says I'm suppose to say "AWESOME"!  The entire family loved it!  I was unsure about the green peppers, but they added great flavor!  Served with some Heinz Beef Gravy drizzled over the top, although, it really didn't need it.  Mashed potatoes and corn finished it off!  SUPERB!</t>
        </is>
      </c>
    </row>
    <row r="6283">
      <c r="A6283" s="7" t="n">
        <v>40747</v>
      </c>
      <c r="B6283" s="7" t="n">
        <v>245629</v>
      </c>
      <c r="C6283" s="7" t="n">
        <v>51652</v>
      </c>
      <c r="D6283" s="7" t="n">
        <v>32576</v>
      </c>
      <c r="E6283" s="8" t="n">
        <v>37635</v>
      </c>
      <c r="F6283" s="7" t="n">
        <v>4</v>
      </c>
      <c r="G6283" s="7" t="inlineStr">
        <is>
          <t>I've tried many home-made sloppy joe recipies and this is by far the best.  I did have to add a lot of water too it, though, to keep it from drying out while simmering.  Maybe because I didn't add much onion?   It was great anyway.</t>
        </is>
      </c>
    </row>
    <row r="6284">
      <c r="A6284" t="n">
        <v>49222</v>
      </c>
      <c r="B6284" t="n">
        <v>528029</v>
      </c>
      <c r="C6284" t="n">
        <v>65502</v>
      </c>
      <c r="D6284" t="n">
        <v>199337</v>
      </c>
      <c r="E6284" s="1" t="n">
        <v>40182</v>
      </c>
      <c r="F6284" t="n">
        <v>5</v>
      </c>
      <c r="G6284" t="inlineStr">
        <is>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is>
      </c>
    </row>
    <row r="6285">
      <c r="A6285" s="7" t="n">
        <v>105337</v>
      </c>
      <c r="B6285" s="7" t="n">
        <v>308052</v>
      </c>
      <c r="C6285" s="7" t="n">
        <v>2160492</v>
      </c>
      <c r="D6285" s="7" t="n">
        <v>316719</v>
      </c>
      <c r="E6285" s="8" t="n">
        <v>40933</v>
      </c>
      <c r="F6285" s="7" t="n">
        <v>5</v>
      </c>
      <c r="G6285" s="7" t="inlineStr">
        <is>
          <t>Having never made any "Raw" dessert ...ever, this one takes the cake. Even my ultra picky, chocolate loving hubby &amp; kids loved it. Definitely recommend letting it set over night. Tastes better the longer it sits. I lined a glass baking dish with non bleached parchment paper for easy cutting and clean up. Wrap tightly to prevent freezer burn. I then moved it to the fridge before serving. Want to experiment with more combinations! I pretty much followed this recipe exactly with the exception of raw honey (used agave nectar). Thanks so much for sharing.</t>
        </is>
      </c>
    </row>
    <row r="6286">
      <c r="A6286" s="7" t="n">
        <v>39212</v>
      </c>
      <c r="B6286" s="7" t="n">
        <v>48506</v>
      </c>
      <c r="C6286" s="7" t="n">
        <v>425677</v>
      </c>
      <c r="D6286" s="7" t="n">
        <v>289637</v>
      </c>
      <c r="E6286" s="8" t="n">
        <v>39644</v>
      </c>
      <c r="F6286" s="7" t="n">
        <v>5</v>
      </c>
      <c r="G6286" s="7" t="inlineStr">
        <is>
          <t>These cookies really are amazing!  I really can't stop eating them.  They are so chewy and moist.  Just a ltttle tip.  If you do have some of these left over after the first day you make them.  Store them in an air tight container with a piece of bread.  They will last a really long time and still be moist.  Thanks Mommy Bean!</t>
        </is>
      </c>
    </row>
    <row r="6287">
      <c r="A6287" s="7" t="n">
        <v>113827</v>
      </c>
      <c r="B6287" s="7" t="n">
        <v>523502</v>
      </c>
      <c r="C6287" s="7" t="n">
        <v>29196</v>
      </c>
      <c r="D6287" s="7" t="n">
        <v>398894</v>
      </c>
      <c r="E6287" s="8" t="n">
        <v>40159</v>
      </c>
      <c r="F6287" s="7" t="n">
        <v>4</v>
      </c>
      <c r="G6287" s="7" t="inlineStr">
        <is>
          <t>This was good thanks Karen. I made this tonight with concerns about the amount of liquid in it&gt; i cooked it covered at a very low simmer (on a simmer mat) and checked it after 15 minutes . It was completely dry and needed another cup of water and 10 more minutes to finish cooking. After photographing it, I added in corn, peas, parsley and shredded chicken meat to make a yummy one pot meal.</t>
        </is>
      </c>
    </row>
    <row r="6288">
      <c r="A6288" s="7" t="n">
        <v>58096</v>
      </c>
      <c r="B6288" s="7" t="n">
        <v>56527</v>
      </c>
      <c r="C6288" s="7" t="n">
        <v>284897</v>
      </c>
      <c r="D6288" s="7" t="n">
        <v>205192</v>
      </c>
      <c r="E6288" s="8" t="n">
        <v>41327</v>
      </c>
      <c r="F6288" s="7" t="n">
        <v>5</v>
      </c>
      <c r="G6288" s="7" t="inlineStr">
        <is>
          <t>A great way to use up you overload of zucchini.&lt;br/&gt;Except for leaving the zucchini to drain for a whil after grating, I followed the recipe exactly.&lt;br/&gt;This is really a crustless quiche and so easy to make and so delicious to eat.&lt;br/&gt;Except for DH who hates zucchini to the max, everyone loved it.&lt;br/&gt;Thanks Peg for another wonderful way to use zucchini.</t>
        </is>
      </c>
    </row>
    <row r="6289">
      <c r="A6289" s="7" t="n">
        <v>95221</v>
      </c>
      <c r="B6289" s="7" t="n">
        <v>440169</v>
      </c>
      <c r="C6289" s="7" t="n">
        <v>195589</v>
      </c>
      <c r="D6289" s="7" t="n">
        <v>394472</v>
      </c>
      <c r="E6289" s="8" t="n">
        <v>40112</v>
      </c>
      <c r="F6289" s="7" t="n">
        <v>5</v>
      </c>
      <c r="G6289" s="7" t="inlineStr">
        <is>
          <t>This is great, I have made it many times using either chicken or pork chops. I usually add some soy sauce, and I don't do the arguula. If I don't have marmalade I have subbed pure OJ with good results. I take the chicken out of the pan and then reduce the glaze. Yummm! Thanks for posting, Recipe Reviewer.</t>
        </is>
      </c>
    </row>
    <row r="6290">
      <c r="A6290" s="7" t="n">
        <v>123167</v>
      </c>
      <c r="B6290" s="7" t="n">
        <v>912633</v>
      </c>
      <c r="C6290" s="7" t="n">
        <v>37305</v>
      </c>
      <c r="D6290" s="7" t="n">
        <v>36235</v>
      </c>
      <c r="E6290" s="8" t="n">
        <v>37578</v>
      </c>
      <c r="F6290" s="7" t="n">
        <v>5</v>
      </c>
      <c r="G6290" s="7" t="inlineStr">
        <is>
          <t xml:space="preserve">Wow, this was just great!  Made it with low-fat vanilla frozen yogurt and it was delicious and light after a big dinner tonight.  I needed 2 3/4 cups of crumbs and had to take out of the oven early, because the crust and crumbs started to burn a bit...10 minutes probably would have been perfect.  After they cooled, it was a quick 5 minutes to put together and then into the freezer it went (right before dinner).  By the time dinner was over and coffee was brewed, it was just firm enough to eat!  It is a little hard to get out of the pan, so I would suggest dipping the bottom of the pan into hot water for a few seconds before cutting.  Thanks so much Ginny for another great recipe :)  </t>
        </is>
      </c>
    </row>
    <row r="6291">
      <c r="A6291" t="n">
        <v>14365</v>
      </c>
      <c r="B6291" t="n">
        <v>94019</v>
      </c>
      <c r="C6291" t="n">
        <v>64625</v>
      </c>
      <c r="D6291" t="n">
        <v>156480</v>
      </c>
      <c r="E6291" s="1" t="n">
        <v>39100</v>
      </c>
      <c r="F6291" t="n">
        <v>0</v>
      </c>
      <c r="G6291" t="inlineStr">
        <is>
          <t>A clone of recipe #62730, with a couple of variations in quantity, for example, 1 lb sausage to 1/2 lb sausage. An excellent recipe nonetheless, and deserves to be adjusted according to taste and desires.</t>
        </is>
      </c>
    </row>
    <row r="6292">
      <c r="A6292" s="7" t="n">
        <v>57000</v>
      </c>
      <c r="B6292" s="7" t="n">
        <v>1118375</v>
      </c>
      <c r="C6292" s="7" t="n">
        <v>240552</v>
      </c>
      <c r="D6292" s="7" t="n">
        <v>283058</v>
      </c>
      <c r="E6292" s="8" t="n">
        <v>39500</v>
      </c>
      <c r="F6292" s="7" t="n">
        <v>4</v>
      </c>
      <c r="G6292" s="7" t="inlineStr">
        <is>
          <t>Yummy breakfast!  Unfortunately my crew didn't like the tortillas tossed in with it. I might make them crunchy to put on top as another reviewer stated.  Thanks!</t>
        </is>
      </c>
    </row>
    <row r="6293">
      <c r="A6293" s="7" t="n">
        <v>25610</v>
      </c>
      <c r="B6293" s="7" t="n">
        <v>983707</v>
      </c>
      <c r="C6293" s="7" t="n">
        <v>136979</v>
      </c>
      <c r="D6293" s="7" t="n">
        <v>50575</v>
      </c>
      <c r="E6293" s="8" t="n">
        <v>38470</v>
      </c>
      <c r="F6293" s="7" t="n">
        <v>5</v>
      </c>
      <c r="G6293" s="7" t="inlineStr">
        <is>
          <t>I gave this recipe 5 stars, my husband gave it 4 stars, my MIL gave it 5 stars.  My husband didn't like the cinnamon flavor.  I used prunes for the currants, the chicken came out moist.  Thanks Martha</t>
        </is>
      </c>
    </row>
    <row r="6294">
      <c r="A6294" s="7" t="n">
        <v>78797</v>
      </c>
      <c r="B6294" s="7" t="n">
        <v>1091265</v>
      </c>
      <c r="C6294" s="7" t="n">
        <v>56061</v>
      </c>
      <c r="D6294" s="7" t="n">
        <v>51694</v>
      </c>
      <c r="E6294" s="8" t="n">
        <v>37881</v>
      </c>
      <c r="F6294" s="7" t="n">
        <v>5</v>
      </c>
      <c r="G6294" s="7" t="inlineStr">
        <is>
          <t>This is a great bread.  I love that there is apricot flavor throughout and the pieces of dried apricot in addition.  The texture is a bit heavier than other quick breads, but really perfect.  It's not as sweet as one might think it would be, everybody in my family liked it very much.  I did substitute melted butter for the oil because I had a bit left on hand that needed to be used.  Worked great.  Thanks for posting this!</t>
        </is>
      </c>
    </row>
    <row r="6295">
      <c r="A6295" s="7" t="n">
        <v>20908</v>
      </c>
      <c r="B6295" s="7" t="n">
        <v>247167</v>
      </c>
      <c r="C6295" s="7" t="n">
        <v>363962</v>
      </c>
      <c r="D6295" s="7" t="n">
        <v>183867</v>
      </c>
      <c r="E6295" s="8" t="n">
        <v>39590</v>
      </c>
      <c r="F6295" s="7" t="n">
        <v>5</v>
      </c>
      <c r="G6295" s="7" t="inlineStr">
        <is>
          <t>Awesome poultry seasoning!!! I originally got this recipe from copycat and thought i would check to see if it had been posted here so i could review, the only difference is i noticed you add an extra 1/4 tsp. of onion powder, i sprinkled this all over some boneless, skinless chicken breast, and then grill, this is really good, my 2 picky sons love this, so now i always keep a container of this handy. Not only is this good but it is so easy to use for a quick, flavorfull meal.</t>
        </is>
      </c>
    </row>
    <row r="6296" ht="409.5" customHeight="1">
      <c r="A6296" s="7" t="n">
        <v>111811</v>
      </c>
      <c r="B6296" s="7" t="n">
        <v>517994</v>
      </c>
      <c r="C6296" s="7" t="n">
        <v>59064</v>
      </c>
      <c r="D6296" s="7" t="n">
        <v>47259</v>
      </c>
      <c r="E6296" s="8" t="n">
        <v>38025</v>
      </c>
      <c r="F6296" s="7" t="n">
        <v>5</v>
      </c>
      <c r="G6296" s="9" t="inlineStr">
        <is>
          <t>I scaled this recipe down to make 2 cups of ricotta. The amount actually made tallied with the amount predicted :-)_x000D_
I used a thick Greek yoghurt and the cream I used actually was a UHT thick cream but this made no significant difference once the milk was actually boiling._x000D_
Tastes good too!</t>
        </is>
      </c>
    </row>
    <row r="6297">
      <c r="A6297" s="7" t="n">
        <v>15165</v>
      </c>
      <c r="B6297" s="7" t="n">
        <v>833321</v>
      </c>
      <c r="C6297" s="7" t="n">
        <v>1365025</v>
      </c>
      <c r="D6297" s="7" t="n">
        <v>104934</v>
      </c>
      <c r="E6297" s="8" t="n">
        <v>40104</v>
      </c>
      <c r="F6297" s="7" t="n">
        <v>5</v>
      </c>
      <c r="G6297" s="7" t="inlineStr">
        <is>
          <t>I have this same cook book. I love these they are easy to make and the taste is divine. This was one of the best little cookbooks out there. I've just about made every recipe in there and loved them all.</t>
        </is>
      </c>
    </row>
    <row r="6298">
      <c r="A6298" s="7" t="n">
        <v>52397</v>
      </c>
      <c r="B6298" s="7" t="n">
        <v>814527</v>
      </c>
      <c r="C6298" s="7" t="n">
        <v>562485</v>
      </c>
      <c r="D6298" s="7" t="n">
        <v>136265</v>
      </c>
      <c r="E6298" s="8" t="n">
        <v>39515</v>
      </c>
      <c r="F6298" s="7" t="n">
        <v>4</v>
      </c>
      <c r="G6298" s="7" t="inlineStr">
        <is>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is>
      </c>
    </row>
    <row r="6299">
      <c r="A6299" s="7" t="n">
        <v>32452</v>
      </c>
      <c r="B6299" s="7" t="n">
        <v>255250</v>
      </c>
      <c r="C6299" s="7" t="n">
        <v>448426</v>
      </c>
      <c r="D6299" s="7" t="n">
        <v>55796</v>
      </c>
      <c r="E6299" s="8" t="n">
        <v>41700</v>
      </c>
      <c r="F6299" s="7" t="n">
        <v>2</v>
      </c>
      <c r="G6299" s="7" t="inlineStr">
        <is>
          <t>I officially removed this recipe from my recipe book this week.  I really like the ingredients so I keep trying to &amp;#039;fix&amp;#039; it, but there are other better recipes out there.  The biggest problem is too much liquid and not enough beans.  The liquid or broth is not really high on flavor either.  If not for the cheese on top at the end, it really would not be enjoyable.  When my son, a big soup lover, asked me not to make this one anymore, I threw in the towel.  Sorry.</t>
        </is>
      </c>
    </row>
    <row r="6300">
      <c r="A6300" s="7" t="n">
        <v>101634</v>
      </c>
      <c r="B6300" s="7" t="n">
        <v>193624</v>
      </c>
      <c r="C6300" s="7" t="n">
        <v>90086</v>
      </c>
      <c r="D6300" s="7" t="n">
        <v>66658</v>
      </c>
      <c r="E6300" s="8" t="n">
        <v>39754</v>
      </c>
      <c r="F6300" s="7" t="n">
        <v>5</v>
      </c>
      <c r="G6300" s="7" t="inlineStr">
        <is>
          <t>I followed the directions exactly, and the pork came out great! Not salty at all, but I used course sea salt rather than fine sea salt, which the store had both of.. my house smelled GREAT for the 5 hours and I will definitely make this again.</t>
        </is>
      </c>
    </row>
    <row r="6301">
      <c r="A6301" s="7" t="n">
        <v>108048</v>
      </c>
      <c r="B6301" s="7" t="n">
        <v>101478</v>
      </c>
      <c r="C6301" s="7" t="n">
        <v>462637</v>
      </c>
      <c r="D6301" s="7" t="n">
        <v>193909</v>
      </c>
      <c r="E6301" s="8" t="n">
        <v>39152</v>
      </c>
      <c r="F6301" s="7" t="n">
        <v>5</v>
      </c>
      <c r="G6301" s="7" t="inlineStr">
        <is>
          <t>I tried this today and it was delicious! I added about 1/2 tsp of garlic powder and a bit of sea salt after they were done. I also included asparagus along with the brocolli.</t>
        </is>
      </c>
    </row>
    <row r="6302">
      <c r="A6302" s="7" t="n">
        <v>111699</v>
      </c>
      <c r="B6302" s="7" t="n">
        <v>560858</v>
      </c>
      <c r="C6302" s="7" t="n">
        <v>174096</v>
      </c>
      <c r="D6302" s="7" t="n">
        <v>429949</v>
      </c>
      <c r="E6302" s="8" t="n">
        <v>40352</v>
      </c>
      <c r="F6302" s="7" t="n">
        <v>5</v>
      </c>
      <c r="G6302" s="7" t="inlineStr">
        <is>
          <t>Delicious! I omitted the salt (personal preference) and made slightly smaller portions. It very much reminded me of a B&amp;B we stayed at in Wales, where they did most of it on the grill to make it lighter. I used Recipe #407334 for the baked beans. Thanks for sharing! ZWT6</t>
        </is>
      </c>
    </row>
    <row r="6303">
      <c r="A6303" s="7" t="n">
        <v>59344</v>
      </c>
      <c r="B6303" s="7" t="n">
        <v>309611</v>
      </c>
      <c r="C6303" s="7" t="n">
        <v>172083</v>
      </c>
      <c r="D6303" s="7" t="n">
        <v>52945</v>
      </c>
      <c r="E6303" s="8" t="n">
        <v>39057</v>
      </c>
      <c r="F6303" s="7" t="n">
        <v>5</v>
      </c>
      <c r="G6303" s="7" t="inlineStr">
        <is>
          <t>Made this when we had an out of town guest, and everyone loved it.  Followed as written except used a mozzarella/provolone mix.  Simple to make and delicious!</t>
        </is>
      </c>
    </row>
    <row r="6304">
      <c r="A6304" s="7" t="n">
        <v>49335</v>
      </c>
      <c r="B6304" s="7" t="n">
        <v>95405</v>
      </c>
      <c r="C6304" s="7" t="n">
        <v>119956</v>
      </c>
      <c r="D6304" s="7" t="n">
        <v>85452</v>
      </c>
      <c r="E6304" s="8" t="n">
        <v>38896</v>
      </c>
      <c r="F6304" s="7" t="n">
        <v>5</v>
      </c>
      <c r="G6304" s="7" t="inlineStr">
        <is>
          <t xml:space="preserve">Ditto what other reviewers said. Cut down the liquid. Good for leftovers, I will make this again. Five hours on low was good in my crock. </t>
        </is>
      </c>
    </row>
    <row r="6305">
      <c r="A6305" s="7" t="n">
        <v>55572</v>
      </c>
      <c r="B6305" s="7" t="n">
        <v>1115274</v>
      </c>
      <c r="C6305" s="7" t="n">
        <v>598657</v>
      </c>
      <c r="D6305" s="7" t="n">
        <v>246264</v>
      </c>
      <c r="E6305" s="8" t="n">
        <v>39367</v>
      </c>
      <c r="F6305" s="7" t="n">
        <v>3</v>
      </c>
      <c r="G6305" s="7" t="inlineStr">
        <is>
          <t>Sweetness was right, but it took longer to cook and was a little runny from the frozen mixed berries. I guess I was looking for something more rich tasting. Good for a quick dessert though.</t>
        </is>
      </c>
    </row>
    <row r="6306">
      <c r="A6306" s="7" t="n">
        <v>13796</v>
      </c>
      <c r="B6306" s="7" t="n">
        <v>431825</v>
      </c>
      <c r="C6306" s="7" t="n">
        <v>222478</v>
      </c>
      <c r="D6306" s="7" t="n">
        <v>483425</v>
      </c>
      <c r="E6306" s="8" t="n">
        <v>41664</v>
      </c>
      <c r="F6306" s="7" t="n">
        <v>5</v>
      </c>
      <c r="G6306" s="7" t="inlineStr">
        <is>
          <t>Outstanding and a beautiful combination of flavours! I started cooking at 250C although my oven throws out quite a bit of heat from the top so after 15 minutes reduced to 200C and they came out perfectly.</t>
        </is>
      </c>
    </row>
    <row r="6307">
      <c r="A6307" s="7" t="n">
        <v>35694</v>
      </c>
      <c r="B6307" s="7" t="n">
        <v>387773</v>
      </c>
      <c r="C6307" s="7" t="n">
        <v>191533</v>
      </c>
      <c r="D6307" s="7" t="n">
        <v>25431</v>
      </c>
      <c r="E6307" s="8" t="n">
        <v>38966</v>
      </c>
      <c r="F6307" s="7" t="n">
        <v>5</v>
      </c>
      <c r="G6307" s="7" t="inlineStr">
        <is>
          <t>Super easy, quick cookie! I did double the recipe- it's really not worth the bother to make 18 cookies because they'll be gone so quickly!! I used cashew butter, and brown rice crispies instead of corn flakes. Then I rolled them in more coconut. Delicious!!</t>
        </is>
      </c>
    </row>
    <row r="6308">
      <c r="A6308" s="7" t="n">
        <v>80028</v>
      </c>
      <c r="B6308" s="7" t="n">
        <v>49230</v>
      </c>
      <c r="C6308" s="7" t="n">
        <v>40533</v>
      </c>
      <c r="D6308" s="7" t="n">
        <v>19453</v>
      </c>
      <c r="E6308" s="8" t="n">
        <v>38898</v>
      </c>
      <c r="F6308" s="7" t="n">
        <v>5</v>
      </c>
      <c r="G6308" s="7" t="inlineStr">
        <is>
          <t>Simply fabulous. I'd never made summer sausage before but simply followed the directions and it came out wonderfully. I used fresh garlic instead of garlic juice but that was the only change. Next time I'll add more spice as I like things very hot. Other than that I would not change a thing, thanks for the recipe.</t>
        </is>
      </c>
    </row>
    <row r="6309">
      <c r="A6309" s="7" t="n">
        <v>126553</v>
      </c>
      <c r="B6309" s="7" t="n">
        <v>910067</v>
      </c>
      <c r="C6309" s="7" t="n">
        <v>37449</v>
      </c>
      <c r="D6309" s="7" t="n">
        <v>256185</v>
      </c>
      <c r="E6309" s="8" t="n">
        <v>39575</v>
      </c>
      <c r="F6309" s="7" t="n">
        <v>5</v>
      </c>
      <c r="G6309" s="7" t="inlineStr">
        <is>
          <t>I loved the asparagus with the lemon zest! I served this with broiled perch and crockpot potatoes for dinner. My DH and I both enjoyed it very much! Thank you 2Bleu! Made for PRMR game.</t>
        </is>
      </c>
    </row>
    <row r="6310">
      <c r="A6310" s="7" t="n">
        <v>72899</v>
      </c>
      <c r="B6310" s="7" t="n">
        <v>545271</v>
      </c>
      <c r="C6310" s="7" t="n">
        <v>60031</v>
      </c>
      <c r="D6310" s="7" t="n">
        <v>106670</v>
      </c>
      <c r="E6310" s="8" t="n">
        <v>40449</v>
      </c>
      <c r="F6310" s="7" t="n">
        <v>5</v>
      </c>
      <c r="G6310" s="7" t="inlineStr">
        <is>
          <t>Threw these together with some Cinnamon Death cinnamon and a splash of vanilla.  Fluffy, light, easy to make and wonderful.  Thanks QueenBof6 :)</t>
        </is>
      </c>
    </row>
    <row r="6311" ht="315" customHeight="1">
      <c r="A6311" s="7" t="n">
        <v>115552</v>
      </c>
      <c r="B6311" s="7" t="n">
        <v>662123</v>
      </c>
      <c r="C6311" s="7" t="n">
        <v>962690</v>
      </c>
      <c r="D6311" s="7" t="n">
        <v>114908</v>
      </c>
      <c r="E6311" s="8" t="n">
        <v>39761</v>
      </c>
      <c r="F6311" s="7" t="n">
        <v>5</v>
      </c>
      <c r="G6311" s="9" t="inlineStr">
        <is>
          <t>I had to use jalepenos and used celery since I had no zucchini but this is a KEEPER._x000D_
Very tasty soup._x000D_
I did this recipe for Zaar Iron chef challenge</t>
        </is>
      </c>
    </row>
    <row r="6312">
      <c r="A6312" s="7" t="n">
        <v>18905</v>
      </c>
      <c r="B6312" s="7" t="n">
        <v>94274</v>
      </c>
      <c r="C6312" s="7" t="n">
        <v>614194</v>
      </c>
      <c r="D6312" s="7" t="n">
        <v>28758</v>
      </c>
      <c r="E6312" s="8" t="n">
        <v>39452</v>
      </c>
      <c r="F6312" s="7" t="n">
        <v>5</v>
      </c>
      <c r="G6312" s="7" t="inlineStr">
        <is>
          <t>Fantastic!! My family put me in charge of pie making for holidays after using this recipe!! :)</t>
        </is>
      </c>
    </row>
    <row r="6313">
      <c r="A6313" s="7" t="n">
        <v>16127</v>
      </c>
      <c r="B6313" s="7" t="n">
        <v>635728</v>
      </c>
      <c r="C6313" s="7" t="n">
        <v>578055</v>
      </c>
      <c r="D6313" s="7" t="n">
        <v>56634</v>
      </c>
      <c r="E6313" s="8" t="n">
        <v>39595</v>
      </c>
      <c r="F6313" s="7" t="n">
        <v>5</v>
      </c>
      <c r="G6313" s="7" t="inlineStr">
        <is>
          <t>I make this granola all the time now and eat it for my breakfast or on plain granola and ice cream. I use pumpkin seeds, shredded coconut, almonds, dried cranberries, raisons and flax seeds. It is so low fat and very good for you. Not too sweet.</t>
        </is>
      </c>
    </row>
    <row r="6314">
      <c r="A6314" s="7" t="n">
        <v>117057</v>
      </c>
      <c r="B6314" s="7" t="n">
        <v>859317</v>
      </c>
      <c r="C6314" s="7" t="n">
        <v>12312</v>
      </c>
      <c r="D6314" s="7" t="n">
        <v>36709</v>
      </c>
      <c r="E6314" s="8" t="n">
        <v>38017</v>
      </c>
      <c r="F6314" s="7" t="n">
        <v>5</v>
      </c>
      <c r="G6314" s="7" t="inlineStr">
        <is>
          <t xml:space="preserve">This was really yummy! I used 1/4 cup butter as 1/2 seemed a little much and it didn't seem to make any difference - the sauce still thickened up just fine.  I forgot to butter the casserole dish and that didn't matter either - it didn't stick.  I did not have parmesan and sprinkled shredded romano on top which made a nice golden top. And, I didn't have any lemon, paprika or nutmeg so just omitted it. I also was out of milk and mixed up a cup of buttermilk powder and water to substitute. I also added a 10 oz package of frozen broccoli to force some veggies into the kids!  </t>
        </is>
      </c>
    </row>
    <row r="6315">
      <c r="A6315" s="7" t="n">
        <v>83189</v>
      </c>
      <c r="B6315" s="7" t="n">
        <v>732103</v>
      </c>
      <c r="C6315" s="7" t="n">
        <v>53932</v>
      </c>
      <c r="D6315" s="7" t="n">
        <v>265442</v>
      </c>
      <c r="E6315" s="8" t="n">
        <v>39402</v>
      </c>
      <c r="F6315" s="7" t="n">
        <v>4</v>
      </c>
      <c r="G6315" s="7" t="inlineStr">
        <is>
          <t>This is a perfect quick lunch.  Very tasty and so easy.</t>
        </is>
      </c>
    </row>
    <row r="6316">
      <c r="A6316" t="n">
        <v>118391</v>
      </c>
      <c r="B6316" t="n">
        <v>422353</v>
      </c>
      <c r="C6316" t="n">
        <v>68460</v>
      </c>
      <c r="D6316" t="n">
        <v>52050</v>
      </c>
      <c r="E6316" s="1" t="n">
        <v>39030</v>
      </c>
      <c r="F6316" t="n">
        <v>4</v>
      </c>
      <c r="G6316" t="inlineStr">
        <is>
          <t>This was really good and my husband and I enjoyed it.  I added the garlic and ginger to the onions in the first step as that's how I'd usually proceed with an Asian recipe, and I cut down the oil to one teaspoon and used peanut oil.  I made the rest of the recipe as written and, next time, I think I would just add one egg to the soup since we thought that two were too much....we like to see a little broth around the egg!  Also, I used white pepper because that's what we like in Asian soups.  Very good soup, great idea with the pot stickers in there!!  Thanks for posting Claire!</t>
        </is>
      </c>
    </row>
    <row r="6317">
      <c r="A6317" s="7" t="n">
        <v>121494</v>
      </c>
      <c r="B6317" s="7" t="n">
        <v>743829</v>
      </c>
      <c r="C6317" s="7" t="n">
        <v>2000481915</v>
      </c>
      <c r="D6317" s="7" t="n">
        <v>38715</v>
      </c>
      <c r="E6317" s="8" t="n">
        <v>42265</v>
      </c>
      <c r="F6317" s="7" t="n">
        <v>5</v>
      </c>
      <c r="G6317" s="7" t="inlineStr">
        <is>
          <t>Fantastic, so glad I tried it. I used a 3 lb butt, and for my BBQ sauce I choose Sweet Baby Ray&amp;#039;s- sweet&amp;amp;spicy. Made enough for 6-7 sandwiches. Saving some leftovers to try on a pizza.</t>
        </is>
      </c>
    </row>
    <row r="6318">
      <c r="A6318" s="7" t="n">
        <v>53759</v>
      </c>
      <c r="B6318" s="7" t="n">
        <v>257682</v>
      </c>
      <c r="C6318" s="7" t="n">
        <v>919195</v>
      </c>
      <c r="D6318" s="7" t="n">
        <v>350436</v>
      </c>
      <c r="E6318" s="8" t="n">
        <v>39859</v>
      </c>
      <c r="F6318" s="7" t="n">
        <v>4</v>
      </c>
      <c r="G6318" s="7" t="inlineStr">
        <is>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is>
      </c>
    </row>
    <row r="6319">
      <c r="A6319" s="7" t="n">
        <v>9891</v>
      </c>
      <c r="B6319" s="7" t="n">
        <v>5201</v>
      </c>
      <c r="C6319" s="7" t="n">
        <v>197023</v>
      </c>
      <c r="D6319" s="7" t="n">
        <v>273976</v>
      </c>
      <c r="E6319" s="8" t="n">
        <v>39654</v>
      </c>
      <c r="F6319" s="7" t="n">
        <v>5</v>
      </c>
      <c r="G6319" s="7" t="inlineStr">
        <is>
          <t>SO glad to have found this wonderfully simple recipe for such a superbly flavoursome tomato sauce.  I never use the chemical-laden commercial sauces, and this so-easy-to-make recipe is so much tastier than just using a can of tomatoes.  I chopped my onion as I decided in advance to leave it in the sauce and, like MC Baker, and for the same reasons, I added garlic - 3 cloves chopped - in step two, and basil towards the end of step two.  I also added a cup of wine, as the tomatoes I use don't have a lot of liquid which is great: it leaves room for some wine!  Made for New Zaar Stars Tag.  Thank you MarraMamba for a recipe I know that I'll be using again and again.  On this occasion we used it with meatloaf.</t>
        </is>
      </c>
    </row>
    <row r="6320">
      <c r="A6320" s="7" t="n">
        <v>119082</v>
      </c>
      <c r="B6320" s="7" t="n">
        <v>554645</v>
      </c>
      <c r="C6320" s="7" t="n">
        <v>223169</v>
      </c>
      <c r="D6320" s="7" t="n">
        <v>119464</v>
      </c>
      <c r="E6320" s="8" t="n">
        <v>38589</v>
      </c>
      <c r="F6320" s="7" t="n">
        <v>5</v>
      </c>
      <c r="G6320" s="7" t="inlineStr">
        <is>
          <t>Excellent Pasta Recipe, very easy to make and so delicious. Orecchiette are one of my favorite pasta. The green peas with their sweetness complete so well the more nutty taste of the garbanzo beans. The mint add just the right freshness to it and the bacon gives it a tasty salty flavor. At last the olive oil and the parmesan complete this dish with a wonderful Italian like touch. Should not be missed in your cookbook, too. Enjoy it!</t>
        </is>
      </c>
    </row>
    <row r="6321">
      <c r="A6321" s="7" t="n">
        <v>8985</v>
      </c>
      <c r="B6321" s="7" t="n">
        <v>892281</v>
      </c>
      <c r="C6321" s="7" t="n">
        <v>407338</v>
      </c>
      <c r="D6321" s="7" t="n">
        <v>269587</v>
      </c>
      <c r="E6321" s="8" t="n">
        <v>39849</v>
      </c>
      <c r="F6321" s="7" t="n">
        <v>5</v>
      </c>
      <c r="G6321" s="7" t="inlineStr">
        <is>
          <t>Great flavor!  The flavor reminds you of a tropical drink!  Good colada to sip and relax for break time.  Prepared as a participant in the Aus/NZ Swap #25.</t>
        </is>
      </c>
    </row>
    <row r="6322">
      <c r="A6322" s="7" t="n">
        <v>46009</v>
      </c>
      <c r="B6322" s="7" t="n">
        <v>895876</v>
      </c>
      <c r="C6322" s="7" t="n">
        <v>231881</v>
      </c>
      <c r="D6322" s="7" t="n">
        <v>57539</v>
      </c>
      <c r="E6322" s="8" t="n">
        <v>38560</v>
      </c>
      <c r="F6322" s="7" t="n">
        <v>5</v>
      </c>
      <c r="G6322" s="7" t="inlineStr">
        <is>
          <t>Your very right Pedro, I have had these over a few beers too. Better then salted nuts... Perfect combination of heat and base combined with the beer is a sensation for the mouth!</t>
        </is>
      </c>
    </row>
    <row r="6323">
      <c r="A6323" s="7" t="n">
        <v>69546</v>
      </c>
      <c r="B6323" s="7" t="n">
        <v>300144</v>
      </c>
      <c r="C6323" s="7" t="n">
        <v>439797</v>
      </c>
      <c r="D6323" s="7" t="n">
        <v>97085</v>
      </c>
      <c r="E6323" s="8" t="n">
        <v>40509</v>
      </c>
      <c r="F6323" s="7" t="n">
        <v>5</v>
      </c>
      <c r="G6323" s="7" t="inlineStr">
        <is>
          <t>Made 1 cup and it was delicious.  So delicious that I'm about to make a second batch, this time to serve with chips!</t>
        </is>
      </c>
    </row>
    <row r="6324">
      <c r="A6324" s="7" t="n">
        <v>75879</v>
      </c>
      <c r="B6324" s="7" t="n">
        <v>241764</v>
      </c>
      <c r="C6324" s="7" t="n">
        <v>103628</v>
      </c>
      <c r="D6324" s="7" t="n">
        <v>28559</v>
      </c>
      <c r="E6324" s="8" t="n">
        <v>37895</v>
      </c>
      <c r="F6324" s="7" t="n">
        <v>5</v>
      </c>
      <c r="G6324" s="7" t="inlineStr">
        <is>
          <t xml:space="preserve">Very good!  I had plenty of sauce leftover from the world famous sauce...I used ricotta instead of cottage cheese (husband's request) and more of the spices than called for in the ricotta.  Smelled wonderful while cooking and tasted great!  </t>
        </is>
      </c>
    </row>
    <row r="6325">
      <c r="A6325" t="n">
        <v>110861</v>
      </c>
      <c r="B6325" t="n">
        <v>741759</v>
      </c>
      <c r="C6325" t="n">
        <v>27643</v>
      </c>
      <c r="D6325" t="n">
        <v>41866</v>
      </c>
      <c r="E6325" s="1" t="n">
        <v>37533</v>
      </c>
      <c r="F6325" t="n">
        <v>5</v>
      </c>
      <c r="G6325" t="inlineStr">
        <is>
          <t xml:space="preserve">Yum! These are so, so good! Sort of like a creamy, chewy brownie. I sprinkled chopped pecans on top. This is very easy to make and we really loved them! I will definitely make this again. Thanks Karen!! </t>
        </is>
      </c>
    </row>
    <row r="6326">
      <c r="A6326" s="7" t="n">
        <v>8251</v>
      </c>
      <c r="B6326" s="7" t="n">
        <v>833706</v>
      </c>
      <c r="C6326" s="7" t="n">
        <v>912415</v>
      </c>
      <c r="D6326" s="7" t="n">
        <v>140174</v>
      </c>
      <c r="E6326" s="8" t="n">
        <v>41276</v>
      </c>
      <c r="F6326" s="7" t="n">
        <v>5</v>
      </c>
      <c r="G6326" s="7" t="inlineStr">
        <is>
          <t>This has been a family favorite for years! To make it easier i just chop up 2-3 bellpeppers and make it a casserole. If i have leftover sheedded cheese in the fridge i throw that in too!</t>
        </is>
      </c>
    </row>
    <row r="6327">
      <c r="A6327" s="7" t="n">
        <v>81579</v>
      </c>
      <c r="B6327" s="7" t="n">
        <v>657485</v>
      </c>
      <c r="C6327" s="7" t="n">
        <v>766961</v>
      </c>
      <c r="D6327" s="7" t="n">
        <v>27208</v>
      </c>
      <c r="E6327" s="8" t="n">
        <v>41885</v>
      </c>
      <c r="F6327" s="7" t="n">
        <v>5</v>
      </c>
      <c r="G6327" s="7" t="inlineStr">
        <is>
          <t>I&amp;#039;ve made this many, many times. So fast and easy. Literally does take  mins to throw together.</t>
        </is>
      </c>
    </row>
    <row r="6328">
      <c r="A6328" s="7" t="n">
        <v>70634</v>
      </c>
      <c r="B6328" s="7" t="n">
        <v>1096346</v>
      </c>
      <c r="C6328" s="7" t="n">
        <v>1666529</v>
      </c>
      <c r="D6328" s="7" t="n">
        <v>406619</v>
      </c>
      <c r="E6328" s="8" t="n">
        <v>40407</v>
      </c>
      <c r="F6328" s="7" t="n">
        <v>5</v>
      </c>
      <c r="G6328" s="7" t="inlineStr">
        <is>
          <t>Not too sweet with a spongy texture. It almost seemed like a foam cake, which was rather nice. Delicate flavor and definitely delicious!</t>
        </is>
      </c>
    </row>
    <row r="6329">
      <c r="A6329" s="7" t="n">
        <v>10569</v>
      </c>
      <c r="B6329" s="7" t="n">
        <v>52631</v>
      </c>
      <c r="C6329" s="7" t="n">
        <v>138583</v>
      </c>
      <c r="D6329" s="7" t="n">
        <v>247934</v>
      </c>
      <c r="E6329" s="8" t="n">
        <v>40402</v>
      </c>
      <c r="F6329" s="7" t="n">
        <v>5</v>
      </c>
      <c r="G6329" s="7" t="inlineStr">
        <is>
          <t>Thanks for the WONDERFUL recipe!! I doubled the recipe and used cottage cheese in place of the ricotta and onion powder in place of the rosemary and they were definitely a crowd pleaser! They will be made again and again in this house for sure. (-:</t>
        </is>
      </c>
    </row>
    <row r="6330" ht="409.5" customHeight="1">
      <c r="A6330" s="7" t="n">
        <v>84802</v>
      </c>
      <c r="B6330" s="7" t="n">
        <v>494897</v>
      </c>
      <c r="C6330" s="7" t="n">
        <v>287183</v>
      </c>
      <c r="D6330" s="7" t="n">
        <v>140868</v>
      </c>
      <c r="E6330" s="8" t="n">
        <v>38753</v>
      </c>
      <c r="F6330" s="7" t="n">
        <v>5</v>
      </c>
      <c r="G6330" s="9" t="inlineStr">
        <is>
          <t>I just made this and it was  amazing! While trying to eat healthy, I'm also trying to eat a wide variety of interesting foods that are also good for me. This perfectly fit the bill! _x000D_
_x000D_
I added a few leftover mushrooms, the tomatos, and some asparugus, along with the entire cup of can chickpeas. The only negitive comment has to do with my adding too much hot pepper, so it is a bit spicy! Next time I'll go with a smaller green pepper.</t>
        </is>
      </c>
    </row>
    <row r="6331">
      <c r="A6331" s="7" t="n">
        <v>87808</v>
      </c>
      <c r="B6331" s="7" t="n">
        <v>349107</v>
      </c>
      <c r="C6331" s="7" t="n">
        <v>2001183025</v>
      </c>
      <c r="D6331" s="7" t="n">
        <v>50719</v>
      </c>
      <c r="E6331" s="8" t="n">
        <v>42638</v>
      </c>
      <c r="F6331" s="7" t="n">
        <v>4</v>
      </c>
      <c r="G6331" s="7" t="inlineStr">
        <is>
          <t>super easy to make! And they taste soooo delicious!</t>
        </is>
      </c>
    </row>
    <row r="6332">
      <c r="A6332" s="7" t="n">
        <v>117278</v>
      </c>
      <c r="B6332" s="7" t="n">
        <v>562229</v>
      </c>
      <c r="C6332" s="7" t="n">
        <v>223854</v>
      </c>
      <c r="D6332" s="7" t="n">
        <v>241009</v>
      </c>
      <c r="E6332" s="8" t="n">
        <v>39345</v>
      </c>
      <c r="F6332" s="7" t="n">
        <v>5</v>
      </c>
      <c r="G6332" s="7" t="inlineStr">
        <is>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is>
      </c>
    </row>
    <row r="6333">
      <c r="A6333" s="7" t="n">
        <v>23487</v>
      </c>
      <c r="B6333" s="7" t="n">
        <v>1054785</v>
      </c>
      <c r="C6333" s="7" t="n">
        <v>1553575</v>
      </c>
      <c r="D6333" s="7" t="n">
        <v>461033</v>
      </c>
      <c r="E6333" s="8" t="n">
        <v>40924</v>
      </c>
      <c r="F6333" s="7" t="n">
        <v>5</v>
      </c>
      <c r="G6333" s="7" t="inlineStr">
        <is>
          <t>When it comes to Cajun, "dere aint nobody better'n Justin; I garontee!!  This takes me back to summers on "de bayou" going crabbing with friends. Absolutely perfect!!!! I used Tabasco sauce rather than the Louisiana hot sauce- personal preference. Pretty sure if the family could have found a way to lick the pot, they would have.</t>
        </is>
      </c>
    </row>
    <row r="6334">
      <c r="A6334" s="7" t="n">
        <v>37730</v>
      </c>
      <c r="B6334" s="7" t="n">
        <v>834824</v>
      </c>
      <c r="C6334" s="7" t="n">
        <v>444967</v>
      </c>
      <c r="D6334" s="7" t="n">
        <v>32973</v>
      </c>
      <c r="E6334" s="8" t="n">
        <v>39383</v>
      </c>
      <c r="F6334" s="7" t="n">
        <v>5</v>
      </c>
      <c r="G6334" s="7" t="inlineStr">
        <is>
          <t>This is great comfort food and SO EASY!  I think I added a little red wine for part of the water and I believe I also added a little dried thyme.  It was very, very delicious!</t>
        </is>
      </c>
    </row>
    <row r="6335">
      <c r="A6335" s="7" t="n">
        <v>30998</v>
      </c>
      <c r="B6335" s="7" t="n">
        <v>151441</v>
      </c>
      <c r="C6335" s="7" t="n">
        <v>766961</v>
      </c>
      <c r="D6335" s="7" t="n">
        <v>23705</v>
      </c>
      <c r="E6335" s="8" t="n">
        <v>40438</v>
      </c>
      <c r="F6335" s="7" t="n">
        <v>5</v>
      </c>
      <c r="G6335" s="7" t="inlineStr">
        <is>
          <t>Talk about easy?  Wow, so simple.  I didn't hve cilatro, so I crushed a few whole coriander seeds and topped with a little white cheese blend. Served with baked chimichungas.  YUM!</t>
        </is>
      </c>
    </row>
    <row r="6336">
      <c r="A6336" s="7" t="n">
        <v>83730</v>
      </c>
      <c r="B6336" s="7" t="n">
        <v>1011977</v>
      </c>
      <c r="C6336" s="7" t="n">
        <v>286566</v>
      </c>
      <c r="D6336" s="7" t="n">
        <v>135753</v>
      </c>
      <c r="E6336" s="8" t="n">
        <v>39198</v>
      </c>
      <c r="F6336" s="7" t="n">
        <v>5</v>
      </c>
      <c r="G6336" s="7" t="inlineStr">
        <is>
          <t>This has just been devoured and we are all still smacking our licks, delicious.  I cut a 1.4k chicken into the marylands and cut the breast in half, marinated for 3.5 hours and transferred pieces to a casserole dish and baked as per instructions, it was cooked perfectly and so moist.  I did only use 1/2 tablespoon of sesame oil which worked well for us.  Next time I shall consider doubling the marinade and putting it into a small pot and heat and reduce to a thick sauce to put over the rice.  Served with steamed rice and stir fry vegetables.  Thank you kiwidutch for another keeper.  Made for make my recipe game.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Cersei</dc:creator>
  <dcterms:created xsi:type="dcterms:W3CDTF">2024-05-19T22:45:22Z</dcterms:created>
  <dcterms:modified xsi:type="dcterms:W3CDTF">2024-06-02T09:53:15Z</dcterms:modified>
  <cp:lastModifiedBy>Cersei</cp:lastModifiedBy>
</cp:coreProperties>
</file>