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 activeTab="2"/>
  </bookViews>
  <sheets>
    <sheet name="持有" sheetId="1" r:id="rId1"/>
    <sheet name="已平仓" sheetId="3" r:id="rId2"/>
    <sheet name="总盈亏" sheetId="2" r:id="rId3"/>
    <sheet name="资金变动" sheetId="4" r:id="rId4"/>
  </sheets>
  <definedNames>
    <definedName name="_xlnm._FilterDatabase" localSheetId="0" hidden="1">持有!$A$1:$J$82</definedName>
  </definedNames>
  <calcPr calcId="144525"/>
</workbook>
</file>

<file path=xl/sharedStrings.xml><?xml version="1.0" encoding="utf-8"?>
<sst xmlns="http://schemas.openxmlformats.org/spreadsheetml/2006/main" count="293" uniqueCount="135">
  <si>
    <t>日期</t>
  </si>
  <si>
    <t>期权合约代码</t>
  </si>
  <si>
    <t>负责人</t>
  </si>
  <si>
    <t>手数</t>
  </si>
  <si>
    <t>平均开仓期权价</t>
  </si>
  <si>
    <t>期权收盘价（当日15:00)</t>
  </si>
  <si>
    <t>交易单位</t>
  </si>
  <si>
    <t>手续费（买入）</t>
  </si>
  <si>
    <t>净浮动盈亏</t>
  </si>
  <si>
    <t>浮动盈亏（包含手续费）</t>
  </si>
  <si>
    <t>ag2508C9100</t>
  </si>
  <si>
    <t>程</t>
  </si>
  <si>
    <t>ag2508C9300</t>
  </si>
  <si>
    <t>ag2508P7800</t>
  </si>
  <si>
    <t>ag2508P8100</t>
  </si>
  <si>
    <t>ao2509P2750</t>
  </si>
  <si>
    <t>ao2509P2800</t>
  </si>
  <si>
    <t>CF509P12400</t>
  </si>
  <si>
    <t>梁</t>
  </si>
  <si>
    <t>CF509P12800</t>
  </si>
  <si>
    <t>CJ509P8900</t>
  </si>
  <si>
    <t>CJ509P9000</t>
  </si>
  <si>
    <t>CJ509P9100</t>
  </si>
  <si>
    <t>eb2508-C-7600</t>
  </si>
  <si>
    <t>叶</t>
  </si>
  <si>
    <t>eb2508-P-7100</t>
  </si>
  <si>
    <t>eb2508-P-7200</t>
  </si>
  <si>
    <t>FG509P1000</t>
  </si>
  <si>
    <t>FG509P940</t>
  </si>
  <si>
    <t>i2509-P-640</t>
  </si>
  <si>
    <t>i2509-P-660</t>
  </si>
  <si>
    <t>i2509-P-670</t>
  </si>
  <si>
    <t>i2509-P-690</t>
  </si>
  <si>
    <t>i2509-P-700</t>
  </si>
  <si>
    <t>jd2508-C-3550</t>
  </si>
  <si>
    <t>jd2508-C-3600</t>
  </si>
  <si>
    <t>jd2508-P-3400</t>
  </si>
  <si>
    <t>jd2509-C-3900</t>
  </si>
  <si>
    <t>jd2509-P-3400</t>
  </si>
  <si>
    <t>jd2509-P-3450</t>
  </si>
  <si>
    <t>jd2509-P-3500</t>
  </si>
  <si>
    <t>jd2509-P-3550</t>
  </si>
  <si>
    <t>lc2509-P-57000</t>
  </si>
  <si>
    <t>lc2509-P-58000</t>
  </si>
  <si>
    <t>lc2509-P-60000</t>
  </si>
  <si>
    <t>陈</t>
  </si>
  <si>
    <t>lc2511</t>
  </si>
  <si>
    <t>lc2511-P-60000</t>
  </si>
  <si>
    <t>lg2509-P-750</t>
  </si>
  <si>
    <t>lg2509-P-775</t>
  </si>
  <si>
    <t>lh2509-P-13200</t>
  </si>
  <si>
    <t>lh2509-P-13400</t>
  </si>
  <si>
    <t>lh2509-P-13600</t>
  </si>
  <si>
    <t>m2509-C-3050</t>
  </si>
  <si>
    <t>m2509-C-3150</t>
  </si>
  <si>
    <t>m2509-P-2800</t>
  </si>
  <si>
    <t>m2601-P-2800</t>
  </si>
  <si>
    <t>m2601-P-2900</t>
  </si>
  <si>
    <t>MA509P2200</t>
  </si>
  <si>
    <t>MA509P2350</t>
  </si>
  <si>
    <t>OI509P8800</t>
  </si>
  <si>
    <t>pb2508P16400</t>
  </si>
  <si>
    <t>PK510C8700</t>
  </si>
  <si>
    <t>PK510C8800</t>
  </si>
  <si>
    <t>ps2509-C-40000</t>
  </si>
  <si>
    <t>ps2509-C-41000</t>
  </si>
  <si>
    <t>ps2509-C-42000</t>
  </si>
  <si>
    <t>ps2509-P-32000</t>
  </si>
  <si>
    <t>ps2509-P-35000</t>
  </si>
  <si>
    <t>ps2509-P-35500</t>
  </si>
  <si>
    <t>rb2510P2850</t>
  </si>
  <si>
    <t>rb2510P2900</t>
  </si>
  <si>
    <t>RM509P2450</t>
  </si>
  <si>
    <t>RM509P2500</t>
  </si>
  <si>
    <t>SF509P5000</t>
  </si>
  <si>
    <t>SH509C2560</t>
  </si>
  <si>
    <t>SH509P2160</t>
  </si>
  <si>
    <t>SH509P2240</t>
  </si>
  <si>
    <t>SH509P2280</t>
  </si>
  <si>
    <t>SM509P5300</t>
  </si>
  <si>
    <t>sn2508P245000</t>
  </si>
  <si>
    <t>SR509C6200</t>
  </si>
  <si>
    <t>TA509C5100</t>
  </si>
  <si>
    <t>TA509C5200</t>
  </si>
  <si>
    <t>TA509C5300</t>
  </si>
  <si>
    <t>TA509C5400</t>
  </si>
  <si>
    <t>TA509C5500</t>
  </si>
  <si>
    <t>TA509P4400</t>
  </si>
  <si>
    <t>TA509P4500</t>
  </si>
  <si>
    <t>TA509P4550</t>
  </si>
  <si>
    <t>TA509P4600</t>
  </si>
  <si>
    <t>UR509C1800</t>
  </si>
  <si>
    <t>UR509P1640</t>
  </si>
  <si>
    <t>UR509P1660</t>
  </si>
  <si>
    <t>v2509-P-4750</t>
  </si>
  <si>
    <t>今日总盈亏</t>
  </si>
  <si>
    <t>平仓日期</t>
  </si>
  <si>
    <t>期权平仓价格</t>
  </si>
  <si>
    <t>手续费</t>
  </si>
  <si>
    <t>净盈亏</t>
  </si>
  <si>
    <t>盈亏（包含手续费）</t>
  </si>
  <si>
    <t>a2509-C-4450</t>
  </si>
  <si>
    <t>TA509C5000</t>
  </si>
  <si>
    <t>jd2508-C-3800</t>
  </si>
  <si>
    <t>ao2507P2800</t>
  </si>
  <si>
    <t>ag2508P8000</t>
  </si>
  <si>
    <t>ag2508P8300</t>
  </si>
  <si>
    <t>cu2507P73000</t>
  </si>
  <si>
    <t>ni2507C128000</t>
  </si>
  <si>
    <t>sn2507P240000</t>
  </si>
  <si>
    <t>si2509-P-7100</t>
  </si>
  <si>
    <t>lc2509-C-64000</t>
  </si>
  <si>
    <t>si2509-P-7000</t>
  </si>
  <si>
    <t>si2509-P-7200</t>
  </si>
  <si>
    <t>ao2508C3100</t>
  </si>
  <si>
    <t>ao2509C3100</t>
  </si>
  <si>
    <t>FG509C1040</t>
  </si>
  <si>
    <t>ps2508-C-36000</t>
  </si>
  <si>
    <t>SH509C2440</t>
  </si>
  <si>
    <t>SH509C2480</t>
  </si>
  <si>
    <t>ps2508-C-37000</t>
  </si>
  <si>
    <t>RM509C2600</t>
  </si>
  <si>
    <t>RM509C2650</t>
  </si>
  <si>
    <t>RM509C2700</t>
  </si>
  <si>
    <t>RM509C2750</t>
  </si>
  <si>
    <t>jd2508-P-3500</t>
  </si>
  <si>
    <t>ps2508-P-33000</t>
  </si>
  <si>
    <t>ps2508-P-33500</t>
  </si>
  <si>
    <t>ps2508-P-34000</t>
  </si>
  <si>
    <t>c2509-P-2300</t>
  </si>
  <si>
    <t>ps2509-C-39000</t>
  </si>
  <si>
    <t>总盈亏</t>
  </si>
  <si>
    <t>净值</t>
  </si>
  <si>
    <t>当日出/入金</t>
  </si>
  <si>
    <t>变动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</si>
</sst>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_ "/>
    <numFmt numFmtId="179" formatCode="0.000000_ "/>
    <numFmt numFmtId="180" formatCode="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8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0" fillId="0" borderId="0" xfId="0" applyFont="1">
      <alignment vertical="center"/>
    </xf>
    <xf numFmtId="180" fontId="0" fillId="0" borderId="0" xfId="0" applyNumberFormat="1">
      <alignment vertical="center"/>
    </xf>
    <xf numFmtId="180" fontId="1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>
      <alignment vertical="center"/>
    </xf>
    <xf numFmtId="0" fontId="0" fillId="0" borderId="0" xfId="0" applyFont="1" applyFill="1" applyAlignment="1">
      <alignment vertical="center" wrapText="1"/>
    </xf>
    <xf numFmtId="180" fontId="0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5"/>
  <sheetViews>
    <sheetView workbookViewId="0">
      <pane ySplit="1" topLeftCell="A53" activePane="bottomLeft" state="frozen"/>
      <selection/>
      <selection pane="bottomLeft" activeCell="A7" sqref="A7"/>
    </sheetView>
  </sheetViews>
  <sheetFormatPr defaultColWidth="9" defaultRowHeight="13.5"/>
  <cols>
    <col min="1" max="1" width="10.125" style="8" customWidth="1"/>
    <col min="2" max="2" width="17.2666666666667" customWidth="1"/>
    <col min="3" max="3" width="7.25" customWidth="1"/>
    <col min="4" max="4" width="5.6" customWidth="1"/>
    <col min="5" max="5" width="15.2666666666667" style="14" customWidth="1"/>
    <col min="6" max="6" width="24" style="14" customWidth="1"/>
    <col min="7" max="7" width="9" customWidth="1"/>
    <col min="8" max="8" width="13.6" customWidth="1"/>
    <col min="9" max="9" width="11.4666666666667" style="14" customWidth="1"/>
    <col min="10" max="10" width="21.2666666666667" style="14" customWidth="1"/>
  </cols>
  <sheetData>
    <row r="1" s="7" customFormat="1" ht="12" customHeight="1" spans="1:10">
      <c r="A1" s="2" t="s">
        <v>0</v>
      </c>
      <c r="B1" s="7" t="s">
        <v>1</v>
      </c>
      <c r="C1" s="7" t="s">
        <v>2</v>
      </c>
      <c r="D1" s="7" t="s">
        <v>3</v>
      </c>
      <c r="E1" s="15" t="s">
        <v>4</v>
      </c>
      <c r="F1" s="15" t="s">
        <v>5</v>
      </c>
      <c r="G1" s="7" t="s">
        <v>6</v>
      </c>
      <c r="H1" s="7" t="s">
        <v>7</v>
      </c>
      <c r="I1" s="15" t="s">
        <v>8</v>
      </c>
      <c r="J1" s="15" t="s">
        <v>9</v>
      </c>
    </row>
    <row r="2" s="13" customFormat="1" spans="1:10">
      <c r="A2" s="2">
        <v>45847</v>
      </c>
      <c r="B2" s="13" t="s">
        <v>10</v>
      </c>
      <c r="C2" s="13" t="s">
        <v>11</v>
      </c>
      <c r="D2" s="13">
        <v>1</v>
      </c>
      <c r="E2" s="16">
        <v>75</v>
      </c>
      <c r="F2" s="16">
        <v>98.5</v>
      </c>
      <c r="G2" s="13">
        <v>15</v>
      </c>
      <c r="H2" s="13">
        <v>8</v>
      </c>
      <c r="I2" s="16">
        <f t="shared" ref="I2:I65" si="0">(E2-F2)*D2*G2</f>
        <v>-352.5</v>
      </c>
      <c r="J2" s="16">
        <f t="shared" ref="J2:J65" si="1">I2-H2</f>
        <v>-360.5</v>
      </c>
    </row>
    <row r="3" s="13" customFormat="1" spans="1:10">
      <c r="A3" s="4"/>
      <c r="B3" s="13" t="s">
        <v>12</v>
      </c>
      <c r="C3" s="13" t="s">
        <v>11</v>
      </c>
      <c r="D3" s="13">
        <v>1</v>
      </c>
      <c r="E3" s="16">
        <v>52</v>
      </c>
      <c r="F3" s="16">
        <v>57</v>
      </c>
      <c r="G3" s="13">
        <v>15</v>
      </c>
      <c r="H3" s="19">
        <v>8</v>
      </c>
      <c r="I3" s="16">
        <f t="shared" si="0"/>
        <v>-75</v>
      </c>
      <c r="J3" s="16">
        <f t="shared" si="1"/>
        <v>-83</v>
      </c>
    </row>
    <row r="4" s="13" customFormat="1" spans="1:10">
      <c r="A4" s="4"/>
      <c r="B4" s="13" t="s">
        <v>13</v>
      </c>
      <c r="C4" s="13" t="s">
        <v>11</v>
      </c>
      <c r="D4" s="13">
        <v>1</v>
      </c>
      <c r="E4" s="16">
        <v>70.5</v>
      </c>
      <c r="F4" s="16">
        <v>9</v>
      </c>
      <c r="G4" s="13">
        <v>15</v>
      </c>
      <c r="H4" s="13">
        <v>8</v>
      </c>
      <c r="I4" s="16">
        <f t="shared" si="0"/>
        <v>922.5</v>
      </c>
      <c r="J4" s="16">
        <f t="shared" si="1"/>
        <v>914.5</v>
      </c>
    </row>
    <row r="5" s="13" customFormat="1" spans="1:10">
      <c r="A5" s="4"/>
      <c r="B5" s="19" t="s">
        <v>14</v>
      </c>
      <c r="C5" s="13" t="s">
        <v>11</v>
      </c>
      <c r="D5" s="13">
        <v>4</v>
      </c>
      <c r="E5" s="16">
        <f>(34+34+33+33)/4</f>
        <v>33.5</v>
      </c>
      <c r="F5" s="16">
        <v>18</v>
      </c>
      <c r="G5" s="13">
        <v>15</v>
      </c>
      <c r="H5" s="13">
        <f>4*8</f>
        <v>32</v>
      </c>
      <c r="I5" s="22">
        <f t="shared" si="0"/>
        <v>930</v>
      </c>
      <c r="J5" s="22">
        <f t="shared" si="1"/>
        <v>898</v>
      </c>
    </row>
    <row r="6" s="13" customFormat="1" spans="1:10">
      <c r="A6" s="4"/>
      <c r="B6" s="19" t="s">
        <v>15</v>
      </c>
      <c r="C6" s="13" t="s">
        <v>11</v>
      </c>
      <c r="D6" s="13">
        <v>3</v>
      </c>
      <c r="E6" s="16">
        <f>(27.5*2+28)/3</f>
        <v>27.6666666666667</v>
      </c>
      <c r="F6" s="16">
        <v>9.5</v>
      </c>
      <c r="G6" s="13">
        <v>20</v>
      </c>
      <c r="H6" s="13">
        <f>3*14</f>
        <v>42</v>
      </c>
      <c r="I6" s="22">
        <f t="shared" si="0"/>
        <v>1090</v>
      </c>
      <c r="J6" s="22">
        <f t="shared" si="1"/>
        <v>1048</v>
      </c>
    </row>
    <row r="7" s="13" customFormat="1" spans="1:10">
      <c r="A7" s="4"/>
      <c r="B7" s="19" t="s">
        <v>16</v>
      </c>
      <c r="C7" s="13" t="s">
        <v>11</v>
      </c>
      <c r="D7" s="13">
        <v>18</v>
      </c>
      <c r="E7" s="16">
        <f>(65+39+38*6+37+37.5*2+35+38.5+37+41+40+39.5+39)/18</f>
        <v>39.6666666666667</v>
      </c>
      <c r="F7" s="16">
        <v>14</v>
      </c>
      <c r="G7" s="13">
        <v>20</v>
      </c>
      <c r="H7" s="13">
        <f>14*18</f>
        <v>252</v>
      </c>
      <c r="I7" s="22">
        <f t="shared" si="0"/>
        <v>9240</v>
      </c>
      <c r="J7" s="22">
        <f t="shared" si="1"/>
        <v>8988</v>
      </c>
    </row>
    <row r="8" s="13" customFormat="1" spans="1:10">
      <c r="A8" s="4"/>
      <c r="B8" s="19" t="s">
        <v>17</v>
      </c>
      <c r="C8" s="13" t="s">
        <v>18</v>
      </c>
      <c r="D8" s="13">
        <v>6</v>
      </c>
      <c r="E8" s="16">
        <f>(28.5*4+12*2)/6</f>
        <v>23</v>
      </c>
      <c r="F8" s="16">
        <v>5</v>
      </c>
      <c r="G8" s="13">
        <v>5</v>
      </c>
      <c r="H8" s="13">
        <f>6*6</f>
        <v>36</v>
      </c>
      <c r="I8" s="16">
        <f t="shared" si="0"/>
        <v>540</v>
      </c>
      <c r="J8" s="16">
        <f t="shared" si="1"/>
        <v>504</v>
      </c>
    </row>
    <row r="9" s="13" customFormat="1" spans="1:10">
      <c r="A9" s="4"/>
      <c r="B9" s="19" t="s">
        <v>19</v>
      </c>
      <c r="C9" s="13" t="s">
        <v>18</v>
      </c>
      <c r="D9" s="13">
        <v>4</v>
      </c>
      <c r="E9" s="16">
        <f>(21*2+20*2)/4</f>
        <v>20.5</v>
      </c>
      <c r="F9" s="16">
        <v>8</v>
      </c>
      <c r="G9" s="13">
        <v>5</v>
      </c>
      <c r="H9" s="13">
        <f>4*6</f>
        <v>24</v>
      </c>
      <c r="I9" s="22">
        <f t="shared" si="0"/>
        <v>250</v>
      </c>
      <c r="J9" s="22">
        <f t="shared" si="1"/>
        <v>226</v>
      </c>
    </row>
    <row r="10" s="13" customFormat="1" spans="1:10">
      <c r="A10" s="4"/>
      <c r="B10" s="19" t="s">
        <v>20</v>
      </c>
      <c r="C10" s="13" t="s">
        <v>18</v>
      </c>
      <c r="D10" s="13">
        <v>1</v>
      </c>
      <c r="E10" s="16">
        <v>48</v>
      </c>
      <c r="F10" s="16">
        <v>25</v>
      </c>
      <c r="G10" s="13">
        <v>5</v>
      </c>
      <c r="H10" s="13">
        <v>4</v>
      </c>
      <c r="I10" s="22">
        <f t="shared" si="0"/>
        <v>115</v>
      </c>
      <c r="J10" s="22">
        <f t="shared" si="1"/>
        <v>111</v>
      </c>
    </row>
    <row r="11" s="13" customFormat="1" spans="1:10">
      <c r="A11" s="4"/>
      <c r="B11" s="19" t="s">
        <v>21</v>
      </c>
      <c r="C11" s="13" t="s">
        <v>18</v>
      </c>
      <c r="D11" s="13">
        <v>8</v>
      </c>
      <c r="E11" s="16">
        <f>(65*4+64*2+63*2)/8</f>
        <v>64.25</v>
      </c>
      <c r="F11" s="16">
        <v>44</v>
      </c>
      <c r="G11" s="13">
        <v>5</v>
      </c>
      <c r="H11" s="13">
        <f>4*8</f>
        <v>32</v>
      </c>
      <c r="I11" s="22">
        <f t="shared" si="0"/>
        <v>810</v>
      </c>
      <c r="J11" s="22">
        <f t="shared" si="1"/>
        <v>778</v>
      </c>
    </row>
    <row r="12" s="13" customFormat="1" spans="1:10">
      <c r="A12" s="4"/>
      <c r="B12" s="19" t="s">
        <v>22</v>
      </c>
      <c r="C12" s="13" t="s">
        <v>18</v>
      </c>
      <c r="D12" s="13">
        <v>1</v>
      </c>
      <c r="E12" s="16">
        <v>70</v>
      </c>
      <c r="F12" s="16">
        <v>61</v>
      </c>
      <c r="G12" s="13">
        <v>5</v>
      </c>
      <c r="H12" s="13">
        <v>4</v>
      </c>
      <c r="I12" s="22">
        <f t="shared" si="0"/>
        <v>45</v>
      </c>
      <c r="J12" s="22">
        <f t="shared" si="1"/>
        <v>41</v>
      </c>
    </row>
    <row r="13" s="13" customFormat="1" spans="1:10">
      <c r="A13" s="4"/>
      <c r="B13" s="19" t="s">
        <v>23</v>
      </c>
      <c r="C13" s="13" t="s">
        <v>24</v>
      </c>
      <c r="D13" s="13">
        <v>1</v>
      </c>
      <c r="E13" s="16">
        <v>41</v>
      </c>
      <c r="F13" s="16">
        <v>15</v>
      </c>
      <c r="G13" s="13">
        <v>5</v>
      </c>
      <c r="H13" s="13">
        <f>2*1</f>
        <v>2</v>
      </c>
      <c r="I13" s="22">
        <f t="shared" si="0"/>
        <v>130</v>
      </c>
      <c r="J13" s="22">
        <f t="shared" si="1"/>
        <v>128</v>
      </c>
    </row>
    <row r="14" s="13" customFormat="1" spans="1:10">
      <c r="A14" s="4"/>
      <c r="B14" s="19" t="s">
        <v>25</v>
      </c>
      <c r="C14" s="13" t="s">
        <v>24</v>
      </c>
      <c r="D14" s="13">
        <v>3</v>
      </c>
      <c r="E14" s="16">
        <f>(25.5+25*2)/3</f>
        <v>25.1666666666667</v>
      </c>
      <c r="F14" s="16">
        <v>7</v>
      </c>
      <c r="G14" s="13">
        <v>5</v>
      </c>
      <c r="H14" s="13">
        <f>2*3</f>
        <v>6</v>
      </c>
      <c r="I14" s="22">
        <f t="shared" si="0"/>
        <v>272.5</v>
      </c>
      <c r="J14" s="22">
        <f t="shared" si="1"/>
        <v>266.5</v>
      </c>
    </row>
    <row r="15" s="13" customFormat="1" spans="1:10">
      <c r="A15" s="4"/>
      <c r="B15" s="19" t="s">
        <v>26</v>
      </c>
      <c r="C15" s="13" t="s">
        <v>24</v>
      </c>
      <c r="D15" s="13">
        <v>1</v>
      </c>
      <c r="E15" s="16">
        <v>44.5</v>
      </c>
      <c r="F15" s="16">
        <v>20.5</v>
      </c>
      <c r="G15" s="13">
        <v>5</v>
      </c>
      <c r="H15" s="13">
        <f>1*2</f>
        <v>2</v>
      </c>
      <c r="I15" s="22">
        <f t="shared" si="0"/>
        <v>120</v>
      </c>
      <c r="J15" s="22">
        <f t="shared" si="1"/>
        <v>118</v>
      </c>
    </row>
    <row r="16" s="13" customFormat="1" spans="1:10">
      <c r="A16" s="4"/>
      <c r="B16" s="19" t="s">
        <v>27</v>
      </c>
      <c r="C16" s="13" t="s">
        <v>18</v>
      </c>
      <c r="D16" s="13">
        <v>10</v>
      </c>
      <c r="E16" s="16">
        <f>(22.5*4+23*2+24.5*2+25*2)/10</f>
        <v>23.5</v>
      </c>
      <c r="F16" s="16">
        <v>19</v>
      </c>
      <c r="G16" s="13">
        <v>20</v>
      </c>
      <c r="H16" s="13">
        <f>2*10</f>
        <v>20</v>
      </c>
      <c r="I16" s="22">
        <f t="shared" si="0"/>
        <v>900</v>
      </c>
      <c r="J16" s="22">
        <f t="shared" si="1"/>
        <v>880</v>
      </c>
    </row>
    <row r="17" s="13" customFormat="1" spans="1:10">
      <c r="A17" s="4"/>
      <c r="B17" s="19" t="s">
        <v>28</v>
      </c>
      <c r="C17" s="13" t="s">
        <v>18</v>
      </c>
      <c r="D17" s="13">
        <v>8</v>
      </c>
      <c r="E17" s="16">
        <f>(11.25*6+15.5*2)/8</f>
        <v>12.3125</v>
      </c>
      <c r="F17" s="16">
        <v>4.5</v>
      </c>
      <c r="G17" s="13">
        <v>20</v>
      </c>
      <c r="H17" s="13">
        <f>2*6</f>
        <v>12</v>
      </c>
      <c r="I17" s="22">
        <f t="shared" si="0"/>
        <v>1250</v>
      </c>
      <c r="J17" s="22">
        <f t="shared" si="1"/>
        <v>1238</v>
      </c>
    </row>
    <row r="18" s="13" customFormat="1" spans="1:10">
      <c r="A18" s="4"/>
      <c r="B18" s="19" t="s">
        <v>29</v>
      </c>
      <c r="C18" s="13" t="s">
        <v>24</v>
      </c>
      <c r="D18" s="13">
        <v>5</v>
      </c>
      <c r="E18" s="16">
        <v>5.4</v>
      </c>
      <c r="F18" s="16">
        <v>0.8</v>
      </c>
      <c r="G18" s="13">
        <v>100</v>
      </c>
      <c r="H18" s="13">
        <v>40</v>
      </c>
      <c r="I18" s="22">
        <f t="shared" si="0"/>
        <v>2300</v>
      </c>
      <c r="J18" s="22">
        <f t="shared" si="1"/>
        <v>2260</v>
      </c>
    </row>
    <row r="19" s="13" customFormat="1" spans="1:10">
      <c r="A19" s="4"/>
      <c r="B19" s="19" t="s">
        <v>30</v>
      </c>
      <c r="C19" s="13" t="s">
        <v>24</v>
      </c>
      <c r="D19" s="13">
        <v>2</v>
      </c>
      <c r="E19" s="16">
        <v>4.5</v>
      </c>
      <c r="F19" s="16">
        <v>1.3</v>
      </c>
      <c r="G19" s="13">
        <v>100</v>
      </c>
      <c r="H19" s="13">
        <f>2*8</f>
        <v>16</v>
      </c>
      <c r="I19" s="22">
        <f t="shared" si="0"/>
        <v>640</v>
      </c>
      <c r="J19" s="22">
        <f t="shared" si="1"/>
        <v>624</v>
      </c>
    </row>
    <row r="20" s="13" customFormat="1" spans="1:10">
      <c r="A20" s="4"/>
      <c r="B20" s="19" t="s">
        <v>31</v>
      </c>
      <c r="C20" s="13" t="s">
        <v>24</v>
      </c>
      <c r="D20" s="13">
        <v>1</v>
      </c>
      <c r="E20" s="16">
        <v>5.6</v>
      </c>
      <c r="F20" s="16">
        <v>1.6</v>
      </c>
      <c r="G20" s="13">
        <v>100</v>
      </c>
      <c r="H20" s="13">
        <v>8</v>
      </c>
      <c r="I20" s="22">
        <f t="shared" si="0"/>
        <v>400</v>
      </c>
      <c r="J20" s="22">
        <f t="shared" si="1"/>
        <v>392</v>
      </c>
    </row>
    <row r="21" s="13" customFormat="1" spans="1:10">
      <c r="A21" s="4"/>
      <c r="B21" s="19" t="s">
        <v>32</v>
      </c>
      <c r="C21" s="13" t="s">
        <v>24</v>
      </c>
      <c r="D21" s="13">
        <v>1</v>
      </c>
      <c r="E21" s="16">
        <v>7.2</v>
      </c>
      <c r="F21" s="16">
        <v>2.9</v>
      </c>
      <c r="G21" s="13">
        <v>100</v>
      </c>
      <c r="H21" s="13">
        <v>8</v>
      </c>
      <c r="I21" s="22">
        <f t="shared" si="0"/>
        <v>430</v>
      </c>
      <c r="J21" s="22">
        <f t="shared" si="1"/>
        <v>422</v>
      </c>
    </row>
    <row r="22" s="13" customFormat="1" spans="1:10">
      <c r="A22" s="4"/>
      <c r="B22" s="19" t="s">
        <v>33</v>
      </c>
      <c r="C22" s="13" t="s">
        <v>24</v>
      </c>
      <c r="D22" s="13">
        <v>6</v>
      </c>
      <c r="E22" s="16">
        <f>(6.2+4.5+4.3*4)/6</f>
        <v>4.65</v>
      </c>
      <c r="F22" s="16">
        <v>4.1</v>
      </c>
      <c r="G22" s="13">
        <v>100</v>
      </c>
      <c r="H22" s="13">
        <f>6*8</f>
        <v>48</v>
      </c>
      <c r="I22" s="22">
        <f t="shared" si="0"/>
        <v>330</v>
      </c>
      <c r="J22" s="22">
        <f t="shared" si="1"/>
        <v>282</v>
      </c>
    </row>
    <row r="23" s="13" customFormat="1" spans="1:10">
      <c r="A23" s="4"/>
      <c r="B23" s="19" t="s">
        <v>34</v>
      </c>
      <c r="C23" s="13" t="s">
        <v>24</v>
      </c>
      <c r="D23" s="13">
        <v>8</v>
      </c>
      <c r="E23" s="16">
        <f>(27.5+27*5+26.5*2)/8</f>
        <v>26.9375</v>
      </c>
      <c r="F23" s="16">
        <v>17.5</v>
      </c>
      <c r="G23" s="13">
        <v>10</v>
      </c>
      <c r="H23" s="13">
        <f>2*8</f>
        <v>16</v>
      </c>
      <c r="I23" s="22">
        <f t="shared" si="0"/>
        <v>755</v>
      </c>
      <c r="J23" s="22">
        <f t="shared" si="1"/>
        <v>739</v>
      </c>
    </row>
    <row r="24" s="13" customFormat="1" spans="1:10">
      <c r="A24" s="4"/>
      <c r="B24" s="19" t="s">
        <v>35</v>
      </c>
      <c r="C24" s="13" t="s">
        <v>24</v>
      </c>
      <c r="D24" s="13">
        <v>5</v>
      </c>
      <c r="E24" s="16">
        <v>24</v>
      </c>
      <c r="F24" s="16">
        <v>6.5</v>
      </c>
      <c r="G24" s="13">
        <v>10</v>
      </c>
      <c r="H24" s="13">
        <f>2*5</f>
        <v>10</v>
      </c>
      <c r="I24" s="22">
        <f t="shared" si="0"/>
        <v>875</v>
      </c>
      <c r="J24" s="22">
        <f t="shared" si="1"/>
        <v>865</v>
      </c>
    </row>
    <row r="25" s="13" customFormat="1" spans="1:10">
      <c r="A25" s="4"/>
      <c r="B25" s="19" t="s">
        <v>36</v>
      </c>
      <c r="C25" s="13" t="s">
        <v>24</v>
      </c>
      <c r="D25" s="13">
        <v>6</v>
      </c>
      <c r="E25" s="16">
        <f>(26+25.5*2+23*2+15)/6</f>
        <v>23</v>
      </c>
      <c r="F25" s="16">
        <v>12</v>
      </c>
      <c r="G25" s="13">
        <v>10</v>
      </c>
      <c r="H25" s="13">
        <f>2*6</f>
        <v>12</v>
      </c>
      <c r="I25" s="22">
        <f t="shared" si="0"/>
        <v>660</v>
      </c>
      <c r="J25" s="22">
        <f t="shared" si="1"/>
        <v>648</v>
      </c>
    </row>
    <row r="26" s="13" customFormat="1" spans="1:10">
      <c r="A26" s="4"/>
      <c r="B26" s="19" t="s">
        <v>37</v>
      </c>
      <c r="C26" s="13" t="s">
        <v>24</v>
      </c>
      <c r="D26" s="13">
        <v>1</v>
      </c>
      <c r="E26" s="16">
        <v>40</v>
      </c>
      <c r="F26" s="16">
        <v>18.5</v>
      </c>
      <c r="G26" s="13">
        <v>10</v>
      </c>
      <c r="H26" s="13">
        <f>2*1</f>
        <v>2</v>
      </c>
      <c r="I26" s="22">
        <f t="shared" si="0"/>
        <v>215</v>
      </c>
      <c r="J26" s="22">
        <f t="shared" si="1"/>
        <v>213</v>
      </c>
    </row>
    <row r="27" s="13" customFormat="1" spans="1:10">
      <c r="A27" s="4"/>
      <c r="B27" s="19" t="s">
        <v>38</v>
      </c>
      <c r="C27" s="13" t="s">
        <v>24</v>
      </c>
      <c r="D27" s="13">
        <v>16</v>
      </c>
      <c r="E27" s="16">
        <f>(28.5+27.5*15)/16</f>
        <v>27.5625</v>
      </c>
      <c r="F27" s="16">
        <v>19</v>
      </c>
      <c r="G27" s="13">
        <v>10</v>
      </c>
      <c r="H27" s="13">
        <f>2*16</f>
        <v>32</v>
      </c>
      <c r="I27" s="22">
        <f t="shared" si="0"/>
        <v>1370</v>
      </c>
      <c r="J27" s="22">
        <f t="shared" si="1"/>
        <v>1338</v>
      </c>
    </row>
    <row r="28" s="13" customFormat="1" spans="1:10">
      <c r="A28" s="4"/>
      <c r="B28" s="19" t="s">
        <v>39</v>
      </c>
      <c r="C28" s="13" t="s">
        <v>24</v>
      </c>
      <c r="D28" s="13">
        <v>15</v>
      </c>
      <c r="E28" s="16">
        <v>31</v>
      </c>
      <c r="F28" s="16">
        <v>28</v>
      </c>
      <c r="G28" s="13">
        <v>10</v>
      </c>
      <c r="H28" s="13">
        <f>2*15</f>
        <v>30</v>
      </c>
      <c r="I28" s="22">
        <f t="shared" si="0"/>
        <v>450</v>
      </c>
      <c r="J28" s="22">
        <f t="shared" si="1"/>
        <v>420</v>
      </c>
    </row>
    <row r="29" s="13" customFormat="1" ht="12.75" customHeight="1" spans="1:10">
      <c r="A29" s="4"/>
      <c r="B29" s="19" t="s">
        <v>40</v>
      </c>
      <c r="C29" s="13" t="s">
        <v>24</v>
      </c>
      <c r="D29" s="13">
        <v>8</v>
      </c>
      <c r="E29" s="16">
        <f>(46*5+45*2+44.5)/8</f>
        <v>45.5625</v>
      </c>
      <c r="F29" s="16">
        <v>42</v>
      </c>
      <c r="G29" s="13">
        <v>10</v>
      </c>
      <c r="H29" s="13">
        <f>2*8</f>
        <v>16</v>
      </c>
      <c r="I29" s="22">
        <f t="shared" si="0"/>
        <v>285</v>
      </c>
      <c r="J29" s="22">
        <f t="shared" si="1"/>
        <v>269</v>
      </c>
    </row>
    <row r="30" s="13" customFormat="1" spans="1:10">
      <c r="A30" s="4"/>
      <c r="B30" s="19" t="s">
        <v>41</v>
      </c>
      <c r="C30" s="13" t="s">
        <v>24</v>
      </c>
      <c r="D30" s="13">
        <v>4</v>
      </c>
      <c r="E30" s="16">
        <v>35</v>
      </c>
      <c r="F30" s="16">
        <v>63</v>
      </c>
      <c r="G30" s="13">
        <v>10</v>
      </c>
      <c r="H30" s="13">
        <f>2*4</f>
        <v>8</v>
      </c>
      <c r="I30" s="22">
        <f t="shared" si="0"/>
        <v>-1120</v>
      </c>
      <c r="J30" s="22">
        <f t="shared" si="1"/>
        <v>-1128</v>
      </c>
    </row>
    <row r="31" s="13" customFormat="1" spans="1:10">
      <c r="A31" s="4"/>
      <c r="B31" s="19" t="s">
        <v>42</v>
      </c>
      <c r="C31" s="13" t="s">
        <v>11</v>
      </c>
      <c r="D31" s="13">
        <v>2</v>
      </c>
      <c r="E31" s="16">
        <f>(450+240)/2</f>
        <v>345</v>
      </c>
      <c r="F31" s="16">
        <v>80</v>
      </c>
      <c r="G31" s="13">
        <v>1</v>
      </c>
      <c r="H31" s="13">
        <f>2*12</f>
        <v>24</v>
      </c>
      <c r="I31" s="22">
        <f t="shared" si="0"/>
        <v>530</v>
      </c>
      <c r="J31" s="22">
        <f t="shared" si="1"/>
        <v>506</v>
      </c>
    </row>
    <row r="32" s="13" customFormat="1" spans="1:10">
      <c r="A32" s="4"/>
      <c r="B32" s="19" t="s">
        <v>43</v>
      </c>
      <c r="C32" s="13" t="s">
        <v>11</v>
      </c>
      <c r="D32" s="13">
        <v>2</v>
      </c>
      <c r="E32" s="16">
        <f>(595+340)/2</f>
        <v>467.5</v>
      </c>
      <c r="F32" s="16">
        <v>110</v>
      </c>
      <c r="G32" s="13">
        <v>1</v>
      </c>
      <c r="H32" s="13">
        <f>2*12</f>
        <v>24</v>
      </c>
      <c r="I32" s="22">
        <f t="shared" si="0"/>
        <v>715</v>
      </c>
      <c r="J32" s="22">
        <f t="shared" si="1"/>
        <v>691</v>
      </c>
    </row>
    <row r="33" s="13" customFormat="1" spans="1:10">
      <c r="A33" s="4"/>
      <c r="B33" s="19" t="s">
        <v>44</v>
      </c>
      <c r="C33" s="13" t="s">
        <v>45</v>
      </c>
      <c r="D33" s="13">
        <v>2</v>
      </c>
      <c r="E33" s="16">
        <f>(330+310)/2</f>
        <v>320</v>
      </c>
      <c r="F33" s="16">
        <v>300</v>
      </c>
      <c r="G33" s="13">
        <v>1</v>
      </c>
      <c r="H33" s="13">
        <f>2*12</f>
        <v>24</v>
      </c>
      <c r="I33" s="22">
        <f t="shared" si="0"/>
        <v>40</v>
      </c>
      <c r="J33" s="22">
        <f t="shared" si="1"/>
        <v>16</v>
      </c>
    </row>
    <row r="34" s="13" customFormat="1" spans="1:10">
      <c r="A34" s="4"/>
      <c r="B34" s="19" t="s">
        <v>46</v>
      </c>
      <c r="C34" s="13" t="s">
        <v>11</v>
      </c>
      <c r="D34" s="13">
        <v>1</v>
      </c>
      <c r="E34" s="16">
        <v>62500</v>
      </c>
      <c r="F34" s="16">
        <v>64080</v>
      </c>
      <c r="G34" s="13">
        <v>1</v>
      </c>
      <c r="H34" s="13">
        <v>5.02</v>
      </c>
      <c r="I34" s="22">
        <f t="shared" si="0"/>
        <v>-1580</v>
      </c>
      <c r="J34" s="22">
        <f t="shared" si="1"/>
        <v>-1585.02</v>
      </c>
    </row>
    <row r="35" s="13" customFormat="1" spans="1:10">
      <c r="A35" s="4"/>
      <c r="B35" s="19" t="s">
        <v>47</v>
      </c>
      <c r="C35" s="13" t="s">
        <v>11</v>
      </c>
      <c r="D35" s="13">
        <v>1</v>
      </c>
      <c r="E35" s="16">
        <v>1620</v>
      </c>
      <c r="F35" s="16">
        <v>1030</v>
      </c>
      <c r="G35" s="13">
        <v>1</v>
      </c>
      <c r="H35" s="13">
        <v>12</v>
      </c>
      <c r="I35" s="22">
        <f t="shared" si="0"/>
        <v>590</v>
      </c>
      <c r="J35" s="22">
        <f t="shared" si="1"/>
        <v>578</v>
      </c>
    </row>
    <row r="36" s="13" customFormat="1" spans="1:10">
      <c r="A36" s="4"/>
      <c r="B36" s="19" t="s">
        <v>48</v>
      </c>
      <c r="C36" s="13" t="s">
        <v>24</v>
      </c>
      <c r="D36" s="13">
        <v>3</v>
      </c>
      <c r="E36" s="16">
        <v>7.25</v>
      </c>
      <c r="F36" s="16">
        <v>6</v>
      </c>
      <c r="G36" s="13">
        <v>90</v>
      </c>
      <c r="H36" s="13">
        <v>12</v>
      </c>
      <c r="I36" s="22">
        <f t="shared" si="0"/>
        <v>337.5</v>
      </c>
      <c r="J36" s="22">
        <f t="shared" si="1"/>
        <v>325.5</v>
      </c>
    </row>
    <row r="37" s="13" customFormat="1" spans="1:10">
      <c r="A37" s="4"/>
      <c r="B37" s="19" t="s">
        <v>49</v>
      </c>
      <c r="C37" s="13" t="s">
        <v>24</v>
      </c>
      <c r="D37" s="13">
        <v>1</v>
      </c>
      <c r="E37" s="16">
        <v>11.75</v>
      </c>
      <c r="F37" s="16">
        <v>12.75</v>
      </c>
      <c r="G37" s="13">
        <v>90</v>
      </c>
      <c r="H37" s="13">
        <v>4</v>
      </c>
      <c r="I37" s="22">
        <f t="shared" si="0"/>
        <v>-90</v>
      </c>
      <c r="J37" s="22">
        <f t="shared" si="1"/>
        <v>-94</v>
      </c>
    </row>
    <row r="38" s="13" customFormat="1" spans="1:10">
      <c r="A38" s="4"/>
      <c r="B38" s="19" t="s">
        <v>50</v>
      </c>
      <c r="C38" s="13" t="s">
        <v>24</v>
      </c>
      <c r="D38" s="13">
        <v>1</v>
      </c>
      <c r="E38" s="16">
        <v>35</v>
      </c>
      <c r="F38" s="16">
        <v>15</v>
      </c>
      <c r="G38" s="13">
        <v>16</v>
      </c>
      <c r="H38" s="13">
        <v>6</v>
      </c>
      <c r="I38" s="22">
        <f t="shared" si="0"/>
        <v>320</v>
      </c>
      <c r="J38" s="22">
        <f t="shared" si="1"/>
        <v>314</v>
      </c>
    </row>
    <row r="39" s="13" customFormat="1" spans="1:10">
      <c r="A39" s="4"/>
      <c r="B39" s="19" t="s">
        <v>51</v>
      </c>
      <c r="C39" s="13" t="s">
        <v>24</v>
      </c>
      <c r="D39" s="13">
        <v>1</v>
      </c>
      <c r="E39" s="16">
        <v>60</v>
      </c>
      <c r="F39" s="16">
        <v>27.5</v>
      </c>
      <c r="G39" s="13">
        <v>16</v>
      </c>
      <c r="H39" s="13">
        <v>6</v>
      </c>
      <c r="I39" s="22">
        <f t="shared" si="0"/>
        <v>520</v>
      </c>
      <c r="J39" s="22">
        <f t="shared" si="1"/>
        <v>514</v>
      </c>
    </row>
    <row r="40" s="13" customFormat="1" spans="1:10">
      <c r="A40" s="4"/>
      <c r="B40" s="19" t="s">
        <v>52</v>
      </c>
      <c r="C40" s="13" t="s">
        <v>24</v>
      </c>
      <c r="D40" s="13">
        <v>1</v>
      </c>
      <c r="E40" s="16">
        <v>62.5</v>
      </c>
      <c r="F40" s="16">
        <v>47.5</v>
      </c>
      <c r="G40" s="13">
        <v>16</v>
      </c>
      <c r="H40" s="13">
        <v>6</v>
      </c>
      <c r="I40" s="22">
        <f t="shared" si="0"/>
        <v>240</v>
      </c>
      <c r="J40" s="22">
        <f t="shared" si="1"/>
        <v>234</v>
      </c>
    </row>
    <row r="41" s="13" customFormat="1" spans="1:10">
      <c r="A41" s="4"/>
      <c r="B41" s="19" t="s">
        <v>53</v>
      </c>
      <c r="C41" s="13" t="s">
        <v>24</v>
      </c>
      <c r="D41" s="13">
        <v>4</v>
      </c>
      <c r="E41" s="16">
        <f>(29.5*2+29*2)/4</f>
        <v>29.25</v>
      </c>
      <c r="F41" s="16">
        <v>17</v>
      </c>
      <c r="G41" s="13">
        <v>10</v>
      </c>
      <c r="H41" s="13">
        <f>3*4</f>
        <v>12</v>
      </c>
      <c r="I41" s="22">
        <f t="shared" si="0"/>
        <v>490</v>
      </c>
      <c r="J41" s="22">
        <f t="shared" si="1"/>
        <v>478</v>
      </c>
    </row>
    <row r="42" s="13" customFormat="1" spans="1:10">
      <c r="A42" s="4"/>
      <c r="B42" s="19" t="s">
        <v>54</v>
      </c>
      <c r="C42" s="13" t="s">
        <v>24</v>
      </c>
      <c r="D42" s="13">
        <v>2</v>
      </c>
      <c r="E42" s="16">
        <v>18.5</v>
      </c>
      <c r="F42" s="16">
        <v>9.5</v>
      </c>
      <c r="G42" s="13">
        <v>10</v>
      </c>
      <c r="H42" s="13">
        <f>2*3</f>
        <v>6</v>
      </c>
      <c r="I42" s="22">
        <f t="shared" si="0"/>
        <v>180</v>
      </c>
      <c r="J42" s="22">
        <f t="shared" si="1"/>
        <v>174</v>
      </c>
    </row>
    <row r="43" s="13" customFormat="1" spans="1:10">
      <c r="A43" s="4"/>
      <c r="B43" s="19" t="s">
        <v>55</v>
      </c>
      <c r="C43" s="13" t="s">
        <v>24</v>
      </c>
      <c r="D43" s="13">
        <v>1</v>
      </c>
      <c r="E43" s="16">
        <v>10.5</v>
      </c>
      <c r="F43" s="16">
        <v>7.5</v>
      </c>
      <c r="G43" s="13">
        <v>10</v>
      </c>
      <c r="H43" s="13">
        <v>3</v>
      </c>
      <c r="I43" s="22">
        <f t="shared" si="0"/>
        <v>30</v>
      </c>
      <c r="J43" s="22">
        <f t="shared" si="1"/>
        <v>27</v>
      </c>
    </row>
    <row r="44" s="13" customFormat="1" spans="1:10">
      <c r="A44" s="4"/>
      <c r="B44" s="19" t="s">
        <v>56</v>
      </c>
      <c r="C44" s="13" t="s">
        <v>24</v>
      </c>
      <c r="D44" s="13">
        <v>4</v>
      </c>
      <c r="E44" s="16">
        <f>(36.5+2*30+30.5)/4</f>
        <v>31.75</v>
      </c>
      <c r="F44" s="16">
        <v>28</v>
      </c>
      <c r="G44" s="13">
        <v>10</v>
      </c>
      <c r="H44" s="13">
        <v>12</v>
      </c>
      <c r="I44" s="16">
        <f t="shared" si="0"/>
        <v>150</v>
      </c>
      <c r="J44" s="16">
        <f t="shared" si="1"/>
        <v>138</v>
      </c>
    </row>
    <row r="45" s="13" customFormat="1" spans="1:10">
      <c r="A45" s="4"/>
      <c r="B45" s="19" t="s">
        <v>57</v>
      </c>
      <c r="C45" s="13" t="s">
        <v>24</v>
      </c>
      <c r="D45" s="13">
        <v>2</v>
      </c>
      <c r="E45" s="16">
        <v>47.5</v>
      </c>
      <c r="F45" s="16">
        <v>55</v>
      </c>
      <c r="G45" s="13">
        <v>10</v>
      </c>
      <c r="H45" s="13">
        <f>2*3</f>
        <v>6</v>
      </c>
      <c r="I45" s="22">
        <f t="shared" si="0"/>
        <v>-150</v>
      </c>
      <c r="J45" s="22">
        <f t="shared" si="1"/>
        <v>-156</v>
      </c>
    </row>
    <row r="46" s="13" customFormat="1" spans="1:10">
      <c r="A46" s="4"/>
      <c r="B46" s="19" t="s">
        <v>58</v>
      </c>
      <c r="C46" s="13" t="s">
        <v>18</v>
      </c>
      <c r="D46" s="13">
        <v>8</v>
      </c>
      <c r="E46" s="16">
        <f>(17.75*4+15+15.5*2+16)/8</f>
        <v>16.625</v>
      </c>
      <c r="F46" s="16">
        <v>6.5</v>
      </c>
      <c r="G46" s="13">
        <v>10</v>
      </c>
      <c r="H46" s="13">
        <f>2*8</f>
        <v>16</v>
      </c>
      <c r="I46" s="22">
        <f t="shared" si="0"/>
        <v>810</v>
      </c>
      <c r="J46" s="22">
        <f t="shared" si="1"/>
        <v>794</v>
      </c>
    </row>
    <row r="47" s="13" customFormat="1" spans="1:10">
      <c r="A47" s="4"/>
      <c r="B47" s="19" t="s">
        <v>59</v>
      </c>
      <c r="C47" s="13" t="s">
        <v>18</v>
      </c>
      <c r="D47" s="13">
        <v>12</v>
      </c>
      <c r="E47" s="16">
        <f>(37*2+37.5*2+32*4+32.5*4)/12</f>
        <v>33.9166666666667</v>
      </c>
      <c r="F47" s="16">
        <v>35</v>
      </c>
      <c r="G47" s="13">
        <v>10</v>
      </c>
      <c r="H47" s="13">
        <f>2*12</f>
        <v>24</v>
      </c>
      <c r="I47" s="22">
        <f t="shared" si="0"/>
        <v>-130</v>
      </c>
      <c r="J47" s="22">
        <f t="shared" si="1"/>
        <v>-154</v>
      </c>
    </row>
    <row r="48" s="13" customFormat="1" spans="1:10">
      <c r="A48" s="4"/>
      <c r="B48" s="19" t="s">
        <v>60</v>
      </c>
      <c r="C48" s="13" t="s">
        <v>18</v>
      </c>
      <c r="D48" s="13">
        <v>2</v>
      </c>
      <c r="E48" s="16">
        <v>41.75</v>
      </c>
      <c r="F48" s="16">
        <v>18</v>
      </c>
      <c r="G48" s="13">
        <v>10</v>
      </c>
      <c r="H48" s="13">
        <f>2*6</f>
        <v>12</v>
      </c>
      <c r="I48" s="22">
        <f t="shared" si="0"/>
        <v>475</v>
      </c>
      <c r="J48" s="22">
        <f t="shared" si="1"/>
        <v>463</v>
      </c>
    </row>
    <row r="49" s="13" customFormat="1" spans="1:10">
      <c r="A49" s="4"/>
      <c r="B49" s="13" t="s">
        <v>61</v>
      </c>
      <c r="C49" s="13" t="s">
        <v>11</v>
      </c>
      <c r="D49" s="13">
        <v>1</v>
      </c>
      <c r="E49" s="16">
        <v>34</v>
      </c>
      <c r="F49" s="16">
        <v>15</v>
      </c>
      <c r="G49" s="13">
        <v>5</v>
      </c>
      <c r="H49" s="13">
        <v>8</v>
      </c>
      <c r="I49" s="16">
        <f t="shared" si="0"/>
        <v>95</v>
      </c>
      <c r="J49" s="16">
        <f t="shared" si="1"/>
        <v>87</v>
      </c>
    </row>
    <row r="50" s="13" customFormat="1" spans="1:10">
      <c r="A50" s="4"/>
      <c r="B50" s="19" t="s">
        <v>62</v>
      </c>
      <c r="C50" s="13" t="s">
        <v>18</v>
      </c>
      <c r="D50" s="13">
        <v>2</v>
      </c>
      <c r="E50" s="16">
        <v>37.5</v>
      </c>
      <c r="F50" s="16">
        <v>31.5</v>
      </c>
      <c r="G50" s="13">
        <v>5</v>
      </c>
      <c r="H50" s="13">
        <f>2*3.2</f>
        <v>6.4</v>
      </c>
      <c r="I50" s="22">
        <f t="shared" si="0"/>
        <v>60</v>
      </c>
      <c r="J50" s="22">
        <f t="shared" si="1"/>
        <v>53.6</v>
      </c>
    </row>
    <row r="51" s="13" customFormat="1" spans="1:10">
      <c r="A51" s="4"/>
      <c r="B51" s="19" t="s">
        <v>63</v>
      </c>
      <c r="C51" s="13" t="s">
        <v>18</v>
      </c>
      <c r="D51" s="13">
        <v>3</v>
      </c>
      <c r="E51" s="16">
        <f>(31.5*2+30.5)/3</f>
        <v>31.1666666666667</v>
      </c>
      <c r="F51" s="16">
        <v>26.5</v>
      </c>
      <c r="G51" s="13">
        <v>5</v>
      </c>
      <c r="H51" s="13">
        <f>3.2*3</f>
        <v>9.6</v>
      </c>
      <c r="I51" s="22">
        <f t="shared" si="0"/>
        <v>70</v>
      </c>
      <c r="J51" s="22">
        <f t="shared" si="1"/>
        <v>60.4</v>
      </c>
    </row>
    <row r="52" s="13" customFormat="1" spans="1:10">
      <c r="A52" s="4"/>
      <c r="B52" s="19" t="s">
        <v>64</v>
      </c>
      <c r="C52" s="13" t="s">
        <v>45</v>
      </c>
      <c r="D52" s="13">
        <v>-2</v>
      </c>
      <c r="E52" s="16">
        <f>(1060+1364)/2</f>
        <v>1212</v>
      </c>
      <c r="F52" s="16">
        <v>1168</v>
      </c>
      <c r="G52" s="13">
        <v>3</v>
      </c>
      <c r="H52" s="13">
        <f>2*8</f>
        <v>16</v>
      </c>
      <c r="I52" s="22">
        <f t="shared" si="0"/>
        <v>-264</v>
      </c>
      <c r="J52" s="22">
        <f t="shared" si="1"/>
        <v>-280</v>
      </c>
    </row>
    <row r="53" s="13" customFormat="1" spans="1:10">
      <c r="A53" s="4"/>
      <c r="B53" s="19" t="s">
        <v>65</v>
      </c>
      <c r="C53" s="13" t="s">
        <v>45</v>
      </c>
      <c r="D53" s="13">
        <v>-2</v>
      </c>
      <c r="E53" s="16">
        <f>(781+965)/2</f>
        <v>873</v>
      </c>
      <c r="F53" s="16">
        <v>840</v>
      </c>
      <c r="G53" s="13">
        <v>3</v>
      </c>
      <c r="H53" s="13">
        <f>2*8</f>
        <v>16</v>
      </c>
      <c r="I53" s="22">
        <f t="shared" si="0"/>
        <v>-198</v>
      </c>
      <c r="J53" s="22">
        <f t="shared" si="1"/>
        <v>-214</v>
      </c>
    </row>
    <row r="54" s="13" customFormat="1" spans="1:10">
      <c r="A54" s="4"/>
      <c r="B54" s="19" t="s">
        <v>66</v>
      </c>
      <c r="C54" s="13" t="s">
        <v>45</v>
      </c>
      <c r="D54" s="13">
        <v>8</v>
      </c>
      <c r="E54" s="16">
        <f>(496*2+615*2+502+560+475+495)/8</f>
        <v>531.75</v>
      </c>
      <c r="F54" s="16">
        <v>615</v>
      </c>
      <c r="G54" s="13">
        <v>3</v>
      </c>
      <c r="H54" s="13">
        <f>8*8</f>
        <v>64</v>
      </c>
      <c r="I54" s="22">
        <f t="shared" si="0"/>
        <v>-1998</v>
      </c>
      <c r="J54" s="22">
        <f t="shared" si="1"/>
        <v>-2062</v>
      </c>
    </row>
    <row r="55" s="13" customFormat="1" spans="1:10">
      <c r="A55" s="4"/>
      <c r="B55" s="19" t="s">
        <v>67</v>
      </c>
      <c r="C55" s="13" t="s">
        <v>11</v>
      </c>
      <c r="D55" s="13">
        <v>1</v>
      </c>
      <c r="E55" s="16">
        <v>445</v>
      </c>
      <c r="F55" s="16">
        <v>110</v>
      </c>
      <c r="G55" s="13">
        <v>3</v>
      </c>
      <c r="H55" s="13">
        <f>1*8</f>
        <v>8</v>
      </c>
      <c r="I55" s="22">
        <f t="shared" si="0"/>
        <v>1005</v>
      </c>
      <c r="J55" s="22">
        <f t="shared" si="1"/>
        <v>997</v>
      </c>
    </row>
    <row r="56" s="13" customFormat="1" spans="1:10">
      <c r="A56" s="4"/>
      <c r="B56" s="19" t="s">
        <v>68</v>
      </c>
      <c r="C56" s="13" t="s">
        <v>45</v>
      </c>
      <c r="D56" s="13">
        <v>4</v>
      </c>
      <c r="E56" s="16">
        <f>(445+450+438+432)/4</f>
        <v>441.25</v>
      </c>
      <c r="F56" s="16">
        <v>437</v>
      </c>
      <c r="G56" s="13">
        <v>3</v>
      </c>
      <c r="H56" s="13">
        <f>4*8</f>
        <v>32</v>
      </c>
      <c r="I56" s="22">
        <f t="shared" si="0"/>
        <v>51</v>
      </c>
      <c r="J56" s="22">
        <f t="shared" si="1"/>
        <v>19</v>
      </c>
    </row>
    <row r="57" s="13" customFormat="1" spans="1:10">
      <c r="A57" s="4"/>
      <c r="B57" s="19" t="s">
        <v>69</v>
      </c>
      <c r="C57" s="13" t="s">
        <v>45</v>
      </c>
      <c r="D57" s="13">
        <v>4</v>
      </c>
      <c r="E57" s="16">
        <v>580</v>
      </c>
      <c r="F57" s="16">
        <v>523</v>
      </c>
      <c r="G57" s="13">
        <v>3</v>
      </c>
      <c r="H57" s="13">
        <f>4*8</f>
        <v>32</v>
      </c>
      <c r="I57" s="22">
        <f t="shared" si="0"/>
        <v>684</v>
      </c>
      <c r="J57" s="22">
        <f t="shared" si="1"/>
        <v>652</v>
      </c>
    </row>
    <row r="58" s="13" customFormat="1" spans="1:10">
      <c r="A58" s="4"/>
      <c r="B58" s="19" t="s">
        <v>70</v>
      </c>
      <c r="C58" s="13" t="s">
        <v>11</v>
      </c>
      <c r="D58" s="13">
        <v>8</v>
      </c>
      <c r="E58" s="16">
        <f>(40*3+28*3+27*2)/8</f>
        <v>32.25</v>
      </c>
      <c r="F58" s="16">
        <v>10</v>
      </c>
      <c r="G58" s="13">
        <v>10</v>
      </c>
      <c r="H58" s="13">
        <f>8*8</f>
        <v>64</v>
      </c>
      <c r="I58" s="22">
        <f t="shared" si="0"/>
        <v>1780</v>
      </c>
      <c r="J58" s="22">
        <f t="shared" si="1"/>
        <v>1716</v>
      </c>
    </row>
    <row r="59" s="13" customFormat="1" spans="1:10">
      <c r="A59" s="4"/>
      <c r="B59" s="19" t="s">
        <v>71</v>
      </c>
      <c r="C59" s="13" t="s">
        <v>11</v>
      </c>
      <c r="D59" s="13">
        <v>8</v>
      </c>
      <c r="E59" s="16">
        <f>(54.5+31*3+29.5*3+22)/8</f>
        <v>32.25</v>
      </c>
      <c r="F59" s="16">
        <v>15</v>
      </c>
      <c r="G59" s="13">
        <v>10</v>
      </c>
      <c r="H59" s="13">
        <f>7*8</f>
        <v>56</v>
      </c>
      <c r="I59" s="22">
        <f t="shared" si="0"/>
        <v>1380</v>
      </c>
      <c r="J59" s="22">
        <f t="shared" si="1"/>
        <v>1324</v>
      </c>
    </row>
    <row r="60" s="13" customFormat="1" spans="1:10">
      <c r="A60" s="4"/>
      <c r="B60" s="19" t="s">
        <v>72</v>
      </c>
      <c r="C60" s="13" t="s">
        <v>18</v>
      </c>
      <c r="D60" s="13">
        <v>1</v>
      </c>
      <c r="E60" s="16">
        <v>39</v>
      </c>
      <c r="F60" s="16">
        <v>12</v>
      </c>
      <c r="G60" s="13">
        <v>10</v>
      </c>
      <c r="H60" s="13">
        <v>3.2</v>
      </c>
      <c r="I60" s="22">
        <f t="shared" si="0"/>
        <v>270</v>
      </c>
      <c r="J60" s="22">
        <f t="shared" si="1"/>
        <v>266.8</v>
      </c>
    </row>
    <row r="61" s="13" customFormat="1" spans="1:10">
      <c r="A61" s="4"/>
      <c r="B61" s="19" t="s">
        <v>73</v>
      </c>
      <c r="C61" s="13" t="s">
        <v>18</v>
      </c>
      <c r="D61" s="13">
        <v>3</v>
      </c>
      <c r="E61" s="16">
        <f>(27+26.5+26.5)/3</f>
        <v>26.6666666666667</v>
      </c>
      <c r="F61" s="16">
        <v>23</v>
      </c>
      <c r="G61" s="13">
        <v>10</v>
      </c>
      <c r="H61" s="13">
        <f>3.2*3</f>
        <v>9.6</v>
      </c>
      <c r="I61" s="22">
        <f t="shared" si="0"/>
        <v>110</v>
      </c>
      <c r="J61" s="22">
        <f t="shared" si="1"/>
        <v>100.4</v>
      </c>
    </row>
    <row r="62" s="13" customFormat="1" spans="1:10">
      <c r="A62" s="4"/>
      <c r="B62" s="19" t="s">
        <v>74</v>
      </c>
      <c r="C62" s="13" t="s">
        <v>18</v>
      </c>
      <c r="D62" s="13">
        <v>4</v>
      </c>
      <c r="E62" s="16">
        <f>(21*2+20*2)/4</f>
        <v>20.5</v>
      </c>
      <c r="F62" s="16">
        <v>7</v>
      </c>
      <c r="G62" s="13">
        <v>5</v>
      </c>
      <c r="H62" s="13">
        <f>2*4</f>
        <v>8</v>
      </c>
      <c r="I62" s="22">
        <f t="shared" si="0"/>
        <v>270</v>
      </c>
      <c r="J62" s="22">
        <f t="shared" si="1"/>
        <v>262</v>
      </c>
    </row>
    <row r="63" s="13" customFormat="1" spans="1:10">
      <c r="A63" s="4"/>
      <c r="B63" s="13" t="s">
        <v>75</v>
      </c>
      <c r="C63" s="13" t="s">
        <v>18</v>
      </c>
      <c r="D63" s="13">
        <v>2</v>
      </c>
      <c r="E63" s="16">
        <v>31.25</v>
      </c>
      <c r="F63" s="16">
        <v>37.5</v>
      </c>
      <c r="G63" s="13">
        <v>30</v>
      </c>
      <c r="H63" s="13">
        <v>16</v>
      </c>
      <c r="I63" s="16">
        <f t="shared" si="0"/>
        <v>-375</v>
      </c>
      <c r="J63" s="16">
        <f t="shared" si="1"/>
        <v>-391</v>
      </c>
    </row>
    <row r="64" s="13" customFormat="1" spans="1:10">
      <c r="A64" s="4"/>
      <c r="B64" s="19" t="s">
        <v>76</v>
      </c>
      <c r="C64" s="13" t="s">
        <v>18</v>
      </c>
      <c r="D64" s="13">
        <v>8</v>
      </c>
      <c r="E64" s="16">
        <f>(35+35.5+35.5+36+36.5+28+27.5+27)/8</f>
        <v>32.625</v>
      </c>
      <c r="F64" s="16">
        <v>4</v>
      </c>
      <c r="G64" s="13">
        <v>30</v>
      </c>
      <c r="H64" s="13">
        <f>8*8</f>
        <v>64</v>
      </c>
      <c r="I64" s="22">
        <f t="shared" si="0"/>
        <v>6870</v>
      </c>
      <c r="J64" s="22">
        <f t="shared" si="1"/>
        <v>6806</v>
      </c>
    </row>
    <row r="65" s="13" customFormat="1" spans="1:10">
      <c r="A65" s="4"/>
      <c r="B65" s="19" t="s">
        <v>77</v>
      </c>
      <c r="C65" s="13" t="s">
        <v>18</v>
      </c>
      <c r="D65" s="13">
        <v>7</v>
      </c>
      <c r="E65" s="16">
        <f>(23+22.5+29+28+27.5+16.5*2)/7</f>
        <v>23.2857142857143</v>
      </c>
      <c r="F65" s="16">
        <v>11</v>
      </c>
      <c r="G65" s="13">
        <v>30</v>
      </c>
      <c r="H65" s="13">
        <f>7*8</f>
        <v>56</v>
      </c>
      <c r="I65" s="22">
        <f t="shared" si="0"/>
        <v>2580</v>
      </c>
      <c r="J65" s="22">
        <f t="shared" si="1"/>
        <v>2524</v>
      </c>
    </row>
    <row r="66" s="13" customFormat="1" spans="1:10">
      <c r="A66" s="4"/>
      <c r="B66" s="19" t="s">
        <v>78</v>
      </c>
      <c r="C66" s="13" t="s">
        <v>18</v>
      </c>
      <c r="D66" s="13">
        <v>5</v>
      </c>
      <c r="E66" s="16">
        <f>(24+22.5*4)/5</f>
        <v>22.8</v>
      </c>
      <c r="F66" s="16">
        <v>16</v>
      </c>
      <c r="G66" s="13">
        <v>30</v>
      </c>
      <c r="H66" s="13">
        <f>5*8</f>
        <v>40</v>
      </c>
      <c r="I66" s="22">
        <f t="shared" ref="I66:I82" si="2">(E66-F66)*D66*G66</f>
        <v>1020</v>
      </c>
      <c r="J66" s="22">
        <f t="shared" ref="J66:J82" si="3">I66-H66</f>
        <v>980</v>
      </c>
    </row>
    <row r="67" s="13" customFormat="1" spans="1:10">
      <c r="A67" s="4"/>
      <c r="B67" s="19" t="s">
        <v>79</v>
      </c>
      <c r="C67" s="13" t="s">
        <v>18</v>
      </c>
      <c r="D67" s="13">
        <v>4</v>
      </c>
      <c r="E67" s="16">
        <f>(28*2+29*2)/4</f>
        <v>28.5</v>
      </c>
      <c r="F67" s="16">
        <v>12</v>
      </c>
      <c r="G67" s="13">
        <v>5</v>
      </c>
      <c r="H67" s="13">
        <f>2*4</f>
        <v>8</v>
      </c>
      <c r="I67" s="22">
        <f t="shared" si="2"/>
        <v>330</v>
      </c>
      <c r="J67" s="22">
        <f t="shared" si="3"/>
        <v>322</v>
      </c>
    </row>
    <row r="68" s="13" customFormat="1" spans="1:10">
      <c r="A68" s="4"/>
      <c r="B68" s="19" t="s">
        <v>80</v>
      </c>
      <c r="C68" s="13" t="s">
        <v>11</v>
      </c>
      <c r="D68" s="13">
        <v>1</v>
      </c>
      <c r="E68" s="16">
        <v>620</v>
      </c>
      <c r="F68" s="16">
        <v>578</v>
      </c>
      <c r="G68" s="13">
        <v>1</v>
      </c>
      <c r="H68" s="13">
        <v>6</v>
      </c>
      <c r="I68" s="22">
        <f t="shared" si="2"/>
        <v>42</v>
      </c>
      <c r="J68" s="22">
        <f t="shared" si="3"/>
        <v>36</v>
      </c>
    </row>
    <row r="69" s="13" customFormat="1" spans="1:10">
      <c r="A69" s="4"/>
      <c r="B69" s="13" t="s">
        <v>81</v>
      </c>
      <c r="C69" s="13" t="s">
        <v>18</v>
      </c>
      <c r="D69" s="13">
        <v>6</v>
      </c>
      <c r="E69" s="16">
        <v>8.58333333</v>
      </c>
      <c r="F69" s="16">
        <v>4.5</v>
      </c>
      <c r="G69" s="13">
        <v>10</v>
      </c>
      <c r="H69" s="13">
        <f>18+18</f>
        <v>36</v>
      </c>
      <c r="I69" s="16">
        <f t="shared" si="2"/>
        <v>244.9999998</v>
      </c>
      <c r="J69" s="16">
        <f t="shared" si="3"/>
        <v>208.9999998</v>
      </c>
    </row>
    <row r="70" s="13" customFormat="1" spans="1:10">
      <c r="A70" s="4"/>
      <c r="B70" s="13" t="s">
        <v>82</v>
      </c>
      <c r="C70" s="13" t="s">
        <v>18</v>
      </c>
      <c r="D70" s="13">
        <v>1</v>
      </c>
      <c r="E70" s="16">
        <v>42.5</v>
      </c>
      <c r="F70" s="16">
        <v>21</v>
      </c>
      <c r="G70" s="13">
        <v>5</v>
      </c>
      <c r="H70" s="13">
        <v>2</v>
      </c>
      <c r="I70" s="16">
        <f t="shared" si="2"/>
        <v>107.5</v>
      </c>
      <c r="J70" s="16">
        <f t="shared" si="3"/>
        <v>105.5</v>
      </c>
    </row>
    <row r="71" s="13" customFormat="1" spans="1:10">
      <c r="A71" s="4"/>
      <c r="B71" s="13" t="s">
        <v>83</v>
      </c>
      <c r="C71" s="13" t="s">
        <v>18</v>
      </c>
      <c r="D71" s="13">
        <v>2</v>
      </c>
      <c r="E71" s="16">
        <f>(32.5+32)/2</f>
        <v>32.25</v>
      </c>
      <c r="F71" s="16">
        <v>16</v>
      </c>
      <c r="G71" s="13">
        <v>5</v>
      </c>
      <c r="H71" s="13">
        <f>2*2</f>
        <v>4</v>
      </c>
      <c r="I71" s="16">
        <f t="shared" si="2"/>
        <v>162.5</v>
      </c>
      <c r="J71" s="16">
        <f t="shared" si="3"/>
        <v>158.5</v>
      </c>
    </row>
    <row r="72" s="13" customFormat="1" spans="1:10">
      <c r="A72" s="4"/>
      <c r="B72" s="19" t="s">
        <v>84</v>
      </c>
      <c r="C72" s="13" t="s">
        <v>18</v>
      </c>
      <c r="D72" s="13">
        <v>3</v>
      </c>
      <c r="E72" s="16">
        <f>(88+24.5+24)/3</f>
        <v>45.5</v>
      </c>
      <c r="F72" s="16">
        <v>11</v>
      </c>
      <c r="G72" s="13">
        <v>5</v>
      </c>
      <c r="H72" s="13">
        <f>2*3</f>
        <v>6</v>
      </c>
      <c r="I72" s="22">
        <f t="shared" si="2"/>
        <v>517.5</v>
      </c>
      <c r="J72" s="22">
        <f t="shared" si="3"/>
        <v>511.5</v>
      </c>
    </row>
    <row r="73" s="13" customFormat="1" spans="1:10">
      <c r="A73" s="4"/>
      <c r="B73" s="13" t="s">
        <v>85</v>
      </c>
      <c r="C73" s="13" t="s">
        <v>18</v>
      </c>
      <c r="D73" s="13">
        <v>3</v>
      </c>
      <c r="E73" s="16">
        <f>(20+19.5+13.5)/3</f>
        <v>17.6666666666667</v>
      </c>
      <c r="F73" s="16">
        <v>9</v>
      </c>
      <c r="G73" s="13">
        <v>5</v>
      </c>
      <c r="H73" s="13">
        <f>2*3</f>
        <v>6</v>
      </c>
      <c r="I73" s="16">
        <f t="shared" si="2"/>
        <v>130</v>
      </c>
      <c r="J73" s="16">
        <f t="shared" si="3"/>
        <v>124</v>
      </c>
    </row>
    <row r="74" s="13" customFormat="1" spans="1:10">
      <c r="A74" s="4"/>
      <c r="B74" s="13" t="s">
        <v>86</v>
      </c>
      <c r="C74" s="13" t="s">
        <v>18</v>
      </c>
      <c r="D74" s="13">
        <v>2</v>
      </c>
      <c r="E74" s="16">
        <f>(16+11)/2</f>
        <v>13.5</v>
      </c>
      <c r="F74" s="16">
        <v>6.5</v>
      </c>
      <c r="G74" s="13">
        <v>5</v>
      </c>
      <c r="H74" s="13">
        <f>2*2</f>
        <v>4</v>
      </c>
      <c r="I74" s="16">
        <f t="shared" si="2"/>
        <v>70</v>
      </c>
      <c r="J74" s="16">
        <f t="shared" si="3"/>
        <v>66</v>
      </c>
    </row>
    <row r="75" s="13" customFormat="1" spans="1:10">
      <c r="A75" s="4"/>
      <c r="B75" s="19" t="s">
        <v>87</v>
      </c>
      <c r="C75" s="13" t="s">
        <v>18</v>
      </c>
      <c r="D75" s="13">
        <v>2</v>
      </c>
      <c r="E75" s="16">
        <v>41</v>
      </c>
      <c r="F75" s="16">
        <v>14</v>
      </c>
      <c r="G75" s="13">
        <v>5</v>
      </c>
      <c r="H75" s="13">
        <v>4</v>
      </c>
      <c r="I75" s="22">
        <f t="shared" si="2"/>
        <v>270</v>
      </c>
      <c r="J75" s="22">
        <f t="shared" si="3"/>
        <v>266</v>
      </c>
    </row>
    <row r="76" s="13" customFormat="1" spans="1:10">
      <c r="A76" s="4"/>
      <c r="B76" s="19" t="s">
        <v>88</v>
      </c>
      <c r="C76" s="13" t="s">
        <v>18</v>
      </c>
      <c r="D76" s="13">
        <v>9</v>
      </c>
      <c r="E76" s="16">
        <f>(56.5+56+41+40+39.5+39+38.5*2+39.5)/9</f>
        <v>43.1666666666667</v>
      </c>
      <c r="F76" s="16">
        <v>27</v>
      </c>
      <c r="G76" s="13">
        <v>5</v>
      </c>
      <c r="H76" s="13">
        <f>2*9</f>
        <v>18</v>
      </c>
      <c r="I76" s="22">
        <f t="shared" si="2"/>
        <v>727.5</v>
      </c>
      <c r="J76" s="22">
        <f t="shared" si="3"/>
        <v>709.5</v>
      </c>
    </row>
    <row r="77" s="13" customFormat="1" spans="1:10">
      <c r="A77" s="4"/>
      <c r="B77" s="19" t="s">
        <v>89</v>
      </c>
      <c r="C77" s="13" t="s">
        <v>18</v>
      </c>
      <c r="D77" s="13">
        <v>2</v>
      </c>
      <c r="E77" s="16">
        <f>(45+45.5+46+46.5)/4</f>
        <v>45.75</v>
      </c>
      <c r="F77" s="16">
        <v>37</v>
      </c>
      <c r="G77" s="13">
        <v>5</v>
      </c>
      <c r="H77" s="13">
        <f>2*2</f>
        <v>4</v>
      </c>
      <c r="I77" s="22">
        <f t="shared" si="2"/>
        <v>87.5</v>
      </c>
      <c r="J77" s="22">
        <f t="shared" si="3"/>
        <v>83.5</v>
      </c>
    </row>
    <row r="78" s="13" customFormat="1" spans="1:10">
      <c r="A78" s="4"/>
      <c r="B78" s="19" t="s">
        <v>90</v>
      </c>
      <c r="C78" s="13" t="s">
        <v>18</v>
      </c>
      <c r="D78" s="13">
        <v>1</v>
      </c>
      <c r="E78" s="16">
        <v>86.5</v>
      </c>
      <c r="F78" s="16">
        <v>50.5</v>
      </c>
      <c r="G78" s="13">
        <v>5</v>
      </c>
      <c r="H78" s="13">
        <v>2</v>
      </c>
      <c r="I78" s="22">
        <f t="shared" si="2"/>
        <v>180</v>
      </c>
      <c r="J78" s="22">
        <f t="shared" si="3"/>
        <v>178</v>
      </c>
    </row>
    <row r="79" s="13" customFormat="1" spans="1:10">
      <c r="A79" s="4"/>
      <c r="B79" s="19" t="s">
        <v>91</v>
      </c>
      <c r="C79" s="13" t="s">
        <v>18</v>
      </c>
      <c r="D79" s="13">
        <v>2</v>
      </c>
      <c r="E79" s="16">
        <v>35</v>
      </c>
      <c r="F79" s="16">
        <v>35.5</v>
      </c>
      <c r="G79" s="13">
        <v>20</v>
      </c>
      <c r="H79" s="13">
        <v>8</v>
      </c>
      <c r="I79" s="16">
        <f t="shared" si="2"/>
        <v>-20</v>
      </c>
      <c r="J79" s="16">
        <f t="shared" si="3"/>
        <v>-28</v>
      </c>
    </row>
    <row r="80" s="13" customFormat="1" spans="1:10">
      <c r="A80" s="4"/>
      <c r="B80" s="19" t="s">
        <v>92</v>
      </c>
      <c r="C80" s="13" t="s">
        <v>18</v>
      </c>
      <c r="D80" s="13">
        <v>1</v>
      </c>
      <c r="E80" s="16">
        <v>26.5</v>
      </c>
      <c r="F80" s="16">
        <v>6.5</v>
      </c>
      <c r="G80" s="13">
        <v>20</v>
      </c>
      <c r="H80" s="13">
        <v>4</v>
      </c>
      <c r="I80" s="22">
        <f t="shared" si="2"/>
        <v>400</v>
      </c>
      <c r="J80" s="22">
        <f t="shared" si="3"/>
        <v>396</v>
      </c>
    </row>
    <row r="81" s="13" customFormat="1" spans="1:10">
      <c r="A81" s="4"/>
      <c r="B81" s="19" t="s">
        <v>93</v>
      </c>
      <c r="C81" s="13" t="s">
        <v>18</v>
      </c>
      <c r="D81" s="13">
        <v>1</v>
      </c>
      <c r="E81" s="16">
        <v>33</v>
      </c>
      <c r="F81" s="16">
        <v>9.5</v>
      </c>
      <c r="G81" s="13">
        <v>20</v>
      </c>
      <c r="H81" s="19">
        <v>4</v>
      </c>
      <c r="I81" s="22">
        <f t="shared" si="2"/>
        <v>470</v>
      </c>
      <c r="J81" s="22">
        <f t="shared" si="3"/>
        <v>466</v>
      </c>
    </row>
    <row r="82" s="13" customFormat="1" spans="1:10">
      <c r="A82" s="4"/>
      <c r="B82" s="19" t="s">
        <v>94</v>
      </c>
      <c r="C82" s="13" t="s">
        <v>24</v>
      </c>
      <c r="D82" s="13">
        <v>10</v>
      </c>
      <c r="E82" s="16">
        <v>27.5</v>
      </c>
      <c r="F82" s="16">
        <v>20</v>
      </c>
      <c r="G82" s="13">
        <v>5</v>
      </c>
      <c r="H82" s="13">
        <f>2*10</f>
        <v>20</v>
      </c>
      <c r="I82" s="22">
        <f t="shared" si="2"/>
        <v>375</v>
      </c>
      <c r="J82" s="22">
        <f t="shared" si="3"/>
        <v>355</v>
      </c>
    </row>
    <row r="85" s="13" customFormat="1" spans="1:10">
      <c r="A85" s="4" t="s">
        <v>95</v>
      </c>
      <c r="B85" s="13">
        <f>SUM(J:J)+SUM(已平仓!J:J)</f>
        <v>8975.7799998</v>
      </c>
      <c r="E85" s="16"/>
      <c r="F85" s="16"/>
      <c r="I85" s="16"/>
      <c r="J85" s="16"/>
    </row>
  </sheetData>
  <autoFilter ref="A1:J82">
    <sortState ref="A1:J82">
      <sortCondition ref="B2"/>
    </sortState>
    <extLst/>
  </autoFilter>
  <sortState ref="A2:J84">
    <sortCondition ref="B2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workbookViewId="0">
      <pane ySplit="1" topLeftCell="A9" activePane="bottomLeft" state="frozen"/>
      <selection/>
      <selection pane="bottomLeft" activeCell="B9" sqref="B9"/>
    </sheetView>
  </sheetViews>
  <sheetFormatPr defaultColWidth="9" defaultRowHeight="13.5"/>
  <cols>
    <col min="1" max="1" width="13.7333333333333" customWidth="1"/>
    <col min="2" max="2" width="18.125" customWidth="1"/>
    <col min="5" max="5" width="15.2666666666667" customWidth="1"/>
    <col min="6" max="6" width="13.7333333333333" style="14" customWidth="1"/>
    <col min="7" max="7" width="14.4666666666667" customWidth="1"/>
    <col min="8" max="8" width="12.8666666666667" customWidth="1"/>
    <col min="9" max="9" width="14.7333333333333" customWidth="1"/>
    <col min="10" max="10" width="22.4" customWidth="1"/>
    <col min="12" max="12" width="10.0666666666667" customWidth="1"/>
  </cols>
  <sheetData>
    <row r="1" s="7" customFormat="1" ht="12" customHeight="1" spans="1:10">
      <c r="A1" s="2" t="s">
        <v>96</v>
      </c>
      <c r="B1" s="7" t="s">
        <v>1</v>
      </c>
      <c r="C1" s="7" t="s">
        <v>2</v>
      </c>
      <c r="D1" s="7" t="s">
        <v>3</v>
      </c>
      <c r="E1" s="15" t="s">
        <v>4</v>
      </c>
      <c r="F1" s="15" t="s">
        <v>97</v>
      </c>
      <c r="G1" s="7" t="s">
        <v>6</v>
      </c>
      <c r="H1" s="7" t="s">
        <v>98</v>
      </c>
      <c r="I1" s="15" t="s">
        <v>99</v>
      </c>
      <c r="J1" s="15" t="s">
        <v>100</v>
      </c>
    </row>
    <row r="2" s="13" customFormat="1" spans="1:10">
      <c r="A2" s="4">
        <v>45818</v>
      </c>
      <c r="B2" s="13" t="s">
        <v>101</v>
      </c>
      <c r="C2" s="13" t="s">
        <v>24</v>
      </c>
      <c r="D2" s="13">
        <v>1</v>
      </c>
      <c r="E2" s="16">
        <v>14.5</v>
      </c>
      <c r="F2" s="16">
        <v>18</v>
      </c>
      <c r="G2" s="13">
        <v>10</v>
      </c>
      <c r="H2" s="13">
        <f>2*2</f>
        <v>4</v>
      </c>
      <c r="I2" s="16">
        <f t="shared" ref="I2:I8" si="0">(E2-F2)*D2*G2</f>
        <v>-35</v>
      </c>
      <c r="J2" s="16">
        <f t="shared" ref="J2:J8" si="1">I2-H2</f>
        <v>-39</v>
      </c>
    </row>
    <row r="3" spans="1:10">
      <c r="A3" s="6">
        <v>45821</v>
      </c>
      <c r="B3" s="17" t="s">
        <v>102</v>
      </c>
      <c r="C3" t="s">
        <v>18</v>
      </c>
      <c r="D3">
        <v>4</v>
      </c>
      <c r="E3">
        <v>33.55</v>
      </c>
      <c r="F3" s="14">
        <v>109</v>
      </c>
      <c r="G3">
        <v>5</v>
      </c>
      <c r="H3">
        <f>2*4*2</f>
        <v>16</v>
      </c>
      <c r="I3" s="16">
        <f t="shared" si="0"/>
        <v>-1509</v>
      </c>
      <c r="J3" s="16">
        <f t="shared" si="1"/>
        <v>-1525</v>
      </c>
    </row>
    <row r="4" spans="1:10">
      <c r="A4" s="6">
        <v>45826</v>
      </c>
      <c r="B4" s="17" t="s">
        <v>102</v>
      </c>
      <c r="C4" t="s">
        <v>18</v>
      </c>
      <c r="D4">
        <v>5</v>
      </c>
      <c r="E4">
        <v>33.55</v>
      </c>
      <c r="F4" s="14">
        <v>151.7</v>
      </c>
      <c r="G4">
        <v>5</v>
      </c>
      <c r="H4">
        <f>2*5+2*5</f>
        <v>20</v>
      </c>
      <c r="I4" s="16">
        <f t="shared" si="0"/>
        <v>-2953.75</v>
      </c>
      <c r="J4" s="16">
        <f t="shared" si="1"/>
        <v>-2973.75</v>
      </c>
    </row>
    <row r="5" spans="1:10">
      <c r="A5" s="6">
        <v>45826</v>
      </c>
      <c r="B5" s="18" t="s">
        <v>103</v>
      </c>
      <c r="C5" t="s">
        <v>24</v>
      </c>
      <c r="D5">
        <v>1</v>
      </c>
      <c r="E5">
        <v>18.67</v>
      </c>
      <c r="F5" s="14">
        <v>32</v>
      </c>
      <c r="G5">
        <v>10</v>
      </c>
      <c r="H5">
        <f>2*1*2</f>
        <v>4</v>
      </c>
      <c r="I5" s="16">
        <f t="shared" si="0"/>
        <v>-133.3</v>
      </c>
      <c r="J5" s="16">
        <f t="shared" si="1"/>
        <v>-137.3</v>
      </c>
    </row>
    <row r="6" spans="1:10">
      <c r="A6" s="6">
        <v>45827</v>
      </c>
      <c r="B6" t="s">
        <v>103</v>
      </c>
      <c r="C6" s="13" t="s">
        <v>24</v>
      </c>
      <c r="D6">
        <v>1</v>
      </c>
      <c r="E6">
        <v>18.67</v>
      </c>
      <c r="F6" s="14">
        <v>28.5</v>
      </c>
      <c r="G6">
        <v>10</v>
      </c>
      <c r="H6">
        <f>2*1*2</f>
        <v>4</v>
      </c>
      <c r="I6" s="16">
        <f t="shared" si="0"/>
        <v>-98.3</v>
      </c>
      <c r="J6" s="16">
        <f t="shared" si="1"/>
        <v>-102.3</v>
      </c>
    </row>
    <row r="7" spans="1:10">
      <c r="A7" s="6">
        <v>45828</v>
      </c>
      <c r="B7" t="s">
        <v>104</v>
      </c>
      <c r="C7" t="s">
        <v>11</v>
      </c>
      <c r="D7">
        <v>1</v>
      </c>
      <c r="E7">
        <v>13.5</v>
      </c>
      <c r="F7" s="14">
        <v>1</v>
      </c>
      <c r="G7">
        <v>20</v>
      </c>
      <c r="H7">
        <f>14*2*1</f>
        <v>28</v>
      </c>
      <c r="I7" s="16">
        <f t="shared" si="0"/>
        <v>250</v>
      </c>
      <c r="J7" s="16">
        <f t="shared" si="1"/>
        <v>222</v>
      </c>
    </row>
    <row r="8" spans="1:10">
      <c r="A8" s="6">
        <v>45828</v>
      </c>
      <c r="B8" s="18" t="s">
        <v>103</v>
      </c>
      <c r="C8" t="s">
        <v>24</v>
      </c>
      <c r="D8">
        <v>1</v>
      </c>
      <c r="E8">
        <v>18.67</v>
      </c>
      <c r="F8" s="14">
        <v>31</v>
      </c>
      <c r="G8">
        <v>10</v>
      </c>
      <c r="H8">
        <f>2*1*2</f>
        <v>4</v>
      </c>
      <c r="I8" s="16">
        <f t="shared" si="0"/>
        <v>-123.3</v>
      </c>
      <c r="J8" s="16">
        <f t="shared" si="1"/>
        <v>-127.3</v>
      </c>
    </row>
    <row r="9" spans="1:10">
      <c r="A9" s="6">
        <v>45832</v>
      </c>
      <c r="B9" s="18" t="s">
        <v>89</v>
      </c>
      <c r="C9" t="s">
        <v>18</v>
      </c>
      <c r="D9">
        <v>2</v>
      </c>
      <c r="E9">
        <v>45.75</v>
      </c>
      <c r="F9" s="14">
        <v>57</v>
      </c>
      <c r="G9">
        <v>5</v>
      </c>
      <c r="H9">
        <f>2*2*2</f>
        <v>8</v>
      </c>
      <c r="I9" s="16">
        <f t="shared" ref="I9:I53" si="2">(E9-F9)*D9*G9</f>
        <v>-112.5</v>
      </c>
      <c r="J9" s="16">
        <f t="shared" ref="J9:J53" si="3">I9-H9</f>
        <v>-120.5</v>
      </c>
    </row>
    <row r="10" spans="1:10">
      <c r="A10" s="6">
        <v>45833</v>
      </c>
      <c r="B10" s="19" t="s">
        <v>105</v>
      </c>
      <c r="C10" s="13" t="s">
        <v>11</v>
      </c>
      <c r="D10">
        <v>2</v>
      </c>
      <c r="E10">
        <v>75</v>
      </c>
      <c r="F10" s="16">
        <f>(52+57)/2</f>
        <v>54.5</v>
      </c>
      <c r="G10">
        <v>15</v>
      </c>
      <c r="H10">
        <f>2*2*8</f>
        <v>32</v>
      </c>
      <c r="I10" s="16">
        <f t="shared" si="2"/>
        <v>615</v>
      </c>
      <c r="J10" s="16">
        <f t="shared" si="3"/>
        <v>583</v>
      </c>
    </row>
    <row r="11" spans="1:10">
      <c r="A11" s="6">
        <v>45833</v>
      </c>
      <c r="B11" s="13" t="s">
        <v>106</v>
      </c>
      <c r="C11" s="13" t="s">
        <v>11</v>
      </c>
      <c r="D11">
        <v>1</v>
      </c>
      <c r="E11">
        <v>65</v>
      </c>
      <c r="F11" s="14">
        <v>100</v>
      </c>
      <c r="G11">
        <v>15</v>
      </c>
      <c r="H11">
        <f>1*2*8</f>
        <v>16</v>
      </c>
      <c r="I11" s="16">
        <f t="shared" si="2"/>
        <v>-525</v>
      </c>
      <c r="J11" s="16">
        <f t="shared" si="3"/>
        <v>-541</v>
      </c>
    </row>
    <row r="12" spans="1:10">
      <c r="A12" s="6">
        <v>45833</v>
      </c>
      <c r="B12" s="19" t="s">
        <v>107</v>
      </c>
      <c r="C12" s="13" t="s">
        <v>11</v>
      </c>
      <c r="D12" s="13">
        <v>2</v>
      </c>
      <c r="E12" s="16">
        <f>(48+28)/2</f>
        <v>38</v>
      </c>
      <c r="F12" s="14">
        <v>0</v>
      </c>
      <c r="G12" s="13">
        <v>5</v>
      </c>
      <c r="H12" s="13">
        <v>40</v>
      </c>
      <c r="I12" s="16">
        <f t="shared" si="2"/>
        <v>380</v>
      </c>
      <c r="J12" s="16">
        <f t="shared" si="3"/>
        <v>340</v>
      </c>
    </row>
    <row r="13" spans="1:10">
      <c r="A13" s="6">
        <v>45833</v>
      </c>
      <c r="B13" s="19" t="s">
        <v>108</v>
      </c>
      <c r="C13" s="13" t="s">
        <v>11</v>
      </c>
      <c r="D13" s="13">
        <v>2</v>
      </c>
      <c r="E13" s="16">
        <v>86</v>
      </c>
      <c r="F13" s="14">
        <v>0</v>
      </c>
      <c r="G13" s="13">
        <v>1</v>
      </c>
      <c r="H13" s="13">
        <v>12</v>
      </c>
      <c r="I13" s="16">
        <f t="shared" si="2"/>
        <v>172</v>
      </c>
      <c r="J13" s="16">
        <f t="shared" si="3"/>
        <v>160</v>
      </c>
    </row>
    <row r="14" spans="1:10">
      <c r="A14" s="6">
        <v>45833</v>
      </c>
      <c r="B14" s="19" t="s">
        <v>109</v>
      </c>
      <c r="C14" s="13" t="s">
        <v>11</v>
      </c>
      <c r="D14" s="13">
        <v>1</v>
      </c>
      <c r="E14">
        <v>142</v>
      </c>
      <c r="F14" s="14">
        <v>0</v>
      </c>
      <c r="G14" s="13">
        <v>2</v>
      </c>
      <c r="H14" s="13">
        <v>12</v>
      </c>
      <c r="I14" s="16">
        <f t="shared" si="2"/>
        <v>284</v>
      </c>
      <c r="J14" s="16">
        <f t="shared" si="3"/>
        <v>272</v>
      </c>
    </row>
    <row r="15" spans="1:10">
      <c r="A15" s="6">
        <v>45834</v>
      </c>
      <c r="B15" s="19" t="s">
        <v>73</v>
      </c>
      <c r="C15" t="s">
        <v>18</v>
      </c>
      <c r="D15">
        <v>1</v>
      </c>
      <c r="E15">
        <v>27</v>
      </c>
      <c r="F15" s="14">
        <v>57</v>
      </c>
      <c r="G15">
        <v>10</v>
      </c>
      <c r="H15">
        <f>3.2*1*2</f>
        <v>6.4</v>
      </c>
      <c r="I15" s="16">
        <f t="shared" si="2"/>
        <v>-300</v>
      </c>
      <c r="J15" s="16">
        <f t="shared" si="3"/>
        <v>-306.4</v>
      </c>
    </row>
    <row r="16" spans="1:10">
      <c r="A16" s="6">
        <v>45834</v>
      </c>
      <c r="B16" s="19" t="s">
        <v>110</v>
      </c>
      <c r="C16" t="s">
        <v>11</v>
      </c>
      <c r="D16">
        <v>2</v>
      </c>
      <c r="E16">
        <v>63</v>
      </c>
      <c r="F16" s="14">
        <v>63</v>
      </c>
      <c r="G16">
        <v>5</v>
      </c>
      <c r="H16">
        <f>2*2*8</f>
        <v>32</v>
      </c>
      <c r="I16" s="16">
        <f t="shared" si="2"/>
        <v>0</v>
      </c>
      <c r="J16" s="16">
        <f t="shared" si="3"/>
        <v>-32</v>
      </c>
    </row>
    <row r="17" spans="1:10">
      <c r="A17" s="6">
        <v>45835</v>
      </c>
      <c r="B17" s="18" t="s">
        <v>16</v>
      </c>
      <c r="C17" t="s">
        <v>11</v>
      </c>
      <c r="D17">
        <v>1</v>
      </c>
      <c r="E17">
        <v>39</v>
      </c>
      <c r="F17" s="14">
        <v>35</v>
      </c>
      <c r="G17">
        <v>20</v>
      </c>
      <c r="H17">
        <f>2*1*14</f>
        <v>28</v>
      </c>
      <c r="I17" s="16">
        <f t="shared" si="2"/>
        <v>80</v>
      </c>
      <c r="J17" s="16">
        <f t="shared" si="3"/>
        <v>52</v>
      </c>
    </row>
    <row r="18" spans="1:10">
      <c r="A18" s="6">
        <v>45835</v>
      </c>
      <c r="B18" s="19" t="s">
        <v>111</v>
      </c>
      <c r="C18" t="s">
        <v>11</v>
      </c>
      <c r="D18">
        <v>1</v>
      </c>
      <c r="E18">
        <v>650</v>
      </c>
      <c r="F18" s="14">
        <v>1540</v>
      </c>
      <c r="G18">
        <v>1</v>
      </c>
      <c r="H18">
        <f>1*2*12</f>
        <v>24</v>
      </c>
      <c r="I18" s="16">
        <f t="shared" si="2"/>
        <v>-890</v>
      </c>
      <c r="J18" s="16">
        <f t="shared" si="3"/>
        <v>-914</v>
      </c>
    </row>
    <row r="19" s="13" customFormat="1" spans="1:10">
      <c r="A19" s="20">
        <v>45835</v>
      </c>
      <c r="B19" s="19" t="s">
        <v>73</v>
      </c>
      <c r="C19" s="13" t="s">
        <v>18</v>
      </c>
      <c r="D19" s="13">
        <v>1</v>
      </c>
      <c r="E19" s="13">
        <v>27</v>
      </c>
      <c r="F19" s="16">
        <v>54.5</v>
      </c>
      <c r="G19" s="13">
        <v>10</v>
      </c>
      <c r="H19" s="13">
        <f>2*1*3.2</f>
        <v>6.4</v>
      </c>
      <c r="I19" s="16">
        <f t="shared" si="2"/>
        <v>-275</v>
      </c>
      <c r="J19" s="16">
        <f t="shared" si="3"/>
        <v>-281.4</v>
      </c>
    </row>
    <row r="20" s="13" customFormat="1" spans="1:12">
      <c r="A20" s="20">
        <v>45838</v>
      </c>
      <c r="B20" s="19" t="s">
        <v>103</v>
      </c>
      <c r="C20" s="13" t="s">
        <v>24</v>
      </c>
      <c r="D20" s="13">
        <v>3</v>
      </c>
      <c r="E20" s="13">
        <v>18.67</v>
      </c>
      <c r="F20" s="16">
        <v>9</v>
      </c>
      <c r="G20" s="13">
        <v>10</v>
      </c>
      <c r="H20" s="13">
        <f>2*2*3</f>
        <v>12</v>
      </c>
      <c r="I20" s="16">
        <f t="shared" si="2"/>
        <v>290.1</v>
      </c>
      <c r="J20" s="16">
        <f t="shared" si="3"/>
        <v>278.1</v>
      </c>
      <c r="L20" s="16"/>
    </row>
    <row r="21" s="13" customFormat="1" spans="1:10">
      <c r="A21" s="20">
        <v>45839</v>
      </c>
      <c r="B21" s="19" t="s">
        <v>112</v>
      </c>
      <c r="C21" s="13" t="s">
        <v>11</v>
      </c>
      <c r="D21" s="13">
        <v>9</v>
      </c>
      <c r="E21" s="13">
        <v>48.33</v>
      </c>
      <c r="F21" s="16">
        <f>(42*2+43*7)/9</f>
        <v>42.7777777777778</v>
      </c>
      <c r="G21" s="13">
        <v>5</v>
      </c>
      <c r="H21" s="13">
        <f>2*8*9</f>
        <v>144</v>
      </c>
      <c r="I21" s="16">
        <f t="shared" si="2"/>
        <v>249.85</v>
      </c>
      <c r="J21" s="16">
        <f t="shared" si="3"/>
        <v>105.85</v>
      </c>
    </row>
    <row r="22" s="13" customFormat="1" spans="1:10">
      <c r="A22" s="20">
        <v>45839</v>
      </c>
      <c r="B22" s="19" t="s">
        <v>110</v>
      </c>
      <c r="C22" s="13" t="s">
        <v>11</v>
      </c>
      <c r="D22" s="13">
        <v>6</v>
      </c>
      <c r="E22" s="13">
        <v>58.33</v>
      </c>
      <c r="F22" s="16">
        <f>(57*3+55*3)/6</f>
        <v>56</v>
      </c>
      <c r="G22" s="13">
        <v>5</v>
      </c>
      <c r="H22" s="13">
        <f>2*6*8</f>
        <v>96</v>
      </c>
      <c r="I22" s="16">
        <f t="shared" si="2"/>
        <v>69.8999999999999</v>
      </c>
      <c r="J22" s="16">
        <f t="shared" si="3"/>
        <v>-26.1000000000001</v>
      </c>
    </row>
    <row r="23" s="13" customFormat="1" spans="1:10">
      <c r="A23" s="20">
        <v>45839</v>
      </c>
      <c r="B23" s="19" t="s">
        <v>113</v>
      </c>
      <c r="C23" s="13" t="s">
        <v>11</v>
      </c>
      <c r="D23" s="13">
        <v>7</v>
      </c>
      <c r="E23" s="13">
        <v>71.38</v>
      </c>
      <c r="F23" s="16">
        <f>(80*4+67+69*2)/7</f>
        <v>75</v>
      </c>
      <c r="G23" s="13">
        <v>5</v>
      </c>
      <c r="H23" s="13">
        <f>2*7*8</f>
        <v>112</v>
      </c>
      <c r="I23" s="16">
        <f t="shared" si="2"/>
        <v>-126.7</v>
      </c>
      <c r="J23" s="16">
        <f t="shared" si="3"/>
        <v>-238.7</v>
      </c>
    </row>
    <row r="24" s="13" customFormat="1" spans="1:10">
      <c r="A24" s="20">
        <v>45839</v>
      </c>
      <c r="B24" s="19" t="s">
        <v>43</v>
      </c>
      <c r="C24" s="13" t="s">
        <v>11</v>
      </c>
      <c r="D24" s="13">
        <v>1</v>
      </c>
      <c r="E24" s="13">
        <v>595</v>
      </c>
      <c r="F24" s="16">
        <v>470</v>
      </c>
      <c r="G24" s="13">
        <v>1</v>
      </c>
      <c r="H24" s="13">
        <f>2*1*12</f>
        <v>24</v>
      </c>
      <c r="I24" s="16">
        <f t="shared" si="2"/>
        <v>125</v>
      </c>
      <c r="J24" s="16">
        <f t="shared" si="3"/>
        <v>101</v>
      </c>
    </row>
    <row r="25" s="13" customFormat="1" spans="1:10">
      <c r="A25" s="20">
        <v>45839</v>
      </c>
      <c r="B25" s="19" t="s">
        <v>42</v>
      </c>
      <c r="C25" s="13" t="s">
        <v>11</v>
      </c>
      <c r="D25" s="13">
        <v>1</v>
      </c>
      <c r="E25" s="13">
        <v>450</v>
      </c>
      <c r="F25" s="16">
        <v>360</v>
      </c>
      <c r="G25" s="13">
        <v>1</v>
      </c>
      <c r="H25" s="13">
        <f>2*1*12</f>
        <v>24</v>
      </c>
      <c r="I25" s="16">
        <f t="shared" si="2"/>
        <v>90</v>
      </c>
      <c r="J25" s="16">
        <f t="shared" si="3"/>
        <v>66</v>
      </c>
    </row>
    <row r="26" s="13" customFormat="1" spans="1:10">
      <c r="A26" s="20">
        <v>45839</v>
      </c>
      <c r="B26" s="19" t="s">
        <v>28</v>
      </c>
      <c r="C26" s="13" t="s">
        <v>18</v>
      </c>
      <c r="D26" s="13">
        <v>2</v>
      </c>
      <c r="E26" s="13">
        <v>11.25</v>
      </c>
      <c r="F26" s="16">
        <v>18</v>
      </c>
      <c r="G26" s="13">
        <v>20</v>
      </c>
      <c r="H26" s="13">
        <f>2*2*2</f>
        <v>8</v>
      </c>
      <c r="I26" s="16">
        <f t="shared" si="2"/>
        <v>-270</v>
      </c>
      <c r="J26" s="16">
        <f t="shared" si="3"/>
        <v>-278</v>
      </c>
    </row>
    <row r="27" s="13" customFormat="1" spans="1:10">
      <c r="A27" s="20">
        <v>45839</v>
      </c>
      <c r="B27" s="19" t="s">
        <v>94</v>
      </c>
      <c r="C27" s="13" t="s">
        <v>24</v>
      </c>
      <c r="D27" s="13">
        <v>4</v>
      </c>
      <c r="E27" s="13">
        <v>37.63</v>
      </c>
      <c r="F27" s="16">
        <f>(65+67*3)/4</f>
        <v>66.5</v>
      </c>
      <c r="G27" s="13">
        <v>5</v>
      </c>
      <c r="H27" s="13">
        <f>2*2*4</f>
        <v>16</v>
      </c>
      <c r="I27" s="16">
        <f t="shared" si="2"/>
        <v>-577.4</v>
      </c>
      <c r="J27" s="16">
        <f t="shared" si="3"/>
        <v>-593.4</v>
      </c>
    </row>
    <row r="28" s="13" customFormat="1" spans="1:10">
      <c r="A28" s="20">
        <v>45840</v>
      </c>
      <c r="B28" s="19" t="s">
        <v>114</v>
      </c>
      <c r="C28" s="13" t="s">
        <v>11</v>
      </c>
      <c r="D28" s="13">
        <v>1</v>
      </c>
      <c r="E28" s="13">
        <v>26.5</v>
      </c>
      <c r="F28" s="16">
        <v>83</v>
      </c>
      <c r="G28" s="13">
        <v>20</v>
      </c>
      <c r="H28" s="13">
        <f>2*1*14</f>
        <v>28</v>
      </c>
      <c r="I28" s="16">
        <f t="shared" si="2"/>
        <v>-1130</v>
      </c>
      <c r="J28" s="16">
        <f t="shared" si="3"/>
        <v>-1158</v>
      </c>
    </row>
    <row r="29" s="13" customFormat="1" spans="1:10">
      <c r="A29" s="20">
        <v>45840</v>
      </c>
      <c r="B29" s="19" t="s">
        <v>115</v>
      </c>
      <c r="C29" s="13" t="s">
        <v>11</v>
      </c>
      <c r="D29" s="13">
        <v>6</v>
      </c>
      <c r="E29" s="13">
        <v>54.36</v>
      </c>
      <c r="F29" s="16">
        <f>(103+104+90.5+90+89*2)/6</f>
        <v>94.25</v>
      </c>
      <c r="G29" s="13">
        <v>20</v>
      </c>
      <c r="H29" s="13">
        <f>2*6*14</f>
        <v>168</v>
      </c>
      <c r="I29" s="16">
        <f t="shared" si="2"/>
        <v>-4786.8</v>
      </c>
      <c r="J29" s="16">
        <f t="shared" si="3"/>
        <v>-4954.8</v>
      </c>
    </row>
    <row r="30" s="13" customFormat="1" spans="1:10">
      <c r="A30" s="20">
        <v>45840</v>
      </c>
      <c r="B30" s="19" t="s">
        <v>116</v>
      </c>
      <c r="C30" s="13" t="s">
        <v>18</v>
      </c>
      <c r="D30" s="13">
        <v>4</v>
      </c>
      <c r="E30" s="13">
        <v>19.75</v>
      </c>
      <c r="F30" s="16">
        <f>(48+47+44*2)/4</f>
        <v>45.75</v>
      </c>
      <c r="G30" s="13">
        <v>20</v>
      </c>
      <c r="H30" s="13">
        <f>2*2*4</f>
        <v>16</v>
      </c>
      <c r="I30" s="16">
        <f t="shared" si="2"/>
        <v>-2080</v>
      </c>
      <c r="J30" s="16">
        <f t="shared" si="3"/>
        <v>-2096</v>
      </c>
    </row>
    <row r="31" s="13" customFormat="1" spans="1:10">
      <c r="A31" s="20">
        <v>45840</v>
      </c>
      <c r="B31" s="19" t="s">
        <v>50</v>
      </c>
      <c r="C31" s="13" t="s">
        <v>24</v>
      </c>
      <c r="D31" s="13">
        <v>1</v>
      </c>
      <c r="E31" s="13">
        <v>35</v>
      </c>
      <c r="F31" s="16">
        <v>30</v>
      </c>
      <c r="G31" s="13">
        <v>16</v>
      </c>
      <c r="H31" s="13">
        <f>2*1*6</f>
        <v>12</v>
      </c>
      <c r="I31" s="16">
        <f t="shared" si="2"/>
        <v>80</v>
      </c>
      <c r="J31" s="16">
        <f t="shared" si="3"/>
        <v>68</v>
      </c>
    </row>
    <row r="32" s="13" customFormat="1" spans="1:10">
      <c r="A32" s="20">
        <v>45840</v>
      </c>
      <c r="B32" s="19" t="s">
        <v>117</v>
      </c>
      <c r="C32" s="13" t="s">
        <v>11</v>
      </c>
      <c r="D32" s="13">
        <v>2</v>
      </c>
      <c r="E32" s="13">
        <v>206</v>
      </c>
      <c r="F32" s="16">
        <v>430</v>
      </c>
      <c r="G32" s="13">
        <v>3</v>
      </c>
      <c r="H32" s="13">
        <f>2*2*8</f>
        <v>32</v>
      </c>
      <c r="I32" s="16">
        <f t="shared" si="2"/>
        <v>-1344</v>
      </c>
      <c r="J32" s="16">
        <f t="shared" si="3"/>
        <v>-1376</v>
      </c>
    </row>
    <row r="33" s="13" customFormat="1" spans="1:10">
      <c r="A33" s="20">
        <v>45840</v>
      </c>
      <c r="B33" s="13" t="s">
        <v>118</v>
      </c>
      <c r="C33" s="13" t="s">
        <v>18</v>
      </c>
      <c r="D33" s="13">
        <v>1</v>
      </c>
      <c r="E33" s="13">
        <v>29.5</v>
      </c>
      <c r="F33" s="16">
        <v>48</v>
      </c>
      <c r="G33" s="13">
        <v>30</v>
      </c>
      <c r="H33" s="13">
        <f>2*1*8</f>
        <v>16</v>
      </c>
      <c r="I33" s="16">
        <f t="shared" si="2"/>
        <v>-555</v>
      </c>
      <c r="J33" s="16">
        <f t="shared" si="3"/>
        <v>-571</v>
      </c>
    </row>
    <row r="34" s="13" customFormat="1" spans="1:10">
      <c r="A34" s="20">
        <v>45840</v>
      </c>
      <c r="B34" s="19" t="s">
        <v>119</v>
      </c>
      <c r="C34" s="13" t="s">
        <v>18</v>
      </c>
      <c r="D34" s="13">
        <v>1</v>
      </c>
      <c r="E34" s="13">
        <v>27</v>
      </c>
      <c r="F34" s="16">
        <v>35</v>
      </c>
      <c r="G34" s="13">
        <v>30</v>
      </c>
      <c r="H34" s="13">
        <f>1*1*8</f>
        <v>8</v>
      </c>
      <c r="I34" s="16">
        <f t="shared" si="2"/>
        <v>-240</v>
      </c>
      <c r="J34" s="16">
        <f t="shared" si="3"/>
        <v>-248</v>
      </c>
    </row>
    <row r="35" s="13" customFormat="1" spans="1:10">
      <c r="A35" s="20">
        <v>45840</v>
      </c>
      <c r="B35" s="21" t="s">
        <v>113</v>
      </c>
      <c r="C35" s="13" t="s">
        <v>11</v>
      </c>
      <c r="D35" s="13">
        <v>1</v>
      </c>
      <c r="E35" s="13">
        <v>71.38</v>
      </c>
      <c r="F35" s="16">
        <v>55</v>
      </c>
      <c r="G35" s="13">
        <v>5</v>
      </c>
      <c r="H35" s="13">
        <f>2*1*8</f>
        <v>16</v>
      </c>
      <c r="I35" s="16">
        <f t="shared" si="2"/>
        <v>81.9</v>
      </c>
      <c r="J35" s="16">
        <f t="shared" si="3"/>
        <v>65.9</v>
      </c>
    </row>
    <row r="36" s="13" customFormat="1" spans="1:10">
      <c r="A36" s="20">
        <v>45841</v>
      </c>
      <c r="B36" s="19" t="s">
        <v>115</v>
      </c>
      <c r="C36" s="13" t="s">
        <v>11</v>
      </c>
      <c r="D36" s="13">
        <v>5</v>
      </c>
      <c r="E36" s="13">
        <v>54.36</v>
      </c>
      <c r="F36" s="16">
        <f>(91+95+96+97+98.5)/5</f>
        <v>95.5</v>
      </c>
      <c r="G36" s="13">
        <v>20</v>
      </c>
      <c r="H36" s="13">
        <f>2*14*5</f>
        <v>140</v>
      </c>
      <c r="I36" s="16">
        <f t="shared" si="2"/>
        <v>-4114</v>
      </c>
      <c r="J36" s="16">
        <f t="shared" si="3"/>
        <v>-4254</v>
      </c>
    </row>
    <row r="37" s="13" customFormat="1" spans="1:10">
      <c r="A37" s="20">
        <v>45841</v>
      </c>
      <c r="B37" s="19" t="s">
        <v>120</v>
      </c>
      <c r="C37" s="13" t="s">
        <v>11</v>
      </c>
      <c r="D37" s="13">
        <v>4</v>
      </c>
      <c r="E37" s="13">
        <f>(170+145+130+144)/4</f>
        <v>147.25</v>
      </c>
      <c r="F37" s="16">
        <f>(190+195+210+160)/4</f>
        <v>188.75</v>
      </c>
      <c r="G37" s="13">
        <v>3</v>
      </c>
      <c r="H37" s="13">
        <f>2*4*8</f>
        <v>64</v>
      </c>
      <c r="I37" s="16">
        <f t="shared" si="2"/>
        <v>-498</v>
      </c>
      <c r="J37" s="16">
        <f t="shared" si="3"/>
        <v>-562</v>
      </c>
    </row>
    <row r="38" s="13" customFormat="1" spans="1:10">
      <c r="A38" s="20">
        <v>45841</v>
      </c>
      <c r="B38" s="19" t="s">
        <v>121</v>
      </c>
      <c r="C38" s="13" t="s">
        <v>18</v>
      </c>
      <c r="D38" s="13">
        <v>4</v>
      </c>
      <c r="E38" s="13">
        <v>48.38</v>
      </c>
      <c r="F38" s="13">
        <f>(61*2+60.5*2)/4</f>
        <v>60.75</v>
      </c>
      <c r="G38" s="13">
        <v>10</v>
      </c>
      <c r="H38" s="13">
        <f>3.2*2*4</f>
        <v>25.6</v>
      </c>
      <c r="I38" s="16">
        <f t="shared" si="2"/>
        <v>-494.8</v>
      </c>
      <c r="J38" s="16">
        <f t="shared" si="3"/>
        <v>-520.4</v>
      </c>
    </row>
    <row r="39" s="13" customFormat="1" spans="1:10">
      <c r="A39" s="20">
        <v>45841</v>
      </c>
      <c r="B39" s="19" t="s">
        <v>122</v>
      </c>
      <c r="C39" s="13" t="s">
        <v>18</v>
      </c>
      <c r="D39" s="13">
        <v>2</v>
      </c>
      <c r="E39" s="13">
        <v>34.75</v>
      </c>
      <c r="F39" s="16">
        <v>42.5</v>
      </c>
      <c r="G39" s="13">
        <v>10</v>
      </c>
      <c r="H39" s="13">
        <f>2*2*3.2</f>
        <v>12.8</v>
      </c>
      <c r="I39" s="16">
        <f t="shared" si="2"/>
        <v>-155</v>
      </c>
      <c r="J39" s="16">
        <f t="shared" si="3"/>
        <v>-167.8</v>
      </c>
    </row>
    <row r="40" s="13" customFormat="1" spans="1:10">
      <c r="A40" s="20">
        <v>45841</v>
      </c>
      <c r="B40" s="19" t="s">
        <v>123</v>
      </c>
      <c r="C40" s="13" t="s">
        <v>18</v>
      </c>
      <c r="D40" s="13">
        <v>1</v>
      </c>
      <c r="E40" s="13">
        <v>24</v>
      </c>
      <c r="F40" s="16">
        <v>29</v>
      </c>
      <c r="G40" s="13">
        <v>10</v>
      </c>
      <c r="H40" s="13">
        <f>2*1*3.2</f>
        <v>6.4</v>
      </c>
      <c r="I40" s="16">
        <f t="shared" si="2"/>
        <v>-50</v>
      </c>
      <c r="J40" s="16">
        <f t="shared" si="3"/>
        <v>-56.4</v>
      </c>
    </row>
    <row r="41" s="13" customFormat="1" spans="1:10">
      <c r="A41" s="20">
        <v>45841</v>
      </c>
      <c r="B41" s="19" t="s">
        <v>124</v>
      </c>
      <c r="C41" s="13" t="s">
        <v>18</v>
      </c>
      <c r="D41" s="13">
        <v>2</v>
      </c>
      <c r="E41" s="13">
        <v>21</v>
      </c>
      <c r="F41" s="16">
        <v>20</v>
      </c>
      <c r="G41" s="13">
        <v>10</v>
      </c>
      <c r="H41" s="13">
        <f>2*2*3.2</f>
        <v>12.8</v>
      </c>
      <c r="I41" s="16">
        <f t="shared" si="2"/>
        <v>20</v>
      </c>
      <c r="J41" s="16">
        <f t="shared" si="3"/>
        <v>7.2</v>
      </c>
    </row>
    <row r="42" s="13" customFormat="1" spans="1:10">
      <c r="A42" s="20">
        <v>45842</v>
      </c>
      <c r="B42" s="19" t="s">
        <v>125</v>
      </c>
      <c r="C42" s="13" t="s">
        <v>24</v>
      </c>
      <c r="D42" s="13">
        <v>5</v>
      </c>
      <c r="E42" s="13">
        <v>56.36</v>
      </c>
      <c r="F42" s="16">
        <v>25</v>
      </c>
      <c r="G42" s="13">
        <v>10</v>
      </c>
      <c r="H42" s="13">
        <f>2*5*2</f>
        <v>20</v>
      </c>
      <c r="I42" s="16">
        <f t="shared" si="2"/>
        <v>1568</v>
      </c>
      <c r="J42" s="16">
        <f t="shared" si="3"/>
        <v>1548</v>
      </c>
    </row>
    <row r="43" s="13" customFormat="1" spans="1:10">
      <c r="A43" s="20">
        <v>45842</v>
      </c>
      <c r="B43" s="19" t="s">
        <v>122</v>
      </c>
      <c r="C43" s="13" t="s">
        <v>18</v>
      </c>
      <c r="D43" s="13">
        <v>2</v>
      </c>
      <c r="E43" s="13">
        <v>34.75</v>
      </c>
      <c r="F43" s="16">
        <f>(45+46.5)/2</f>
        <v>45.75</v>
      </c>
      <c r="G43" s="13">
        <v>10</v>
      </c>
      <c r="H43" s="13">
        <f>3.2*2*2</f>
        <v>12.8</v>
      </c>
      <c r="I43" s="16">
        <f t="shared" si="2"/>
        <v>-220</v>
      </c>
      <c r="J43" s="16">
        <f t="shared" si="3"/>
        <v>-232.8</v>
      </c>
    </row>
    <row r="44" s="13" customFormat="1" spans="1:10">
      <c r="A44" s="20">
        <v>45842</v>
      </c>
      <c r="B44" s="19" t="s">
        <v>123</v>
      </c>
      <c r="C44" s="13" t="s">
        <v>18</v>
      </c>
      <c r="D44" s="13">
        <v>1</v>
      </c>
      <c r="E44" s="13">
        <v>24</v>
      </c>
      <c r="F44" s="16">
        <v>32</v>
      </c>
      <c r="G44" s="13">
        <v>10</v>
      </c>
      <c r="H44" s="13">
        <f>2*1*3.2</f>
        <v>6.4</v>
      </c>
      <c r="I44" s="16">
        <f t="shared" si="2"/>
        <v>-80</v>
      </c>
      <c r="J44" s="16">
        <f t="shared" si="3"/>
        <v>-86.4</v>
      </c>
    </row>
    <row r="45" s="13" customFormat="1" spans="1:10">
      <c r="A45" s="20">
        <v>45842</v>
      </c>
      <c r="B45" s="19" t="s">
        <v>119</v>
      </c>
      <c r="C45" s="13" t="s">
        <v>18</v>
      </c>
      <c r="D45" s="13">
        <v>2</v>
      </c>
      <c r="E45" s="13">
        <v>27</v>
      </c>
      <c r="F45" s="16">
        <f>(47+45.5)/2</f>
        <v>46.25</v>
      </c>
      <c r="G45" s="13">
        <v>30</v>
      </c>
      <c r="H45" s="13">
        <f>2*2*12</f>
        <v>48</v>
      </c>
      <c r="I45" s="16">
        <f t="shared" si="2"/>
        <v>-1155</v>
      </c>
      <c r="J45" s="16">
        <f t="shared" si="3"/>
        <v>-1203</v>
      </c>
    </row>
    <row r="46" s="13" customFormat="1" spans="1:10">
      <c r="A46" s="20">
        <v>45845</v>
      </c>
      <c r="B46" s="19" t="s">
        <v>125</v>
      </c>
      <c r="C46" s="13" t="s">
        <v>24</v>
      </c>
      <c r="D46" s="13">
        <v>30</v>
      </c>
      <c r="E46" s="13">
        <v>56.36</v>
      </c>
      <c r="F46" s="16">
        <f>(72*10+68*5+73.5*15)/30</f>
        <v>72.0833333333333</v>
      </c>
      <c r="G46" s="13">
        <v>10</v>
      </c>
      <c r="H46" s="13">
        <f>2*2*30</f>
        <v>120</v>
      </c>
      <c r="I46" s="16">
        <f t="shared" si="2"/>
        <v>-4717</v>
      </c>
      <c r="J46" s="16">
        <f t="shared" si="3"/>
        <v>-4837</v>
      </c>
    </row>
    <row r="47" s="13" customFormat="1" spans="1:10">
      <c r="A47" s="20">
        <v>45846</v>
      </c>
      <c r="B47" s="19" t="s">
        <v>64</v>
      </c>
      <c r="C47" s="13" t="s">
        <v>45</v>
      </c>
      <c r="D47" s="13">
        <v>4</v>
      </c>
      <c r="E47" s="13">
        <v>290</v>
      </c>
      <c r="F47" s="16">
        <f>(960+920+930+827)/4</f>
        <v>909.25</v>
      </c>
      <c r="G47" s="13">
        <v>3</v>
      </c>
      <c r="H47" s="13">
        <f>2*4*8</f>
        <v>64</v>
      </c>
      <c r="I47" s="16">
        <f t="shared" si="2"/>
        <v>-7431</v>
      </c>
      <c r="J47" s="16">
        <f t="shared" si="3"/>
        <v>-7495</v>
      </c>
    </row>
    <row r="48" s="13" customFormat="1" spans="1:10">
      <c r="A48" s="20">
        <v>45846</v>
      </c>
      <c r="B48" s="19" t="s">
        <v>120</v>
      </c>
      <c r="C48" s="13" t="s">
        <v>11</v>
      </c>
      <c r="D48" s="13">
        <v>1</v>
      </c>
      <c r="E48" s="16">
        <v>250</v>
      </c>
      <c r="F48" s="16">
        <v>0</v>
      </c>
      <c r="G48" s="13">
        <v>3</v>
      </c>
      <c r="H48" s="13">
        <f>2*8</f>
        <v>16</v>
      </c>
      <c r="I48" s="16">
        <f t="shared" si="2"/>
        <v>750</v>
      </c>
      <c r="J48" s="16">
        <f t="shared" si="3"/>
        <v>734</v>
      </c>
    </row>
    <row r="49" s="13" customFormat="1" spans="1:10">
      <c r="A49" s="20">
        <v>45846</v>
      </c>
      <c r="B49" s="19" t="s">
        <v>126</v>
      </c>
      <c r="C49" s="13" t="s">
        <v>11</v>
      </c>
      <c r="D49" s="13">
        <v>8</v>
      </c>
      <c r="E49" s="13">
        <f>(80+78+70*2+72+75+85+101)/8</f>
        <v>78.875</v>
      </c>
      <c r="F49" s="16">
        <v>0</v>
      </c>
      <c r="G49" s="13">
        <v>3</v>
      </c>
      <c r="H49" s="13">
        <f>2*8*8</f>
        <v>128</v>
      </c>
      <c r="I49" s="16">
        <f t="shared" si="2"/>
        <v>1893</v>
      </c>
      <c r="J49" s="16">
        <f t="shared" si="3"/>
        <v>1765</v>
      </c>
    </row>
    <row r="50" s="13" customFormat="1" spans="1:10">
      <c r="A50" s="20">
        <v>45846</v>
      </c>
      <c r="B50" s="19" t="s">
        <v>127</v>
      </c>
      <c r="C50" s="13" t="s">
        <v>11</v>
      </c>
      <c r="D50" s="13">
        <v>4</v>
      </c>
      <c r="E50" s="16">
        <f>(130+115+110*2)/4</f>
        <v>116.25</v>
      </c>
      <c r="F50" s="16">
        <v>0</v>
      </c>
      <c r="G50" s="13">
        <v>3</v>
      </c>
      <c r="H50" s="13">
        <f>2*4*8</f>
        <v>64</v>
      </c>
      <c r="I50" s="16">
        <f t="shared" si="2"/>
        <v>1395</v>
      </c>
      <c r="J50" s="16">
        <f t="shared" si="3"/>
        <v>1331</v>
      </c>
    </row>
    <row r="51" s="13" customFormat="1" spans="1:10">
      <c r="A51" s="20">
        <v>45846</v>
      </c>
      <c r="B51" s="19" t="s">
        <v>128</v>
      </c>
      <c r="C51" s="13" t="s">
        <v>11</v>
      </c>
      <c r="D51" s="13">
        <v>1</v>
      </c>
      <c r="E51" s="16">
        <v>180</v>
      </c>
      <c r="F51" s="16">
        <v>0</v>
      </c>
      <c r="G51" s="13">
        <v>3</v>
      </c>
      <c r="H51" s="13">
        <f>2*8</f>
        <v>16</v>
      </c>
      <c r="I51" s="16">
        <f t="shared" si="2"/>
        <v>540</v>
      </c>
      <c r="J51" s="16">
        <f t="shared" si="3"/>
        <v>524</v>
      </c>
    </row>
    <row r="52" s="13" customFormat="1" spans="1:10">
      <c r="A52" s="20">
        <v>45847</v>
      </c>
      <c r="B52" s="19" t="s">
        <v>129</v>
      </c>
      <c r="C52" s="13" t="s">
        <v>24</v>
      </c>
      <c r="D52" s="13">
        <v>8</v>
      </c>
      <c r="E52" s="13">
        <v>7.19</v>
      </c>
      <c r="F52" s="16">
        <v>15</v>
      </c>
      <c r="G52" s="13">
        <v>10</v>
      </c>
      <c r="H52" s="13">
        <f>2*2.4*8</f>
        <v>38.4</v>
      </c>
      <c r="I52" s="16">
        <f t="shared" si="2"/>
        <v>-624.8</v>
      </c>
      <c r="J52" s="16">
        <f t="shared" si="3"/>
        <v>-663.2</v>
      </c>
    </row>
    <row r="53" s="13" customFormat="1" spans="1:10">
      <c r="A53" s="20">
        <v>45847</v>
      </c>
      <c r="B53" s="19" t="s">
        <v>130</v>
      </c>
      <c r="C53" s="13" t="s">
        <v>45</v>
      </c>
      <c r="D53" s="13">
        <v>2</v>
      </c>
      <c r="E53" s="13">
        <v>1140</v>
      </c>
      <c r="F53" s="16">
        <v>1750</v>
      </c>
      <c r="G53" s="13">
        <v>3</v>
      </c>
      <c r="H53" s="13">
        <f>2*2*8</f>
        <v>32</v>
      </c>
      <c r="I53" s="16">
        <f t="shared" si="2"/>
        <v>-3660</v>
      </c>
      <c r="J53" s="16">
        <f t="shared" si="3"/>
        <v>-3692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abSelected="1" workbookViewId="0">
      <selection activeCell="C28" sqref="C28"/>
    </sheetView>
  </sheetViews>
  <sheetFormatPr defaultColWidth="9" defaultRowHeight="13.5" outlineLevelCol="3"/>
  <cols>
    <col min="1" max="1" width="11.4666666666667" style="8" customWidth="1"/>
    <col min="2" max="2" width="12.2666666666667" style="9" customWidth="1"/>
    <col min="3" max="3" width="9.73333333333333" style="10" customWidth="1"/>
    <col min="4" max="4" width="13.1333333333333" style="1" customWidth="1"/>
  </cols>
  <sheetData>
    <row r="1" s="7" customFormat="1" spans="1:4">
      <c r="A1" s="2" t="s">
        <v>0</v>
      </c>
      <c r="B1" s="11" t="s">
        <v>131</v>
      </c>
      <c r="C1" s="12" t="s">
        <v>132</v>
      </c>
      <c r="D1" s="3" t="s">
        <v>133</v>
      </c>
    </row>
    <row r="2" spans="1:4">
      <c r="A2" s="8">
        <v>45812</v>
      </c>
      <c r="B2" s="9">
        <v>239.9999998</v>
      </c>
      <c r="C2" s="10">
        <f>B2/2000000+1</f>
        <v>1.0001199999999</v>
      </c>
      <c r="D2" s="1">
        <v>2000000</v>
      </c>
    </row>
    <row r="3" spans="1:3">
      <c r="A3" s="8">
        <v>45813</v>
      </c>
      <c r="B3" s="9">
        <v>262.49999999</v>
      </c>
      <c r="C3" s="10">
        <f>(B3-B2)/2000000+C2</f>
        <v>1.00013125</v>
      </c>
    </row>
    <row r="4" spans="1:3">
      <c r="A4" s="8">
        <v>45814</v>
      </c>
      <c r="B4" s="9">
        <v>239.9999998</v>
      </c>
      <c r="C4" s="10">
        <f t="shared" ref="C4:C16" si="0">(B4-B3)/(2000000)+C3</f>
        <v>1.0001199999999</v>
      </c>
    </row>
    <row r="5" spans="1:3">
      <c r="A5" s="8">
        <v>45817</v>
      </c>
      <c r="B5" s="9">
        <v>752.7989998</v>
      </c>
      <c r="C5" s="10">
        <f t="shared" si="0"/>
        <v>1.0003763994999</v>
      </c>
    </row>
    <row r="6" spans="1:3">
      <c r="A6" s="8">
        <v>45818</v>
      </c>
      <c r="B6" s="9">
        <v>1359.2999998</v>
      </c>
      <c r="C6" s="10">
        <f t="shared" si="0"/>
        <v>1.0006796499999</v>
      </c>
    </row>
    <row r="7" spans="1:3">
      <c r="A7" s="8">
        <v>45819</v>
      </c>
      <c r="B7" s="9">
        <v>1484.34</v>
      </c>
      <c r="C7" s="10">
        <f t="shared" si="0"/>
        <v>1.00074217</v>
      </c>
    </row>
    <row r="8" spans="1:3">
      <c r="A8" s="8">
        <v>45820</v>
      </c>
      <c r="B8" s="9">
        <v>2633.3429998</v>
      </c>
      <c r="C8" s="10">
        <f t="shared" si="0"/>
        <v>1.0013166714999</v>
      </c>
    </row>
    <row r="9" spans="1:3">
      <c r="A9" s="8">
        <v>45821</v>
      </c>
      <c r="B9" s="9">
        <v>-170</v>
      </c>
      <c r="C9" s="10">
        <f t="shared" si="0"/>
        <v>0.999915</v>
      </c>
    </row>
    <row r="10" spans="1:3">
      <c r="A10" s="8">
        <v>45824</v>
      </c>
      <c r="B10" s="9">
        <v>-128</v>
      </c>
      <c r="C10" s="10">
        <f t="shared" si="0"/>
        <v>0.999936</v>
      </c>
    </row>
    <row r="11" spans="1:3">
      <c r="A11" s="8">
        <v>45825</v>
      </c>
      <c r="B11" s="9">
        <v>-117.6</v>
      </c>
      <c r="C11" s="10">
        <f t="shared" si="0"/>
        <v>0.9999412</v>
      </c>
    </row>
    <row r="12" spans="1:3">
      <c r="A12" s="8">
        <v>45826</v>
      </c>
      <c r="B12" s="9">
        <v>-3945.51</v>
      </c>
      <c r="C12" s="10">
        <f t="shared" si="0"/>
        <v>0.998027245</v>
      </c>
    </row>
    <row r="13" spans="1:3">
      <c r="A13" s="8">
        <v>45827</v>
      </c>
      <c r="B13" s="9">
        <v>-1900.48</v>
      </c>
      <c r="C13" s="10">
        <f t="shared" si="0"/>
        <v>0.99904976</v>
      </c>
    </row>
    <row r="14" spans="1:3">
      <c r="A14" s="8">
        <v>45828</v>
      </c>
      <c r="B14" s="9">
        <v>-1472.95</v>
      </c>
      <c r="C14" s="10">
        <f t="shared" si="0"/>
        <v>0.999263525</v>
      </c>
    </row>
    <row r="15" spans="1:3">
      <c r="A15" s="8">
        <v>45831</v>
      </c>
      <c r="B15" s="9">
        <v>1643.05</v>
      </c>
      <c r="C15" s="10">
        <f t="shared" si="0"/>
        <v>1.000821525</v>
      </c>
    </row>
    <row r="16" spans="1:3">
      <c r="A16" s="8">
        <v>45832</v>
      </c>
      <c r="B16" s="9">
        <v>-634.45</v>
      </c>
      <c r="C16" s="10">
        <f t="shared" si="0"/>
        <v>0.999682775</v>
      </c>
    </row>
    <row r="17" spans="1:4">
      <c r="A17" s="8">
        <v>45833</v>
      </c>
      <c r="B17" s="9">
        <v>464</v>
      </c>
      <c r="C17" s="10">
        <f>(B17-B16)/(2000000+2320000)+C16</f>
        <v>0.999937045833333</v>
      </c>
      <c r="D17" s="1">
        <v>2280000</v>
      </c>
    </row>
    <row r="18" spans="1:3">
      <c r="A18" s="8">
        <v>45834</v>
      </c>
      <c r="B18" s="9">
        <v>842.75</v>
      </c>
      <c r="C18" s="10">
        <f>(B18-B17)/(4280000)+C17</f>
        <v>1.00002553882399</v>
      </c>
    </row>
    <row r="19" spans="1:3">
      <c r="A19" s="8">
        <v>45835</v>
      </c>
      <c r="B19" s="9">
        <v>-1139.17</v>
      </c>
      <c r="C19" s="10">
        <f>(B19-B18)/(4280000)+C18</f>
        <v>0.999562473403429</v>
      </c>
    </row>
    <row r="20" spans="1:4">
      <c r="A20" s="8">
        <v>45838</v>
      </c>
      <c r="B20" s="9">
        <v>5373.43</v>
      </c>
      <c r="C20" s="10">
        <f t="shared" ref="C20:C26" si="1">(B20-B19)/(4280000+154243)+C19</f>
        <v>1.00103117956139</v>
      </c>
      <c r="D20" s="1">
        <v>154243</v>
      </c>
    </row>
    <row r="21" spans="1:3">
      <c r="A21" s="8">
        <v>45839</v>
      </c>
      <c r="B21" s="9">
        <v>9187.48</v>
      </c>
      <c r="C21" s="10">
        <f t="shared" si="1"/>
        <v>1.001891315102</v>
      </c>
    </row>
    <row r="22" spans="1:3">
      <c r="A22" s="8">
        <v>45840</v>
      </c>
      <c r="B22" s="9">
        <v>5384.54</v>
      </c>
      <c r="C22" s="10">
        <f t="shared" si="1"/>
        <v>1.00103368506233</v>
      </c>
    </row>
    <row r="23" spans="1:3">
      <c r="A23" s="8">
        <v>45841</v>
      </c>
      <c r="B23" s="9">
        <v>7965.38</v>
      </c>
      <c r="C23" s="10">
        <f t="shared" si="1"/>
        <v>1.00161570999872</v>
      </c>
    </row>
    <row r="24" spans="1:3">
      <c r="A24" s="8">
        <v>45842</v>
      </c>
      <c r="B24" s="9">
        <v>14575.42</v>
      </c>
      <c r="C24" s="10">
        <f t="shared" si="1"/>
        <v>1.00310639059516</v>
      </c>
    </row>
    <row r="25" spans="1:3">
      <c r="A25" s="8">
        <v>45845</v>
      </c>
      <c r="B25" s="9">
        <v>2242.28</v>
      </c>
      <c r="C25" s="10">
        <f t="shared" si="1"/>
        <v>1.00032505001459</v>
      </c>
    </row>
    <row r="26" spans="1:3">
      <c r="A26" s="8">
        <v>45846</v>
      </c>
      <c r="B26" s="9">
        <v>2904.28</v>
      </c>
      <c r="C26" s="10">
        <f>(B26-B25)/(4280000+154243)+C25</f>
        <v>1.0004743426898</v>
      </c>
    </row>
    <row r="27" spans="1:4">
      <c r="A27" s="8">
        <v>45847</v>
      </c>
      <c r="B27" s="9">
        <v>8975.78</v>
      </c>
      <c r="C27" s="10">
        <f>(B27-B26)/(4280000+154243+2356007)+C26</f>
        <v>1.00136849238974</v>
      </c>
      <c r="D27" s="1">
        <v>2356007.01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9" sqref="B9"/>
    </sheetView>
  </sheetViews>
  <sheetFormatPr defaultColWidth="9" defaultRowHeight="13.5" outlineLevelRow="3" outlineLevelCol="1"/>
  <cols>
    <col min="1" max="1" width="13.1333333333333" customWidth="1"/>
    <col min="2" max="2" width="12.75" style="1" customWidth="1"/>
  </cols>
  <sheetData>
    <row r="1" spans="1:2">
      <c r="A1" s="2" t="s">
        <v>0</v>
      </c>
      <c r="B1" s="3" t="s">
        <v>134</v>
      </c>
    </row>
    <row r="2" spans="1:2">
      <c r="A2" s="4">
        <v>45812</v>
      </c>
      <c r="B2" s="5">
        <v>2000000</v>
      </c>
    </row>
    <row r="3" spans="1:2">
      <c r="A3" s="6">
        <v>45833</v>
      </c>
      <c r="B3" s="1">
        <v>2280000</v>
      </c>
    </row>
    <row r="4" spans="1:2">
      <c r="A4" s="6">
        <v>45838</v>
      </c>
      <c r="B4" s="1">
        <v>154243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持有</vt:lpstr>
      <vt:lpstr>已平仓</vt:lpstr>
      <vt:lpstr>总盈亏</vt:lpstr>
      <vt:lpstr>资金变动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2025-06-04T07:08:00Z</dcterms:created>
  <dcterms:modified xsi:type="dcterms:W3CDTF">2025-07-09T10:34:18Z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863C69D4CD2B41F58467AFEA7FCA8BCB</vt:lpwstr>
  </property>
  <property fmtid="{D5CDD505-2E9C-101B-9397-08002B2CF9AE}" pid="3" name="KSOProductBuildVer">
    <vt:lpwstr>2052-11.1.0.12173</vt:lpwstr>
  </property>
</Properties>
</file>