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925"/>
  <workbookPr/>
  <mc:AlternateContent xmlns:mc="http://schemas.openxmlformats.org/markup-compatibility/2006">
    <mc:Choice Requires="x15">
      <x15ac:absPath xmlns:x15ac="http://schemas.microsoft.com/office/spreadsheetml/2010/11/ac" url="C:\Users\Astra\Desktop\Files\"/>
    </mc:Choice>
  </mc:AlternateContent>
  <xr:revisionPtr revIDLastSave="0" documentId="13_ncr:1_{1A8B087B-5696-4A1C-A1D7-FBB0327B8E0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持有" sheetId="1" r:id="rId1"/>
    <sheet name="已平仓" sheetId="3" r:id="rId2"/>
    <sheet name="总盈亏" sheetId="2" r:id="rId3"/>
    <sheet name="资金变动" sheetId="4" r:id="rId4"/>
  </sheets>
  <definedNames>
    <definedName name="_xlnm._FilterDatabase" localSheetId="0" hidden="1">持有!$A$1:$K$80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6" i="1" l="1"/>
  <c r="C95" i="1"/>
  <c r="F28" i="2"/>
  <c r="C28" i="2"/>
  <c r="C27" i="2"/>
  <c r="J3" i="1"/>
  <c r="K3" i="1" s="1"/>
  <c r="J4" i="1"/>
  <c r="K4" i="1" s="1"/>
  <c r="J5" i="1"/>
  <c r="K5" i="1" s="1"/>
  <c r="J6" i="1"/>
  <c r="K6" i="1" s="1"/>
  <c r="J7" i="1"/>
  <c r="K7" i="1"/>
  <c r="J8" i="1"/>
  <c r="K8" i="1"/>
  <c r="J9" i="1"/>
  <c r="K9" i="1"/>
  <c r="J10" i="1"/>
  <c r="K10" i="1" s="1"/>
  <c r="J11" i="1"/>
  <c r="K11" i="1" s="1"/>
  <c r="J12" i="1"/>
  <c r="K12" i="1"/>
  <c r="J13" i="1"/>
  <c r="K13" i="1"/>
  <c r="J14" i="1"/>
  <c r="K14" i="1"/>
  <c r="J15" i="1"/>
  <c r="K15" i="1"/>
  <c r="J16" i="1"/>
  <c r="K16" i="1" s="1"/>
  <c r="J17" i="1"/>
  <c r="K17" i="1" s="1"/>
  <c r="J18" i="1"/>
  <c r="K18" i="1" s="1"/>
  <c r="J19" i="1"/>
  <c r="K19" i="1"/>
  <c r="J20" i="1"/>
  <c r="K20" i="1" s="1"/>
  <c r="J21" i="1"/>
  <c r="K21" i="1" s="1"/>
  <c r="J22" i="1"/>
  <c r="K22" i="1" s="1"/>
  <c r="J23" i="1"/>
  <c r="K23" i="1"/>
  <c r="J24" i="1"/>
  <c r="K24" i="1" s="1"/>
  <c r="J25" i="1"/>
  <c r="K25" i="1"/>
  <c r="J26" i="1"/>
  <c r="K26" i="1"/>
  <c r="J27" i="1"/>
  <c r="K27" i="1"/>
  <c r="J28" i="1"/>
  <c r="K28" i="1" s="1"/>
  <c r="J29" i="1"/>
  <c r="K29" i="1"/>
  <c r="J30" i="1"/>
  <c r="K30" i="1" s="1"/>
  <c r="J31" i="1"/>
  <c r="K31" i="1" s="1"/>
  <c r="J32" i="1"/>
  <c r="K32" i="1"/>
  <c r="J33" i="1"/>
  <c r="K33" i="1" s="1"/>
  <c r="J34" i="1"/>
  <c r="K34" i="1" s="1"/>
  <c r="J35" i="1"/>
  <c r="K35" i="1"/>
  <c r="J36" i="1"/>
  <c r="K36" i="1" s="1"/>
  <c r="J37" i="1"/>
  <c r="K37" i="1" s="1"/>
  <c r="J38" i="1"/>
  <c r="K38" i="1" s="1"/>
  <c r="J39" i="1"/>
  <c r="K39" i="1"/>
  <c r="J40" i="1"/>
  <c r="K40" i="1" s="1"/>
  <c r="J41" i="1"/>
  <c r="K41" i="1" s="1"/>
  <c r="J42" i="1"/>
  <c r="K42" i="1"/>
  <c r="J43" i="1"/>
  <c r="K43" i="1" s="1"/>
  <c r="J44" i="1"/>
  <c r="K44" i="1" s="1"/>
  <c r="J45" i="1"/>
  <c r="K45" i="1" s="1"/>
  <c r="J46" i="1"/>
  <c r="K46" i="1" s="1"/>
  <c r="J47" i="1"/>
  <c r="K47" i="1" s="1"/>
  <c r="J48" i="1"/>
  <c r="K48" i="1"/>
  <c r="J49" i="1"/>
  <c r="K49" i="1" s="1"/>
  <c r="J50" i="1"/>
  <c r="K50" i="1" s="1"/>
  <c r="J51" i="1"/>
  <c r="K51" i="1"/>
  <c r="J52" i="1"/>
  <c r="K52" i="1" s="1"/>
  <c r="J53" i="1"/>
  <c r="K53" i="1"/>
  <c r="J54" i="1"/>
  <c r="K54" i="1" s="1"/>
  <c r="J55" i="1"/>
  <c r="K55" i="1"/>
  <c r="J56" i="1"/>
  <c r="K56" i="1" s="1"/>
  <c r="J57" i="1"/>
  <c r="K57" i="1" s="1"/>
  <c r="J58" i="1"/>
  <c r="K58" i="1" s="1"/>
  <c r="J59" i="1"/>
  <c r="K59" i="1"/>
  <c r="J60" i="1"/>
  <c r="K60" i="1" s="1"/>
  <c r="J61" i="1"/>
  <c r="K61" i="1" s="1"/>
  <c r="J62" i="1"/>
  <c r="K62" i="1"/>
  <c r="J63" i="1"/>
  <c r="K63" i="1" s="1"/>
  <c r="J64" i="1"/>
  <c r="K64" i="1" s="1"/>
  <c r="J65" i="1"/>
  <c r="K65" i="1" s="1"/>
  <c r="J66" i="1"/>
  <c r="K66" i="1"/>
  <c r="J67" i="1"/>
  <c r="K67" i="1"/>
  <c r="J68" i="1"/>
  <c r="K68" i="1" s="1"/>
  <c r="J69" i="1"/>
  <c r="K69" i="1" s="1"/>
  <c r="J70" i="1"/>
  <c r="K70" i="1" s="1"/>
  <c r="J71" i="1"/>
  <c r="K71" i="1"/>
  <c r="J72" i="1"/>
  <c r="K72" i="1"/>
  <c r="J73" i="1"/>
  <c r="K73" i="1" s="1"/>
  <c r="J74" i="1"/>
  <c r="K74" i="1"/>
  <c r="J75" i="1"/>
  <c r="K75" i="1" s="1"/>
  <c r="J76" i="1"/>
  <c r="K76" i="1" s="1"/>
  <c r="J77" i="1"/>
  <c r="K77" i="1"/>
  <c r="J78" i="1"/>
  <c r="K78" i="1"/>
  <c r="J79" i="1"/>
  <c r="K79" i="1"/>
  <c r="J80" i="1"/>
  <c r="K80" i="1" s="1"/>
  <c r="J81" i="1"/>
  <c r="K81" i="1"/>
  <c r="J82" i="1"/>
  <c r="K82" i="1" s="1"/>
  <c r="J83" i="1"/>
  <c r="K83" i="1" s="1"/>
  <c r="J84" i="1"/>
  <c r="K84" i="1"/>
  <c r="J85" i="1"/>
  <c r="K85" i="1"/>
  <c r="J86" i="1"/>
  <c r="K86" i="1"/>
  <c r="L87" i="1"/>
  <c r="M87" i="1" s="1"/>
  <c r="L88" i="1"/>
  <c r="M88" i="1" s="1"/>
  <c r="L89" i="1"/>
  <c r="M89" i="1" s="1"/>
  <c r="L90" i="1"/>
  <c r="M90" i="1"/>
  <c r="L91" i="1"/>
  <c r="M91" i="1"/>
  <c r="L92" i="1"/>
  <c r="M92" i="1"/>
  <c r="E60" i="3"/>
  <c r="I53" i="3"/>
  <c r="E59" i="3"/>
  <c r="I59" i="3" s="1"/>
  <c r="J59" i="3" s="1"/>
  <c r="E58" i="3"/>
  <c r="H57" i="3"/>
  <c r="E57" i="3"/>
  <c r="I57" i="3" s="1"/>
  <c r="H56" i="3"/>
  <c r="I57" i="1"/>
  <c r="I55" i="3"/>
  <c r="J55" i="3" s="1"/>
  <c r="I56" i="3"/>
  <c r="J56" i="3" s="1"/>
  <c r="I58" i="3"/>
  <c r="J58" i="3" s="1"/>
  <c r="I60" i="3"/>
  <c r="J60" i="3" s="1"/>
  <c r="I61" i="3"/>
  <c r="J61" i="3" s="1"/>
  <c r="I54" i="3"/>
  <c r="J54" i="3" s="1"/>
  <c r="I87" i="1"/>
  <c r="I88" i="1"/>
  <c r="I89" i="1"/>
  <c r="I90" i="1"/>
  <c r="F87" i="1"/>
  <c r="F88" i="1"/>
  <c r="F89" i="1"/>
  <c r="F90" i="1"/>
  <c r="F11" i="1"/>
  <c r="F14" i="1"/>
  <c r="C2" i="2"/>
  <c r="C3" i="2" s="1"/>
  <c r="C4" i="2" s="1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J53" i="3"/>
  <c r="H53" i="3"/>
  <c r="I52" i="3"/>
  <c r="J52" i="3" s="1"/>
  <c r="H52" i="3"/>
  <c r="I51" i="3"/>
  <c r="J51" i="3" s="1"/>
  <c r="H51" i="3"/>
  <c r="H50" i="3"/>
  <c r="E50" i="3"/>
  <c r="I50" i="3" s="1"/>
  <c r="J50" i="3" s="1"/>
  <c r="H49" i="3"/>
  <c r="E49" i="3"/>
  <c r="I49" i="3" s="1"/>
  <c r="J49" i="3" s="1"/>
  <c r="I48" i="3"/>
  <c r="H48" i="3"/>
  <c r="H47" i="3"/>
  <c r="F47" i="3"/>
  <c r="I47" i="3" s="1"/>
  <c r="J47" i="3" s="1"/>
  <c r="H46" i="3"/>
  <c r="F46" i="3"/>
  <c r="I46" i="3" s="1"/>
  <c r="J46" i="3" s="1"/>
  <c r="H45" i="3"/>
  <c r="F45" i="3"/>
  <c r="I45" i="3" s="1"/>
  <c r="J45" i="3" s="1"/>
  <c r="I44" i="3"/>
  <c r="J44" i="3" s="1"/>
  <c r="H44" i="3"/>
  <c r="I43" i="3"/>
  <c r="J43" i="3" s="1"/>
  <c r="H43" i="3"/>
  <c r="F43" i="3"/>
  <c r="I42" i="3"/>
  <c r="J42" i="3" s="1"/>
  <c r="H42" i="3"/>
  <c r="I41" i="3"/>
  <c r="J41" i="3" s="1"/>
  <c r="H41" i="3"/>
  <c r="I40" i="3"/>
  <c r="J40" i="3" s="1"/>
  <c r="H40" i="3"/>
  <c r="I39" i="3"/>
  <c r="J39" i="3" s="1"/>
  <c r="H39" i="3"/>
  <c r="H38" i="3"/>
  <c r="F38" i="3"/>
  <c r="I38" i="3" s="1"/>
  <c r="J38" i="3" s="1"/>
  <c r="H37" i="3"/>
  <c r="F37" i="3"/>
  <c r="E37" i="3"/>
  <c r="I37" i="3" s="1"/>
  <c r="J37" i="3" s="1"/>
  <c r="I36" i="3"/>
  <c r="J36" i="3" s="1"/>
  <c r="H36" i="3"/>
  <c r="F36" i="3"/>
  <c r="I35" i="3"/>
  <c r="J35" i="3" s="1"/>
  <c r="H35" i="3"/>
  <c r="I34" i="3"/>
  <c r="J34" i="3" s="1"/>
  <c r="H34" i="3"/>
  <c r="I33" i="3"/>
  <c r="J33" i="3" s="1"/>
  <c r="H33" i="3"/>
  <c r="I32" i="3"/>
  <c r="J32" i="3" s="1"/>
  <c r="H32" i="3"/>
  <c r="I31" i="3"/>
  <c r="J31" i="3" s="1"/>
  <c r="H31" i="3"/>
  <c r="H30" i="3"/>
  <c r="F30" i="3"/>
  <c r="I30" i="3" s="1"/>
  <c r="J30" i="3" s="1"/>
  <c r="I29" i="3"/>
  <c r="J29" i="3" s="1"/>
  <c r="H29" i="3"/>
  <c r="F29" i="3"/>
  <c r="I28" i="3"/>
  <c r="J28" i="3" s="1"/>
  <c r="H28" i="3"/>
  <c r="I27" i="3"/>
  <c r="J27" i="3" s="1"/>
  <c r="H27" i="3"/>
  <c r="F27" i="3"/>
  <c r="I26" i="3"/>
  <c r="J26" i="3" s="1"/>
  <c r="H26" i="3"/>
  <c r="I25" i="3"/>
  <c r="J25" i="3" s="1"/>
  <c r="H25" i="3"/>
  <c r="I24" i="3"/>
  <c r="J24" i="3" s="1"/>
  <c r="H24" i="3"/>
  <c r="H23" i="3"/>
  <c r="F23" i="3"/>
  <c r="I23" i="3" s="1"/>
  <c r="J23" i="3" s="1"/>
  <c r="I22" i="3"/>
  <c r="J22" i="3" s="1"/>
  <c r="H22" i="3"/>
  <c r="F22" i="3"/>
  <c r="H21" i="3"/>
  <c r="F21" i="3"/>
  <c r="I21" i="3" s="1"/>
  <c r="J21" i="3" s="1"/>
  <c r="I20" i="3"/>
  <c r="J20" i="3" s="1"/>
  <c r="H20" i="3"/>
  <c r="I19" i="3"/>
  <c r="J19" i="3" s="1"/>
  <c r="H19" i="3"/>
  <c r="I18" i="3"/>
  <c r="J18" i="3" s="1"/>
  <c r="H18" i="3"/>
  <c r="I17" i="3"/>
  <c r="J17" i="3" s="1"/>
  <c r="H17" i="3"/>
  <c r="I16" i="3"/>
  <c r="J16" i="3" s="1"/>
  <c r="H16" i="3"/>
  <c r="I15" i="3"/>
  <c r="J15" i="3" s="1"/>
  <c r="H15" i="3"/>
  <c r="I14" i="3"/>
  <c r="J14" i="3" s="1"/>
  <c r="I13" i="3"/>
  <c r="J13" i="3" s="1"/>
  <c r="E12" i="3"/>
  <c r="I12" i="3" s="1"/>
  <c r="J12" i="3" s="1"/>
  <c r="I11" i="3"/>
  <c r="H11" i="3"/>
  <c r="J11" i="3" s="1"/>
  <c r="I10" i="3"/>
  <c r="J10" i="3" s="1"/>
  <c r="H10" i="3"/>
  <c r="F10" i="3"/>
  <c r="I9" i="3"/>
  <c r="H9" i="3"/>
  <c r="J9" i="3" s="1"/>
  <c r="I8" i="3"/>
  <c r="J8" i="3" s="1"/>
  <c r="H8" i="3"/>
  <c r="I7" i="3"/>
  <c r="J7" i="3" s="1"/>
  <c r="H7" i="3"/>
  <c r="I6" i="3"/>
  <c r="J6" i="3" s="1"/>
  <c r="H6" i="3"/>
  <c r="I5" i="3"/>
  <c r="H5" i="3"/>
  <c r="I4" i="3"/>
  <c r="J4" i="3" s="1"/>
  <c r="H4" i="3"/>
  <c r="I3" i="3"/>
  <c r="J3" i="3" s="1"/>
  <c r="H3" i="3"/>
  <c r="I2" i="3"/>
  <c r="J2" i="3" s="1"/>
  <c r="H2" i="3"/>
  <c r="I86" i="1"/>
  <c r="I81" i="1"/>
  <c r="F81" i="1"/>
  <c r="I80" i="1"/>
  <c r="F80" i="1"/>
  <c r="I78" i="1"/>
  <c r="F78" i="1"/>
  <c r="I77" i="1"/>
  <c r="F77" i="1"/>
  <c r="I76" i="1"/>
  <c r="F76" i="1"/>
  <c r="I75" i="1"/>
  <c r="F75" i="1"/>
  <c r="I73" i="1"/>
  <c r="I71" i="1"/>
  <c r="F71" i="1"/>
  <c r="I69" i="1"/>
  <c r="F69" i="1"/>
  <c r="I68" i="1"/>
  <c r="F68" i="1"/>
  <c r="I67" i="1"/>
  <c r="F67" i="1"/>
  <c r="I66" i="1"/>
  <c r="F66" i="1"/>
  <c r="I64" i="1"/>
  <c r="F64" i="1"/>
  <c r="I63" i="1"/>
  <c r="F63" i="1"/>
  <c r="I58" i="1"/>
  <c r="I52" i="1"/>
  <c r="F52" i="1"/>
  <c r="I51" i="1"/>
  <c r="I49" i="1"/>
  <c r="I48" i="1"/>
  <c r="F48" i="1"/>
  <c r="I46" i="1"/>
  <c r="F46" i="1"/>
  <c r="I45" i="1"/>
  <c r="F44" i="1"/>
  <c r="I42" i="1"/>
  <c r="I41" i="1"/>
  <c r="F41" i="1"/>
  <c r="I33" i="1"/>
  <c r="F33" i="1"/>
  <c r="I32" i="1"/>
  <c r="F32" i="1"/>
  <c r="I31" i="1"/>
  <c r="F31" i="1"/>
  <c r="I30" i="1"/>
  <c r="I29" i="1"/>
  <c r="F29" i="1"/>
  <c r="I26" i="1"/>
  <c r="I25" i="1"/>
  <c r="F25" i="1"/>
  <c r="I24" i="1"/>
  <c r="I23" i="1"/>
  <c r="F23" i="1"/>
  <c r="I22" i="1"/>
  <c r="F22" i="1"/>
  <c r="I19" i="1"/>
  <c r="I17" i="1"/>
  <c r="F17" i="1"/>
  <c r="I16" i="1"/>
  <c r="F16" i="1"/>
  <c r="I15" i="1"/>
  <c r="I14" i="1"/>
  <c r="I13" i="1"/>
  <c r="I11" i="1"/>
  <c r="I9" i="1"/>
  <c r="F9" i="1"/>
  <c r="I8" i="1"/>
  <c r="F8" i="1"/>
  <c r="I7" i="1"/>
  <c r="F7" i="1"/>
  <c r="I6" i="1"/>
  <c r="F6" i="1"/>
  <c r="I4" i="1"/>
  <c r="F4" i="1"/>
  <c r="J2" i="1"/>
  <c r="K2" i="1" s="1"/>
  <c r="J57" i="3" l="1"/>
  <c r="J5" i="3"/>
  <c r="J48" i="3"/>
</calcChain>
</file>

<file path=xl/sharedStrings.xml><?xml version="1.0" encoding="utf-8"?>
<sst xmlns="http://schemas.openxmlformats.org/spreadsheetml/2006/main" count="430" uniqueCount="159">
  <si>
    <t>日期</t>
  </si>
  <si>
    <t>期权合约代码</t>
  </si>
  <si>
    <t>负责人</t>
  </si>
  <si>
    <t>手数</t>
  </si>
  <si>
    <t>平均开仓期权价</t>
  </si>
  <si>
    <t>期权收盘价（当日15:00)</t>
  </si>
  <si>
    <t>交易单位</t>
  </si>
  <si>
    <t>手续费（买入）</t>
  </si>
  <si>
    <t>净浮动盈亏</t>
  </si>
  <si>
    <t>浮动盈亏（包含手续费）</t>
  </si>
  <si>
    <t>ag2508C9100</t>
  </si>
  <si>
    <t>程</t>
  </si>
  <si>
    <t>ag2508C9300</t>
  </si>
  <si>
    <t>ag2508P7800</t>
  </si>
  <si>
    <t>ag2508P8100</t>
  </si>
  <si>
    <t>ao2509P2750</t>
  </si>
  <si>
    <t>ao2509P2800</t>
  </si>
  <si>
    <t>CF509P12400</t>
  </si>
  <si>
    <t>梁</t>
  </si>
  <si>
    <t>CF509P12800</t>
  </si>
  <si>
    <t>CJ509P8900</t>
  </si>
  <si>
    <t>CJ509P9000</t>
  </si>
  <si>
    <t>CJ509P9100</t>
  </si>
  <si>
    <t>eb2508-C-7600</t>
  </si>
  <si>
    <t>叶</t>
  </si>
  <si>
    <t>eb2508-P-7100</t>
  </si>
  <si>
    <t>eb2508-P-7200</t>
  </si>
  <si>
    <t>FG509P1000</t>
  </si>
  <si>
    <t>FG509P940</t>
  </si>
  <si>
    <t>i2509-P-640</t>
  </si>
  <si>
    <t>i2509-P-660</t>
  </si>
  <si>
    <t>i2509-P-670</t>
  </si>
  <si>
    <t>i2509-P-690</t>
  </si>
  <si>
    <t>i2509-P-700</t>
  </si>
  <si>
    <t>jd2508-C-3550</t>
  </si>
  <si>
    <t>jd2508-C-3600</t>
  </si>
  <si>
    <t>jd2508-P-3400</t>
  </si>
  <si>
    <t>jd2509-C-3900</t>
  </si>
  <si>
    <t>jd2509-P-3400</t>
  </si>
  <si>
    <t>jd2509-P-3450</t>
  </si>
  <si>
    <t>jd2509-P-3500</t>
  </si>
  <si>
    <t>jd2509-P-3550</t>
  </si>
  <si>
    <t>lc2509-P-57000</t>
  </si>
  <si>
    <t>lc2509-P-58000</t>
  </si>
  <si>
    <t>lc2509-P-60000</t>
  </si>
  <si>
    <t>陈</t>
  </si>
  <si>
    <t>lc2511</t>
  </si>
  <si>
    <t>lc2511-P-60000</t>
  </si>
  <si>
    <t>lg2509-P-750</t>
  </si>
  <si>
    <t>lg2509-P-775</t>
  </si>
  <si>
    <t>lh2509-P-13200</t>
  </si>
  <si>
    <t>lh2509-P-13400</t>
  </si>
  <si>
    <t>lh2509-P-13600</t>
  </si>
  <si>
    <t>m2509-C-3050</t>
  </si>
  <si>
    <t>m2509-C-3150</t>
  </si>
  <si>
    <t>m2509-P-2800</t>
  </si>
  <si>
    <t>m2601-P-2800</t>
  </si>
  <si>
    <t>m2601-P-2900</t>
  </si>
  <si>
    <t>MA509P2200</t>
  </si>
  <si>
    <t>MA509P2350</t>
  </si>
  <si>
    <t>OI509P8800</t>
  </si>
  <si>
    <t>pb2508P16400</t>
  </si>
  <si>
    <t>PK510C8700</t>
  </si>
  <si>
    <t>PK510C8800</t>
  </si>
  <si>
    <t>ps2509-C-40000</t>
  </si>
  <si>
    <t>ps2509-C-41000</t>
  </si>
  <si>
    <t>ps2509-C-42000</t>
  </si>
  <si>
    <t>ps2509-P-32000</t>
  </si>
  <si>
    <t>ps2509-P-35000</t>
  </si>
  <si>
    <t>ps2509-P-35500</t>
  </si>
  <si>
    <t>rb2510P2850</t>
  </si>
  <si>
    <t>rb2510P2900</t>
  </si>
  <si>
    <t>RM509P2450</t>
  </si>
  <si>
    <t>RM509P2500</t>
  </si>
  <si>
    <t>SF509P5000</t>
  </si>
  <si>
    <t>SH509C2560</t>
  </si>
  <si>
    <t>SH509P2160</t>
  </si>
  <si>
    <t>SH509P2240</t>
  </si>
  <si>
    <t>SH509P2280</t>
  </si>
  <si>
    <t>SM509P5300</t>
  </si>
  <si>
    <t>sn2508P245000</t>
  </si>
  <si>
    <t>SR509C6200</t>
  </si>
  <si>
    <t>TA509C5100</t>
  </si>
  <si>
    <t>TA509C5200</t>
  </si>
  <si>
    <t>TA509C5300</t>
  </si>
  <si>
    <t>TA509C5400</t>
  </si>
  <si>
    <t>TA509C5500</t>
  </si>
  <si>
    <t>TA509P4400</t>
  </si>
  <si>
    <t>TA509P4500</t>
  </si>
  <si>
    <t>TA509P4550</t>
  </si>
  <si>
    <t>TA509P4600</t>
  </si>
  <si>
    <t>UR509C1800</t>
  </si>
  <si>
    <t>UR509P1640</t>
  </si>
  <si>
    <t>UR509P1660</t>
  </si>
  <si>
    <t>v2509-P-4750</t>
  </si>
  <si>
    <t>今日总盈亏</t>
  </si>
  <si>
    <t>平仓日期</t>
  </si>
  <si>
    <t>期权平仓价格</t>
  </si>
  <si>
    <t>手续费</t>
  </si>
  <si>
    <t>净盈亏</t>
  </si>
  <si>
    <t>盈亏（包含手续费）</t>
  </si>
  <si>
    <t>a2509-C-4450</t>
  </si>
  <si>
    <t>TA509C5000</t>
  </si>
  <si>
    <t>jd2508-C-3800</t>
  </si>
  <si>
    <t>ao2507P2800</t>
  </si>
  <si>
    <t>ag2508P8000</t>
  </si>
  <si>
    <t>ag2508P8300</t>
  </si>
  <si>
    <t>cu2507P73000</t>
  </si>
  <si>
    <t>ni2507C128000</t>
  </si>
  <si>
    <t>sn2507P240000</t>
  </si>
  <si>
    <t>si2509-P-7100</t>
  </si>
  <si>
    <t>lc2509-C-64000</t>
  </si>
  <si>
    <t>si2509-P-7000</t>
  </si>
  <si>
    <t>si2509-P-7200</t>
  </si>
  <si>
    <t>ao2508C3100</t>
  </si>
  <si>
    <t>ao2509C3100</t>
  </si>
  <si>
    <t>FG509C1040</t>
  </si>
  <si>
    <t>ps2508-C-36000</t>
  </si>
  <si>
    <t>SH509C2440</t>
  </si>
  <si>
    <t>SH509C2480</t>
  </si>
  <si>
    <t>ps2508-C-37000</t>
  </si>
  <si>
    <t>RM509C2600</t>
  </si>
  <si>
    <t>RM509C2650</t>
  </si>
  <si>
    <t>RM509C2700</t>
  </si>
  <si>
    <t>RM509C2750</t>
  </si>
  <si>
    <t>jd2508-P-3500</t>
  </si>
  <si>
    <t>ps2508-P-33000</t>
  </si>
  <si>
    <t>ps2508-P-33500</t>
  </si>
  <si>
    <t>ps2508-P-34000</t>
  </si>
  <si>
    <t>c2509-P-2300</t>
  </si>
  <si>
    <t>ps2509-C-39000</t>
  </si>
  <si>
    <t>总盈亏</t>
  </si>
  <si>
    <t>净值</t>
  </si>
  <si>
    <t>当日出/入金</t>
  </si>
  <si>
    <t>变动</t>
  </si>
  <si>
    <t>账户</t>
    <phoneticPr fontId="2" type="noConversion"/>
  </si>
  <si>
    <t>金石期货</t>
    <phoneticPr fontId="2" type="noConversion"/>
  </si>
  <si>
    <t>中金岭南期货</t>
    <phoneticPr fontId="2" type="noConversion"/>
  </si>
  <si>
    <t>ps2509-C-50000</t>
  </si>
  <si>
    <t>ps2509-C-49000</t>
  </si>
  <si>
    <t>ps2509-C-48000</t>
  </si>
  <si>
    <t>ps2509-C-47000</t>
  </si>
  <si>
    <t>i2509-P-710</t>
  </si>
  <si>
    <t>ps2509-P-36000</t>
  </si>
  <si>
    <t>陈</t>
    <phoneticPr fontId="2" type="noConversion"/>
  </si>
  <si>
    <t>ag2508P8200</t>
  </si>
  <si>
    <t>MA509P2325</t>
  </si>
  <si>
    <t>ps2509-C-46000</t>
  </si>
  <si>
    <t>ps2509-P-34000</t>
  </si>
  <si>
    <t>SH509P2360</t>
  </si>
  <si>
    <t>叶</t>
    <phoneticPr fontId="2" type="noConversion"/>
  </si>
  <si>
    <t>ps2509-P-35500</t>
    <phoneticPr fontId="2" type="noConversion"/>
  </si>
  <si>
    <t>梁</t>
    <phoneticPr fontId="2" type="noConversion"/>
  </si>
  <si>
    <t>净值2</t>
    <phoneticPr fontId="2" type="noConversion"/>
  </si>
  <si>
    <t>总盈亏2</t>
    <phoneticPr fontId="2" type="noConversion"/>
  </si>
  <si>
    <t>净浮动盈亏2</t>
    <phoneticPr fontId="2" type="noConversion"/>
  </si>
  <si>
    <t>浮动盈亏2（包含手续费）</t>
    <phoneticPr fontId="2" type="noConversion"/>
  </si>
  <si>
    <t>净盈亏2</t>
    <phoneticPr fontId="2" type="noConversion"/>
  </si>
  <si>
    <t>盈亏2（包含手续费）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</si>
</sst>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yyyy/m/d;@"/>
    <numFmt numFmtId="177" formatCode="0_ "/>
    <numFmt numFmtId="178" formatCode="#,##0_ "/>
    <numFmt numFmtId="179" formatCode="0.000000_ "/>
    <numFmt numFmtId="180" formatCode="0.00_ "/>
  </numFmts>
  <fonts count="4" x14ac:knownFonts="1">
    <font>
      <sz val="11"/>
      <color theme="1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178" fontId="0" fillId="0" borderId="0" xfId="0" applyNumberFormat="1">
      <alignment vertical="center"/>
    </xf>
    <xf numFmtId="176" fontId="1" fillId="0" borderId="0" xfId="0" applyNumberFormat="1" applyFont="1">
      <alignment vertical="center"/>
    </xf>
    <xf numFmtId="178" fontId="1" fillId="0" borderId="0" xfId="0" applyNumberFormat="1" applyFont="1">
      <alignment vertical="center"/>
    </xf>
    <xf numFmtId="176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1" fillId="0" borderId="0" xfId="0" applyFont="1">
      <alignment vertical="center"/>
    </xf>
    <xf numFmtId="177" fontId="0" fillId="0" borderId="0" xfId="0" applyNumberFormat="1">
      <alignment vertical="center"/>
    </xf>
    <xf numFmtId="179" fontId="0" fillId="0" borderId="0" xfId="0" applyNumberFormat="1">
      <alignment vertical="center"/>
    </xf>
    <xf numFmtId="177" fontId="1" fillId="0" borderId="0" xfId="0" applyNumberFormat="1" applyFont="1">
      <alignment vertical="center"/>
    </xf>
    <xf numFmtId="179" fontId="1" fillId="0" borderId="0" xfId="0" applyNumberFormat="1" applyFont="1">
      <alignment vertical="center"/>
    </xf>
    <xf numFmtId="180" fontId="0" fillId="0" borderId="0" xfId="0" applyNumberFormat="1">
      <alignment vertical="center"/>
    </xf>
    <xf numFmtId="180" fontId="1" fillId="0" borderId="0" xfId="0" applyNumberFormat="1" applyFont="1">
      <alignment vertical="center"/>
    </xf>
    <xf numFmtId="0" fontId="0" fillId="0" borderId="0" xfId="0" applyAlignment="1">
      <alignment vertical="center" wrapText="1"/>
    </xf>
    <xf numFmtId="0" fontId="3" fillId="0" borderId="0" xfId="0" applyFont="1">
      <alignment vertical="center"/>
    </xf>
    <xf numFmtId="176" fontId="3" fillId="0" borderId="0" xfId="0" applyNumberFormat="1" applyFont="1">
      <alignment vertical="center"/>
    </xf>
    <xf numFmtId="180" fontId="3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9"/>
  <sheetViews>
    <sheetView tabSelected="1" zoomScaleNormal="100" workbookViewId="0">
      <pane ySplit="1" topLeftCell="A68" activePane="bottomLeft" state="frozen"/>
      <selection pane="bottomLeft" activeCell="C97" sqref="C97"/>
    </sheetView>
  </sheetViews>
  <sheetFormatPr defaultColWidth="9" defaultRowHeight="13.5" x14ac:dyDescent="0.15"/>
  <cols>
    <col min="1" max="1" width="11.375" style="15" customWidth="1"/>
    <col min="2" max="2" width="13.875" style="15" customWidth="1"/>
    <col min="3" max="3" width="17.25" customWidth="1"/>
    <col min="4" max="4" width="7.25" customWidth="1"/>
    <col min="5" max="5" width="5.625" customWidth="1"/>
    <col min="6" max="6" width="15.25" style="11" customWidth="1"/>
    <col min="7" max="7" width="13.5" style="11" customWidth="1"/>
    <col min="8" max="8" width="9" customWidth="1"/>
    <col min="9" max="9" width="13.625" customWidth="1"/>
    <col min="10" max="10" width="11.5" style="11" customWidth="1"/>
    <col min="11" max="11" width="21.25" style="11" customWidth="1"/>
    <col min="12" max="12" width="13.625" customWidth="1"/>
    <col min="13" max="13" width="24.875" customWidth="1"/>
  </cols>
  <sheetData>
    <row r="1" spans="1:13" s="6" customFormat="1" ht="12" customHeight="1" x14ac:dyDescent="0.15">
      <c r="A1" s="2" t="s">
        <v>0</v>
      </c>
      <c r="B1" s="2" t="s">
        <v>135</v>
      </c>
      <c r="C1" s="6" t="s">
        <v>1</v>
      </c>
      <c r="D1" s="6" t="s">
        <v>2</v>
      </c>
      <c r="E1" s="6" t="s">
        <v>3</v>
      </c>
      <c r="F1" s="12" t="s">
        <v>4</v>
      </c>
      <c r="G1" s="12" t="s">
        <v>5</v>
      </c>
      <c r="H1" s="6" t="s">
        <v>6</v>
      </c>
      <c r="I1" s="6" t="s">
        <v>7</v>
      </c>
      <c r="J1" s="12" t="s">
        <v>8</v>
      </c>
      <c r="K1" s="12" t="s">
        <v>9</v>
      </c>
      <c r="L1" s="12" t="s">
        <v>155</v>
      </c>
      <c r="M1" s="12" t="s">
        <v>156</v>
      </c>
    </row>
    <row r="2" spans="1:13" x14ac:dyDescent="0.15">
      <c r="A2" s="2">
        <v>45848</v>
      </c>
      <c r="B2" s="14" t="s">
        <v>136</v>
      </c>
      <c r="C2" t="s">
        <v>10</v>
      </c>
      <c r="D2" t="s">
        <v>11</v>
      </c>
      <c r="E2">
        <v>1</v>
      </c>
      <c r="F2" s="11">
        <v>75</v>
      </c>
      <c r="G2">
        <v>95</v>
      </c>
      <c r="H2">
        <v>15</v>
      </c>
      <c r="I2">
        <v>8</v>
      </c>
      <c r="J2" s="11">
        <f t="shared" ref="J2:J33" si="0">(F2-G2)*E2*H2</f>
        <v>-300</v>
      </c>
      <c r="K2" s="11">
        <f t="shared" ref="K2:K33" si="1">J2-I2</f>
        <v>-308</v>
      </c>
    </row>
    <row r="3" spans="1:13" x14ac:dyDescent="0.15">
      <c r="B3" s="14" t="s">
        <v>136</v>
      </c>
      <c r="C3" t="s">
        <v>13</v>
      </c>
      <c r="D3" t="s">
        <v>11</v>
      </c>
      <c r="E3">
        <v>1</v>
      </c>
      <c r="F3" s="11">
        <v>70.5</v>
      </c>
      <c r="G3">
        <v>7</v>
      </c>
      <c r="H3">
        <v>15</v>
      </c>
      <c r="I3">
        <v>8</v>
      </c>
      <c r="J3" s="11">
        <f t="shared" si="0"/>
        <v>952.5</v>
      </c>
      <c r="K3" s="11">
        <f t="shared" si="1"/>
        <v>944.5</v>
      </c>
    </row>
    <row r="4" spans="1:13" x14ac:dyDescent="0.15">
      <c r="B4" s="14" t="s">
        <v>136</v>
      </c>
      <c r="C4" t="s">
        <v>14</v>
      </c>
      <c r="D4" t="s">
        <v>11</v>
      </c>
      <c r="E4">
        <v>4</v>
      </c>
      <c r="F4" s="11">
        <f>(34+34+33+33)/4</f>
        <v>33.5</v>
      </c>
      <c r="G4">
        <v>14.5</v>
      </c>
      <c r="H4">
        <v>15</v>
      </c>
      <c r="I4">
        <f>4*8</f>
        <v>32</v>
      </c>
      <c r="J4" s="11">
        <f t="shared" si="0"/>
        <v>1140</v>
      </c>
      <c r="K4" s="11">
        <f t="shared" si="1"/>
        <v>1108</v>
      </c>
    </row>
    <row r="5" spans="1:13" x14ac:dyDescent="0.15">
      <c r="B5" s="14" t="s">
        <v>136</v>
      </c>
      <c r="C5" t="s">
        <v>145</v>
      </c>
      <c r="D5" s="14" t="s">
        <v>144</v>
      </c>
      <c r="E5">
        <v>1</v>
      </c>
      <c r="F5" s="11">
        <v>22</v>
      </c>
      <c r="G5">
        <v>17.5</v>
      </c>
      <c r="H5">
        <v>15</v>
      </c>
      <c r="I5">
        <v>8</v>
      </c>
      <c r="J5" s="11">
        <f t="shared" si="0"/>
        <v>67.5</v>
      </c>
      <c r="K5" s="11">
        <f t="shared" si="1"/>
        <v>59.5</v>
      </c>
    </row>
    <row r="6" spans="1:13" x14ac:dyDescent="0.15">
      <c r="B6" s="14" t="s">
        <v>136</v>
      </c>
      <c r="C6" t="s">
        <v>15</v>
      </c>
      <c r="D6" t="s">
        <v>11</v>
      </c>
      <c r="E6">
        <v>3</v>
      </c>
      <c r="F6" s="11">
        <f>(27.5*2+28)/3</f>
        <v>27.666666666666668</v>
      </c>
      <c r="G6">
        <v>11</v>
      </c>
      <c r="H6">
        <v>20</v>
      </c>
      <c r="I6">
        <f>3*14</f>
        <v>42</v>
      </c>
      <c r="J6" s="11">
        <f t="shared" si="0"/>
        <v>1000</v>
      </c>
      <c r="K6" s="11">
        <f t="shared" si="1"/>
        <v>958</v>
      </c>
    </row>
    <row r="7" spans="1:13" x14ac:dyDescent="0.15">
      <c r="B7" s="14" t="s">
        <v>136</v>
      </c>
      <c r="C7" t="s">
        <v>16</v>
      </c>
      <c r="D7" t="s">
        <v>11</v>
      </c>
      <c r="E7">
        <v>18</v>
      </c>
      <c r="F7" s="11">
        <f>(65+39+38*6+37+37.5*2+35+38.5+37+41+40+39.5+39)/18</f>
        <v>39.666666666666664</v>
      </c>
      <c r="G7">
        <v>11.5</v>
      </c>
      <c r="H7">
        <v>20</v>
      </c>
      <c r="I7">
        <f>14*18</f>
        <v>252</v>
      </c>
      <c r="J7" s="11">
        <f t="shared" si="0"/>
        <v>10139.999999999998</v>
      </c>
      <c r="K7" s="11">
        <f t="shared" si="1"/>
        <v>9887.9999999999982</v>
      </c>
    </row>
    <row r="8" spans="1:13" x14ac:dyDescent="0.15">
      <c r="B8" s="14" t="s">
        <v>136</v>
      </c>
      <c r="C8" t="s">
        <v>17</v>
      </c>
      <c r="D8" t="s">
        <v>18</v>
      </c>
      <c r="E8">
        <v>6</v>
      </c>
      <c r="F8" s="11">
        <f>(28.5*4+12*2)/6</f>
        <v>23</v>
      </c>
      <c r="G8">
        <v>6</v>
      </c>
      <c r="H8">
        <v>5</v>
      </c>
      <c r="I8">
        <f>6*6</f>
        <v>36</v>
      </c>
      <c r="J8" s="11">
        <f t="shared" si="0"/>
        <v>510</v>
      </c>
      <c r="K8" s="11">
        <f t="shared" si="1"/>
        <v>474</v>
      </c>
    </row>
    <row r="9" spans="1:13" x14ac:dyDescent="0.15">
      <c r="B9" s="14" t="s">
        <v>136</v>
      </c>
      <c r="C9" t="s">
        <v>19</v>
      </c>
      <c r="D9" t="s">
        <v>18</v>
      </c>
      <c r="E9">
        <v>4</v>
      </c>
      <c r="F9" s="11">
        <f>(21*2+20*2)/4</f>
        <v>20.5</v>
      </c>
      <c r="G9">
        <v>10</v>
      </c>
      <c r="H9">
        <v>5</v>
      </c>
      <c r="I9">
        <f>4*6</f>
        <v>24</v>
      </c>
      <c r="J9" s="11">
        <f t="shared" si="0"/>
        <v>210</v>
      </c>
      <c r="K9" s="11">
        <f t="shared" si="1"/>
        <v>186</v>
      </c>
    </row>
    <row r="10" spans="1:13" x14ac:dyDescent="0.15">
      <c r="B10" s="14" t="s">
        <v>136</v>
      </c>
      <c r="C10" t="s">
        <v>20</v>
      </c>
      <c r="D10" t="s">
        <v>18</v>
      </c>
      <c r="E10">
        <v>1</v>
      </c>
      <c r="F10" s="11">
        <v>48</v>
      </c>
      <c r="G10">
        <v>30</v>
      </c>
      <c r="H10">
        <v>5</v>
      </c>
      <c r="I10">
        <v>4</v>
      </c>
      <c r="J10" s="11">
        <f t="shared" si="0"/>
        <v>90</v>
      </c>
      <c r="K10" s="11">
        <f t="shared" si="1"/>
        <v>86</v>
      </c>
    </row>
    <row r="11" spans="1:13" x14ac:dyDescent="0.15">
      <c r="B11" s="14" t="s">
        <v>136</v>
      </c>
      <c r="C11" t="s">
        <v>21</v>
      </c>
      <c r="D11" t="s">
        <v>18</v>
      </c>
      <c r="E11">
        <v>8</v>
      </c>
      <c r="F11" s="11">
        <f>(65*4+64*2+63*2)/8</f>
        <v>64.25</v>
      </c>
      <c r="G11">
        <v>49</v>
      </c>
      <c r="H11">
        <v>5</v>
      </c>
      <c r="I11">
        <f>4*8</f>
        <v>32</v>
      </c>
      <c r="J11" s="11">
        <f t="shared" si="0"/>
        <v>610</v>
      </c>
      <c r="K11" s="11">
        <f t="shared" si="1"/>
        <v>578</v>
      </c>
    </row>
    <row r="12" spans="1:13" x14ac:dyDescent="0.15">
      <c r="B12" s="14" t="s">
        <v>136</v>
      </c>
      <c r="C12" t="s">
        <v>22</v>
      </c>
      <c r="D12" t="s">
        <v>18</v>
      </c>
      <c r="E12">
        <v>1</v>
      </c>
      <c r="F12" s="11">
        <v>70</v>
      </c>
      <c r="G12">
        <v>59</v>
      </c>
      <c r="H12">
        <v>5</v>
      </c>
      <c r="I12">
        <v>4</v>
      </c>
      <c r="J12" s="11">
        <f t="shared" si="0"/>
        <v>55</v>
      </c>
      <c r="K12" s="11">
        <f t="shared" si="1"/>
        <v>51</v>
      </c>
    </row>
    <row r="13" spans="1:13" x14ac:dyDescent="0.15">
      <c r="B13" s="14" t="s">
        <v>136</v>
      </c>
      <c r="C13" t="s">
        <v>23</v>
      </c>
      <c r="D13" t="s">
        <v>24</v>
      </c>
      <c r="E13">
        <v>1</v>
      </c>
      <c r="F13" s="11">
        <v>41</v>
      </c>
      <c r="G13">
        <v>47</v>
      </c>
      <c r="H13">
        <v>5</v>
      </c>
      <c r="I13">
        <f>2*1</f>
        <v>2</v>
      </c>
      <c r="J13" s="11">
        <f t="shared" si="0"/>
        <v>-30</v>
      </c>
      <c r="K13" s="11">
        <f t="shared" si="1"/>
        <v>-32</v>
      </c>
    </row>
    <row r="14" spans="1:13" x14ac:dyDescent="0.15">
      <c r="B14" s="14" t="s">
        <v>136</v>
      </c>
      <c r="C14" t="s">
        <v>25</v>
      </c>
      <c r="D14" t="s">
        <v>24</v>
      </c>
      <c r="E14">
        <v>3</v>
      </c>
      <c r="F14" s="11">
        <f>(25.5+25*2)/3</f>
        <v>25.166666666666668</v>
      </c>
      <c r="G14">
        <v>2.5</v>
      </c>
      <c r="H14">
        <v>5</v>
      </c>
      <c r="I14">
        <f>2*3</f>
        <v>6</v>
      </c>
      <c r="J14" s="11">
        <f t="shared" si="0"/>
        <v>340</v>
      </c>
      <c r="K14" s="11">
        <f t="shared" si="1"/>
        <v>334</v>
      </c>
    </row>
    <row r="15" spans="1:13" x14ac:dyDescent="0.15">
      <c r="B15" s="14" t="s">
        <v>136</v>
      </c>
      <c r="C15" t="s">
        <v>26</v>
      </c>
      <c r="D15" t="s">
        <v>24</v>
      </c>
      <c r="E15">
        <v>1</v>
      </c>
      <c r="F15" s="11">
        <v>44.5</v>
      </c>
      <c r="G15">
        <v>5</v>
      </c>
      <c r="H15">
        <v>5</v>
      </c>
      <c r="I15">
        <f>1*2</f>
        <v>2</v>
      </c>
      <c r="J15" s="11">
        <f t="shared" si="0"/>
        <v>197.5</v>
      </c>
      <c r="K15" s="11">
        <f t="shared" si="1"/>
        <v>195.5</v>
      </c>
    </row>
    <row r="16" spans="1:13" x14ac:dyDescent="0.15">
      <c r="B16" s="14" t="s">
        <v>136</v>
      </c>
      <c r="C16" t="s">
        <v>27</v>
      </c>
      <c r="D16" t="s">
        <v>18</v>
      </c>
      <c r="E16">
        <v>10</v>
      </c>
      <c r="F16" s="11">
        <f>(22.5*4+23*2+24.5*2+25*2)/10</f>
        <v>23.5</v>
      </c>
      <c r="G16">
        <v>9</v>
      </c>
      <c r="H16">
        <v>20</v>
      </c>
      <c r="I16">
        <f>2*10</f>
        <v>20</v>
      </c>
      <c r="J16" s="11">
        <f t="shared" si="0"/>
        <v>2900</v>
      </c>
      <c r="K16" s="11">
        <f t="shared" si="1"/>
        <v>2880</v>
      </c>
    </row>
    <row r="17" spans="2:11" x14ac:dyDescent="0.15">
      <c r="B17" s="14" t="s">
        <v>136</v>
      </c>
      <c r="C17" t="s">
        <v>28</v>
      </c>
      <c r="D17" t="s">
        <v>18</v>
      </c>
      <c r="E17">
        <v>8</v>
      </c>
      <c r="F17" s="11">
        <f>(11.25*6+15.5*2)/8</f>
        <v>12.3125</v>
      </c>
      <c r="G17">
        <v>3</v>
      </c>
      <c r="H17">
        <v>20</v>
      </c>
      <c r="I17">
        <f>2*6</f>
        <v>12</v>
      </c>
      <c r="J17" s="11">
        <f t="shared" si="0"/>
        <v>1490</v>
      </c>
      <c r="K17" s="11">
        <f t="shared" si="1"/>
        <v>1478</v>
      </c>
    </row>
    <row r="18" spans="2:11" x14ac:dyDescent="0.15">
      <c r="B18" s="14" t="s">
        <v>136</v>
      </c>
      <c r="C18" t="s">
        <v>29</v>
      </c>
      <c r="D18" t="s">
        <v>24</v>
      </c>
      <c r="E18">
        <v>5</v>
      </c>
      <c r="F18" s="11">
        <v>5.4</v>
      </c>
      <c r="G18">
        <v>0.6</v>
      </c>
      <c r="H18">
        <v>100</v>
      </c>
      <c r="I18">
        <v>40</v>
      </c>
      <c r="J18" s="11">
        <f t="shared" si="0"/>
        <v>2400.0000000000005</v>
      </c>
      <c r="K18" s="11">
        <f t="shared" si="1"/>
        <v>2360.0000000000005</v>
      </c>
    </row>
    <row r="19" spans="2:11" x14ac:dyDescent="0.15">
      <c r="B19" s="14" t="s">
        <v>136</v>
      </c>
      <c r="C19" t="s">
        <v>30</v>
      </c>
      <c r="D19" t="s">
        <v>24</v>
      </c>
      <c r="E19">
        <v>2</v>
      </c>
      <c r="F19" s="11">
        <v>4.5</v>
      </c>
      <c r="G19">
        <v>0.9</v>
      </c>
      <c r="H19">
        <v>100</v>
      </c>
      <c r="I19">
        <f>2*8</f>
        <v>16</v>
      </c>
      <c r="J19" s="11">
        <f t="shared" si="0"/>
        <v>720</v>
      </c>
      <c r="K19" s="11">
        <f t="shared" si="1"/>
        <v>704</v>
      </c>
    </row>
    <row r="20" spans="2:11" x14ac:dyDescent="0.15">
      <c r="B20" s="14" t="s">
        <v>136</v>
      </c>
      <c r="C20" t="s">
        <v>31</v>
      </c>
      <c r="D20" t="s">
        <v>24</v>
      </c>
      <c r="E20">
        <v>1</v>
      </c>
      <c r="F20" s="11">
        <v>5.6</v>
      </c>
      <c r="G20">
        <v>1.2</v>
      </c>
      <c r="H20">
        <v>100</v>
      </c>
      <c r="I20">
        <v>8</v>
      </c>
      <c r="J20" s="11">
        <f t="shared" si="0"/>
        <v>439.99999999999994</v>
      </c>
      <c r="K20" s="11">
        <f t="shared" si="1"/>
        <v>431.99999999999994</v>
      </c>
    </row>
    <row r="21" spans="2:11" x14ac:dyDescent="0.15">
      <c r="B21" s="14" t="s">
        <v>136</v>
      </c>
      <c r="C21" t="s">
        <v>32</v>
      </c>
      <c r="D21" t="s">
        <v>24</v>
      </c>
      <c r="E21">
        <v>1</v>
      </c>
      <c r="F21" s="11">
        <v>7.2</v>
      </c>
      <c r="G21">
        <v>1.9</v>
      </c>
      <c r="H21">
        <v>100</v>
      </c>
      <c r="I21">
        <v>8</v>
      </c>
      <c r="J21" s="11">
        <f t="shared" si="0"/>
        <v>530.00000000000011</v>
      </c>
      <c r="K21" s="11">
        <f t="shared" si="1"/>
        <v>522.00000000000011</v>
      </c>
    </row>
    <row r="22" spans="2:11" x14ac:dyDescent="0.15">
      <c r="B22" s="14" t="s">
        <v>136</v>
      </c>
      <c r="C22" t="s">
        <v>33</v>
      </c>
      <c r="D22" t="s">
        <v>24</v>
      </c>
      <c r="E22">
        <v>6</v>
      </c>
      <c r="F22" s="11">
        <f>(6.2+4.5+4.3*4)/6</f>
        <v>4.6499999999999995</v>
      </c>
      <c r="G22">
        <v>2.7</v>
      </c>
      <c r="H22">
        <v>100</v>
      </c>
      <c r="I22">
        <f>6*8</f>
        <v>48</v>
      </c>
      <c r="J22" s="11">
        <f t="shared" si="0"/>
        <v>1169.9999999999995</v>
      </c>
      <c r="K22" s="11">
        <f t="shared" si="1"/>
        <v>1121.9999999999995</v>
      </c>
    </row>
    <row r="23" spans="2:11" x14ac:dyDescent="0.15">
      <c r="B23" s="14" t="s">
        <v>136</v>
      </c>
      <c r="C23" t="s">
        <v>34</v>
      </c>
      <c r="D23" t="s">
        <v>24</v>
      </c>
      <c r="E23">
        <v>8</v>
      </c>
      <c r="F23" s="11">
        <f>(27.5+27*5+26.5*2)/8</f>
        <v>26.9375</v>
      </c>
      <c r="G23">
        <v>9.5</v>
      </c>
      <c r="H23">
        <v>10</v>
      </c>
      <c r="I23">
        <f>2*8</f>
        <v>16</v>
      </c>
      <c r="J23" s="11">
        <f t="shared" si="0"/>
        <v>1395</v>
      </c>
      <c r="K23" s="11">
        <f t="shared" si="1"/>
        <v>1379</v>
      </c>
    </row>
    <row r="24" spans="2:11" x14ac:dyDescent="0.15">
      <c r="B24" s="14" t="s">
        <v>136</v>
      </c>
      <c r="C24" t="s">
        <v>35</v>
      </c>
      <c r="D24" t="s">
        <v>24</v>
      </c>
      <c r="E24">
        <v>5</v>
      </c>
      <c r="F24" s="11">
        <v>24</v>
      </c>
      <c r="G24">
        <v>4</v>
      </c>
      <c r="H24">
        <v>10</v>
      </c>
      <c r="I24">
        <f>2*5</f>
        <v>10</v>
      </c>
      <c r="J24" s="11">
        <f t="shared" si="0"/>
        <v>1000</v>
      </c>
      <c r="K24" s="11">
        <f t="shared" si="1"/>
        <v>990</v>
      </c>
    </row>
    <row r="25" spans="2:11" x14ac:dyDescent="0.15">
      <c r="B25" s="14" t="s">
        <v>136</v>
      </c>
      <c r="C25" t="s">
        <v>36</v>
      </c>
      <c r="D25" t="s">
        <v>24</v>
      </c>
      <c r="E25">
        <v>6</v>
      </c>
      <c r="F25" s="11">
        <f>(26+25.5*2+23*2+15)/6</f>
        <v>23</v>
      </c>
      <c r="G25">
        <v>21.5</v>
      </c>
      <c r="H25">
        <v>10</v>
      </c>
      <c r="I25">
        <f>2*6</f>
        <v>12</v>
      </c>
      <c r="J25" s="11">
        <f t="shared" si="0"/>
        <v>90</v>
      </c>
      <c r="K25" s="11">
        <f t="shared" si="1"/>
        <v>78</v>
      </c>
    </row>
    <row r="26" spans="2:11" x14ac:dyDescent="0.15">
      <c r="B26" s="14" t="s">
        <v>136</v>
      </c>
      <c r="C26" t="s">
        <v>37</v>
      </c>
      <c r="D26" t="s">
        <v>24</v>
      </c>
      <c r="E26">
        <v>1</v>
      </c>
      <c r="F26" s="11">
        <v>40</v>
      </c>
      <c r="G26">
        <v>19.5</v>
      </c>
      <c r="H26">
        <v>10</v>
      </c>
      <c r="I26">
        <f>2*1</f>
        <v>2</v>
      </c>
      <c r="J26" s="11">
        <f t="shared" si="0"/>
        <v>205</v>
      </c>
      <c r="K26" s="11">
        <f t="shared" si="1"/>
        <v>203</v>
      </c>
    </row>
    <row r="27" spans="2:11" x14ac:dyDescent="0.15">
      <c r="B27" s="14" t="s">
        <v>136</v>
      </c>
      <c r="C27" t="s">
        <v>38</v>
      </c>
      <c r="D27" s="14" t="s">
        <v>150</v>
      </c>
      <c r="E27">
        <v>21</v>
      </c>
      <c r="F27" s="11">
        <v>25.285714285714285</v>
      </c>
      <c r="G27">
        <v>23.5</v>
      </c>
      <c r="H27">
        <v>10</v>
      </c>
      <c r="I27">
        <v>42</v>
      </c>
      <c r="J27" s="11">
        <f t="shared" si="0"/>
        <v>374.99999999999977</v>
      </c>
      <c r="K27" s="11">
        <f t="shared" si="1"/>
        <v>332.99999999999977</v>
      </c>
    </row>
    <row r="28" spans="2:11" x14ac:dyDescent="0.15">
      <c r="B28" s="14" t="s">
        <v>136</v>
      </c>
      <c r="C28" t="s">
        <v>39</v>
      </c>
      <c r="D28" s="14" t="s">
        <v>150</v>
      </c>
      <c r="E28">
        <v>18</v>
      </c>
      <c r="F28" s="11">
        <v>39.333333333333336</v>
      </c>
      <c r="G28">
        <v>33.5</v>
      </c>
      <c r="H28">
        <v>10</v>
      </c>
      <c r="I28">
        <v>192</v>
      </c>
      <c r="J28" s="11">
        <f t="shared" si="0"/>
        <v>1050.0000000000005</v>
      </c>
      <c r="K28" s="11">
        <f t="shared" si="1"/>
        <v>858.00000000000045</v>
      </c>
    </row>
    <row r="29" spans="2:11" x14ac:dyDescent="0.15">
      <c r="B29" s="14" t="s">
        <v>136</v>
      </c>
      <c r="C29" t="s">
        <v>40</v>
      </c>
      <c r="D29" t="s">
        <v>24</v>
      </c>
      <c r="E29">
        <v>8</v>
      </c>
      <c r="F29" s="11">
        <f>(46*5+45*2+44.5)/8</f>
        <v>45.5625</v>
      </c>
      <c r="G29">
        <v>50</v>
      </c>
      <c r="H29">
        <v>10</v>
      </c>
      <c r="I29">
        <f>2*8</f>
        <v>16</v>
      </c>
      <c r="J29" s="11">
        <f t="shared" si="0"/>
        <v>-355</v>
      </c>
      <c r="K29" s="11">
        <f t="shared" si="1"/>
        <v>-371</v>
      </c>
    </row>
    <row r="30" spans="2:11" x14ac:dyDescent="0.15">
      <c r="B30" s="14" t="s">
        <v>136</v>
      </c>
      <c r="C30" t="s">
        <v>41</v>
      </c>
      <c r="D30" t="s">
        <v>24</v>
      </c>
      <c r="E30">
        <v>4</v>
      </c>
      <c r="F30" s="11">
        <v>35</v>
      </c>
      <c r="G30">
        <v>74</v>
      </c>
      <c r="H30">
        <v>10</v>
      </c>
      <c r="I30">
        <f>2*4</f>
        <v>8</v>
      </c>
      <c r="J30" s="11">
        <f t="shared" si="0"/>
        <v>-1560</v>
      </c>
      <c r="K30" s="11">
        <f t="shared" si="1"/>
        <v>-1568</v>
      </c>
    </row>
    <row r="31" spans="2:11" x14ac:dyDescent="0.15">
      <c r="B31" s="14" t="s">
        <v>136</v>
      </c>
      <c r="C31" t="s">
        <v>42</v>
      </c>
      <c r="D31" t="s">
        <v>11</v>
      </c>
      <c r="E31">
        <v>2</v>
      </c>
      <c r="F31" s="11">
        <f>(450+240)/2</f>
        <v>345</v>
      </c>
      <c r="G31">
        <v>80</v>
      </c>
      <c r="H31">
        <v>1</v>
      </c>
      <c r="I31">
        <f>2*12</f>
        <v>24</v>
      </c>
      <c r="J31" s="11">
        <f t="shared" si="0"/>
        <v>530</v>
      </c>
      <c r="K31" s="11">
        <f t="shared" si="1"/>
        <v>506</v>
      </c>
    </row>
    <row r="32" spans="2:11" x14ac:dyDescent="0.15">
      <c r="B32" s="14" t="s">
        <v>136</v>
      </c>
      <c r="C32" t="s">
        <v>43</v>
      </c>
      <c r="D32" t="s">
        <v>11</v>
      </c>
      <c r="E32">
        <v>2</v>
      </c>
      <c r="F32" s="11">
        <f>(595+340)/2</f>
        <v>467.5</v>
      </c>
      <c r="G32">
        <v>120</v>
      </c>
      <c r="H32">
        <v>1</v>
      </c>
      <c r="I32">
        <f>2*12</f>
        <v>24</v>
      </c>
      <c r="J32" s="11">
        <f t="shared" si="0"/>
        <v>695</v>
      </c>
      <c r="K32" s="11">
        <f t="shared" si="1"/>
        <v>671</v>
      </c>
    </row>
    <row r="33" spans="2:11" x14ac:dyDescent="0.15">
      <c r="B33" s="14" t="s">
        <v>136</v>
      </c>
      <c r="C33" t="s">
        <v>44</v>
      </c>
      <c r="D33" t="s">
        <v>45</v>
      </c>
      <c r="E33">
        <v>2</v>
      </c>
      <c r="F33" s="11">
        <f>(330+310)/2</f>
        <v>320</v>
      </c>
      <c r="G33">
        <v>310</v>
      </c>
      <c r="H33">
        <v>1</v>
      </c>
      <c r="I33">
        <f>2*12</f>
        <v>24</v>
      </c>
      <c r="J33" s="11">
        <f t="shared" si="0"/>
        <v>20</v>
      </c>
      <c r="K33" s="11">
        <f t="shared" si="1"/>
        <v>-4</v>
      </c>
    </row>
    <row r="34" spans="2:11" x14ac:dyDescent="0.15">
      <c r="B34" s="14" t="s">
        <v>136</v>
      </c>
      <c r="C34" t="s">
        <v>46</v>
      </c>
      <c r="D34" t="s">
        <v>11</v>
      </c>
      <c r="E34">
        <v>1</v>
      </c>
      <c r="F34" s="11">
        <v>62500</v>
      </c>
      <c r="G34">
        <v>63920</v>
      </c>
      <c r="H34">
        <v>1</v>
      </c>
      <c r="I34">
        <v>5.0199999999999996</v>
      </c>
      <c r="J34" s="11">
        <f t="shared" ref="J34:J65" si="2">(F34-G34)*E34*H34</f>
        <v>-1420</v>
      </c>
      <c r="K34" s="11">
        <f t="shared" ref="K34:K65" si="3">J34-I34</f>
        <v>-1425.02</v>
      </c>
    </row>
    <row r="35" spans="2:11" x14ac:dyDescent="0.15">
      <c r="B35" s="14" t="s">
        <v>136</v>
      </c>
      <c r="C35" t="s">
        <v>47</v>
      </c>
      <c r="D35" t="s">
        <v>11</v>
      </c>
      <c r="E35">
        <v>1</v>
      </c>
      <c r="F35" s="11">
        <v>1620</v>
      </c>
      <c r="G35">
        <v>1080</v>
      </c>
      <c r="H35">
        <v>1</v>
      </c>
      <c r="I35">
        <v>12</v>
      </c>
      <c r="J35" s="11">
        <f t="shared" si="2"/>
        <v>540</v>
      </c>
      <c r="K35" s="11">
        <f t="shared" si="3"/>
        <v>528</v>
      </c>
    </row>
    <row r="36" spans="2:11" x14ac:dyDescent="0.15">
      <c r="B36" s="14" t="s">
        <v>136</v>
      </c>
      <c r="C36" t="s">
        <v>48</v>
      </c>
      <c r="D36" t="s">
        <v>24</v>
      </c>
      <c r="E36">
        <v>3</v>
      </c>
      <c r="F36" s="11">
        <v>7.25</v>
      </c>
      <c r="G36">
        <v>5.25</v>
      </c>
      <c r="H36">
        <v>90</v>
      </c>
      <c r="I36">
        <v>12</v>
      </c>
      <c r="J36" s="11">
        <f t="shared" si="2"/>
        <v>540</v>
      </c>
      <c r="K36" s="11">
        <f t="shared" si="3"/>
        <v>528</v>
      </c>
    </row>
    <row r="37" spans="2:11" x14ac:dyDescent="0.15">
      <c r="B37" s="14" t="s">
        <v>136</v>
      </c>
      <c r="C37" t="s">
        <v>49</v>
      </c>
      <c r="D37" t="s">
        <v>24</v>
      </c>
      <c r="E37">
        <v>1</v>
      </c>
      <c r="F37" s="11">
        <v>11.75</v>
      </c>
      <c r="G37">
        <v>12</v>
      </c>
      <c r="H37">
        <v>90</v>
      </c>
      <c r="I37">
        <v>4</v>
      </c>
      <c r="J37" s="11">
        <f t="shared" si="2"/>
        <v>-22.5</v>
      </c>
      <c r="K37" s="11">
        <f t="shared" si="3"/>
        <v>-26.5</v>
      </c>
    </row>
    <row r="38" spans="2:11" x14ac:dyDescent="0.15">
      <c r="B38" s="14" t="s">
        <v>136</v>
      </c>
      <c r="C38" t="s">
        <v>50</v>
      </c>
      <c r="D38" t="s">
        <v>24</v>
      </c>
      <c r="E38">
        <v>1</v>
      </c>
      <c r="F38" s="11">
        <v>35</v>
      </c>
      <c r="G38">
        <v>15</v>
      </c>
      <c r="H38">
        <v>16</v>
      </c>
      <c r="I38">
        <v>6</v>
      </c>
      <c r="J38" s="11">
        <f t="shared" si="2"/>
        <v>320</v>
      </c>
      <c r="K38" s="11">
        <f t="shared" si="3"/>
        <v>314</v>
      </c>
    </row>
    <row r="39" spans="2:11" x14ac:dyDescent="0.15">
      <c r="B39" s="14" t="s">
        <v>136</v>
      </c>
      <c r="C39" t="s">
        <v>51</v>
      </c>
      <c r="D39" t="s">
        <v>24</v>
      </c>
      <c r="E39">
        <v>1</v>
      </c>
      <c r="F39" s="11">
        <v>60</v>
      </c>
      <c r="G39">
        <v>27.5</v>
      </c>
      <c r="H39">
        <v>16</v>
      </c>
      <c r="I39">
        <v>6</v>
      </c>
      <c r="J39" s="11">
        <f t="shared" si="2"/>
        <v>520</v>
      </c>
      <c r="K39" s="11">
        <f t="shared" si="3"/>
        <v>514</v>
      </c>
    </row>
    <row r="40" spans="2:11" x14ac:dyDescent="0.15">
      <c r="B40" s="14" t="s">
        <v>136</v>
      </c>
      <c r="C40" t="s">
        <v>52</v>
      </c>
      <c r="D40" t="s">
        <v>24</v>
      </c>
      <c r="E40">
        <v>1</v>
      </c>
      <c r="F40" s="11">
        <v>62.5</v>
      </c>
      <c r="G40">
        <v>42.5</v>
      </c>
      <c r="H40">
        <v>16</v>
      </c>
      <c r="I40">
        <v>6</v>
      </c>
      <c r="J40" s="11">
        <f t="shared" si="2"/>
        <v>320</v>
      </c>
      <c r="K40" s="11">
        <f t="shared" si="3"/>
        <v>314</v>
      </c>
    </row>
    <row r="41" spans="2:11" x14ac:dyDescent="0.15">
      <c r="B41" s="14" t="s">
        <v>136</v>
      </c>
      <c r="C41" t="s">
        <v>53</v>
      </c>
      <c r="D41" t="s">
        <v>24</v>
      </c>
      <c r="E41">
        <v>4</v>
      </c>
      <c r="F41" s="11">
        <f>(29.5*2+29*2)/4</f>
        <v>29.25</v>
      </c>
      <c r="G41">
        <v>19</v>
      </c>
      <c r="H41">
        <v>10</v>
      </c>
      <c r="I41">
        <f>3*4</f>
        <v>12</v>
      </c>
      <c r="J41" s="11">
        <f t="shared" si="2"/>
        <v>410</v>
      </c>
      <c r="K41" s="11">
        <f t="shared" si="3"/>
        <v>398</v>
      </c>
    </row>
    <row r="42" spans="2:11" x14ac:dyDescent="0.15">
      <c r="B42" s="14" t="s">
        <v>136</v>
      </c>
      <c r="C42" t="s">
        <v>54</v>
      </c>
      <c r="D42" t="s">
        <v>24</v>
      </c>
      <c r="E42">
        <v>2</v>
      </c>
      <c r="F42" s="11">
        <v>18.5</v>
      </c>
      <c r="G42">
        <v>10.5</v>
      </c>
      <c r="H42">
        <v>10</v>
      </c>
      <c r="I42">
        <f>2*3</f>
        <v>6</v>
      </c>
      <c r="J42" s="11">
        <f t="shared" si="2"/>
        <v>160</v>
      </c>
      <c r="K42" s="11">
        <f t="shared" si="3"/>
        <v>154</v>
      </c>
    </row>
    <row r="43" spans="2:11" x14ac:dyDescent="0.15">
      <c r="B43" s="14" t="s">
        <v>136</v>
      </c>
      <c r="C43" t="s">
        <v>55</v>
      </c>
      <c r="D43" t="s">
        <v>24</v>
      </c>
      <c r="E43">
        <v>1</v>
      </c>
      <c r="F43" s="11">
        <v>10.5</v>
      </c>
      <c r="G43">
        <v>6.5</v>
      </c>
      <c r="H43">
        <v>10</v>
      </c>
      <c r="I43">
        <v>3</v>
      </c>
      <c r="J43" s="11">
        <f t="shared" si="2"/>
        <v>40</v>
      </c>
      <c r="K43" s="11">
        <f t="shared" si="3"/>
        <v>37</v>
      </c>
    </row>
    <row r="44" spans="2:11" x14ac:dyDescent="0.15">
      <c r="B44" s="14" t="s">
        <v>136</v>
      </c>
      <c r="C44" t="s">
        <v>56</v>
      </c>
      <c r="D44" t="s">
        <v>24</v>
      </c>
      <c r="E44">
        <v>4</v>
      </c>
      <c r="F44" s="11">
        <f>(36.5+2*30+30.5)/4</f>
        <v>31.75</v>
      </c>
      <c r="G44">
        <v>28.5</v>
      </c>
      <c r="H44">
        <v>10</v>
      </c>
      <c r="I44">
        <v>12</v>
      </c>
      <c r="J44" s="11">
        <f t="shared" si="2"/>
        <v>130</v>
      </c>
      <c r="K44" s="11">
        <f t="shared" si="3"/>
        <v>118</v>
      </c>
    </row>
    <row r="45" spans="2:11" x14ac:dyDescent="0.15">
      <c r="B45" s="14" t="s">
        <v>136</v>
      </c>
      <c r="C45" t="s">
        <v>57</v>
      </c>
      <c r="D45" t="s">
        <v>24</v>
      </c>
      <c r="E45">
        <v>2</v>
      </c>
      <c r="F45" s="11">
        <v>47.5</v>
      </c>
      <c r="G45">
        <v>55.5</v>
      </c>
      <c r="H45">
        <v>10</v>
      </c>
      <c r="I45">
        <f>2*3</f>
        <v>6</v>
      </c>
      <c r="J45" s="11">
        <f t="shared" si="2"/>
        <v>-160</v>
      </c>
      <c r="K45" s="11">
        <f t="shared" si="3"/>
        <v>-166</v>
      </c>
    </row>
    <row r="46" spans="2:11" x14ac:dyDescent="0.15">
      <c r="B46" s="14" t="s">
        <v>136</v>
      </c>
      <c r="C46" t="s">
        <v>58</v>
      </c>
      <c r="D46" t="s">
        <v>18</v>
      </c>
      <c r="E46">
        <v>8</v>
      </c>
      <c r="F46" s="11">
        <f>(17.75*4+15+15.5*2+16)/8</f>
        <v>16.625</v>
      </c>
      <c r="G46">
        <v>4.5</v>
      </c>
      <c r="H46">
        <v>10</v>
      </c>
      <c r="I46">
        <f>2*8</f>
        <v>16</v>
      </c>
      <c r="J46" s="11">
        <f t="shared" si="2"/>
        <v>970</v>
      </c>
      <c r="K46" s="11">
        <f t="shared" si="3"/>
        <v>954</v>
      </c>
    </row>
    <row r="47" spans="2:11" x14ac:dyDescent="0.15">
      <c r="B47" s="14" t="s">
        <v>136</v>
      </c>
      <c r="C47" t="s">
        <v>146</v>
      </c>
      <c r="D47" s="14" t="s">
        <v>152</v>
      </c>
      <c r="E47">
        <v>6</v>
      </c>
      <c r="F47" s="11">
        <v>21.833333333333332</v>
      </c>
      <c r="G47">
        <v>19.5</v>
      </c>
      <c r="H47">
        <v>10</v>
      </c>
      <c r="I47">
        <v>12</v>
      </c>
      <c r="J47" s="11">
        <f t="shared" si="2"/>
        <v>139.99999999999994</v>
      </c>
      <c r="K47" s="11">
        <f t="shared" si="3"/>
        <v>127.99999999999994</v>
      </c>
    </row>
    <row r="48" spans="2:11" x14ac:dyDescent="0.15">
      <c r="B48" s="14" t="s">
        <v>136</v>
      </c>
      <c r="C48" t="s">
        <v>59</v>
      </c>
      <c r="D48" t="s">
        <v>18</v>
      </c>
      <c r="E48">
        <v>12</v>
      </c>
      <c r="F48" s="11">
        <f>(37*2+37.5*2+32*4+32.5*4)/12</f>
        <v>33.916666666666664</v>
      </c>
      <c r="G48">
        <v>26.5</v>
      </c>
      <c r="H48">
        <v>10</v>
      </c>
      <c r="I48">
        <f>2*12</f>
        <v>24</v>
      </c>
      <c r="J48" s="11">
        <f t="shared" si="2"/>
        <v>889.99999999999977</v>
      </c>
      <c r="K48" s="11">
        <f t="shared" si="3"/>
        <v>865.99999999999977</v>
      </c>
    </row>
    <row r="49" spans="2:11" x14ac:dyDescent="0.15">
      <c r="B49" s="14" t="s">
        <v>136</v>
      </c>
      <c r="C49" t="s">
        <v>60</v>
      </c>
      <c r="D49" t="s">
        <v>18</v>
      </c>
      <c r="E49">
        <v>2</v>
      </c>
      <c r="F49" s="11">
        <v>41.75</v>
      </c>
      <c r="G49">
        <v>19</v>
      </c>
      <c r="H49">
        <v>10</v>
      </c>
      <c r="I49">
        <f>2*6</f>
        <v>12</v>
      </c>
      <c r="J49" s="11">
        <f t="shared" si="2"/>
        <v>455</v>
      </c>
      <c r="K49" s="11">
        <f t="shared" si="3"/>
        <v>443</v>
      </c>
    </row>
    <row r="50" spans="2:11" x14ac:dyDescent="0.15">
      <c r="B50" s="14" t="s">
        <v>136</v>
      </c>
      <c r="C50" t="s">
        <v>61</v>
      </c>
      <c r="D50" t="s">
        <v>11</v>
      </c>
      <c r="E50">
        <v>1</v>
      </c>
      <c r="F50" s="11">
        <v>34</v>
      </c>
      <c r="G50">
        <v>12</v>
      </c>
      <c r="H50">
        <v>5</v>
      </c>
      <c r="I50">
        <v>8</v>
      </c>
      <c r="J50" s="11">
        <f t="shared" si="2"/>
        <v>110</v>
      </c>
      <c r="K50" s="11">
        <f t="shared" si="3"/>
        <v>102</v>
      </c>
    </row>
    <row r="51" spans="2:11" x14ac:dyDescent="0.15">
      <c r="B51" s="14" t="s">
        <v>136</v>
      </c>
      <c r="C51" t="s">
        <v>62</v>
      </c>
      <c r="D51" t="s">
        <v>18</v>
      </c>
      <c r="E51">
        <v>2</v>
      </c>
      <c r="F51" s="11">
        <v>37.5</v>
      </c>
      <c r="G51">
        <v>31</v>
      </c>
      <c r="H51">
        <v>5</v>
      </c>
      <c r="I51">
        <f>2*3.2</f>
        <v>6.4</v>
      </c>
      <c r="J51" s="11">
        <f t="shared" si="2"/>
        <v>65</v>
      </c>
      <c r="K51" s="11">
        <f t="shared" si="3"/>
        <v>58.6</v>
      </c>
    </row>
    <row r="52" spans="2:11" x14ac:dyDescent="0.15">
      <c r="B52" s="14" t="s">
        <v>136</v>
      </c>
      <c r="C52" t="s">
        <v>63</v>
      </c>
      <c r="D52" t="s">
        <v>18</v>
      </c>
      <c r="E52">
        <v>3</v>
      </c>
      <c r="F52" s="11">
        <f>(31.5*2+30.5)/3</f>
        <v>31.166666666666668</v>
      </c>
      <c r="G52">
        <v>25</v>
      </c>
      <c r="H52">
        <v>5</v>
      </c>
      <c r="I52">
        <f>3.2*3</f>
        <v>9.6000000000000014</v>
      </c>
      <c r="J52" s="11">
        <f t="shared" si="2"/>
        <v>92.500000000000014</v>
      </c>
      <c r="K52" s="11">
        <f t="shared" si="3"/>
        <v>82.9</v>
      </c>
    </row>
    <row r="53" spans="2:11" x14ac:dyDescent="0.15">
      <c r="B53" s="14" t="s">
        <v>136</v>
      </c>
      <c r="C53" t="s">
        <v>147</v>
      </c>
      <c r="D53" s="14" t="s">
        <v>144</v>
      </c>
      <c r="E53">
        <v>7</v>
      </c>
      <c r="F53" s="11">
        <v>422</v>
      </c>
      <c r="G53">
        <v>414</v>
      </c>
      <c r="H53">
        <v>3</v>
      </c>
      <c r="I53">
        <v>56</v>
      </c>
      <c r="J53" s="11">
        <f t="shared" si="2"/>
        <v>168</v>
      </c>
      <c r="K53" s="11">
        <f t="shared" si="3"/>
        <v>112</v>
      </c>
    </row>
    <row r="54" spans="2:11" x14ac:dyDescent="0.15">
      <c r="B54" s="14" t="s">
        <v>136</v>
      </c>
      <c r="C54" t="s">
        <v>141</v>
      </c>
      <c r="D54" s="14" t="s">
        <v>144</v>
      </c>
      <c r="E54">
        <v>9</v>
      </c>
      <c r="F54" s="11">
        <v>343</v>
      </c>
      <c r="G54">
        <v>285</v>
      </c>
      <c r="H54">
        <v>3</v>
      </c>
      <c r="I54">
        <v>72</v>
      </c>
      <c r="J54" s="11">
        <f t="shared" si="2"/>
        <v>1566</v>
      </c>
      <c r="K54" s="11">
        <f t="shared" si="3"/>
        <v>1494</v>
      </c>
    </row>
    <row r="55" spans="2:11" x14ac:dyDescent="0.15">
      <c r="B55" s="14" t="s">
        <v>136</v>
      </c>
      <c r="C55" t="s">
        <v>140</v>
      </c>
      <c r="D55" s="14" t="s">
        <v>144</v>
      </c>
      <c r="E55">
        <v>11</v>
      </c>
      <c r="F55" s="11">
        <v>248.09090909090909</v>
      </c>
      <c r="G55">
        <v>233</v>
      </c>
      <c r="H55">
        <v>3</v>
      </c>
      <c r="I55">
        <v>88</v>
      </c>
      <c r="J55" s="11">
        <f t="shared" si="2"/>
        <v>498.00000000000011</v>
      </c>
      <c r="K55" s="11">
        <f t="shared" si="3"/>
        <v>410.00000000000011</v>
      </c>
    </row>
    <row r="56" spans="2:11" x14ac:dyDescent="0.15">
      <c r="B56" s="14" t="s">
        <v>136</v>
      </c>
      <c r="C56" t="s">
        <v>139</v>
      </c>
      <c r="D56" s="14" t="s">
        <v>144</v>
      </c>
      <c r="E56">
        <v>21</v>
      </c>
      <c r="F56" s="11">
        <v>183.42857142857142</v>
      </c>
      <c r="G56">
        <v>172</v>
      </c>
      <c r="H56">
        <v>3</v>
      </c>
      <c r="I56">
        <v>168</v>
      </c>
      <c r="J56" s="11">
        <f t="shared" si="2"/>
        <v>719.9999999999992</v>
      </c>
      <c r="K56" s="11">
        <f t="shared" si="3"/>
        <v>551.9999999999992</v>
      </c>
    </row>
    <row r="57" spans="2:11" x14ac:dyDescent="0.15">
      <c r="B57" s="14" t="s">
        <v>136</v>
      </c>
      <c r="C57" t="s">
        <v>138</v>
      </c>
      <c r="D57" s="14" t="s">
        <v>144</v>
      </c>
      <c r="E57" s="14">
        <v>23</v>
      </c>
      <c r="F57" s="11">
        <v>138</v>
      </c>
      <c r="G57">
        <v>120</v>
      </c>
      <c r="H57">
        <v>3</v>
      </c>
      <c r="I57">
        <f>192/24*23</f>
        <v>184</v>
      </c>
      <c r="J57" s="11">
        <f t="shared" si="2"/>
        <v>1242</v>
      </c>
      <c r="K57" s="11">
        <f t="shared" si="3"/>
        <v>1058</v>
      </c>
    </row>
    <row r="58" spans="2:11" x14ac:dyDescent="0.15">
      <c r="B58" s="14" t="s">
        <v>136</v>
      </c>
      <c r="C58" t="s">
        <v>67</v>
      </c>
      <c r="D58" t="s">
        <v>11</v>
      </c>
      <c r="E58">
        <v>1</v>
      </c>
      <c r="F58" s="11">
        <v>445</v>
      </c>
      <c r="G58">
        <v>68</v>
      </c>
      <c r="H58">
        <v>3</v>
      </c>
      <c r="I58">
        <f>1*8</f>
        <v>8</v>
      </c>
      <c r="J58" s="11">
        <f t="shared" si="2"/>
        <v>1131</v>
      </c>
      <c r="K58" s="11">
        <f t="shared" si="3"/>
        <v>1123</v>
      </c>
    </row>
    <row r="59" spans="2:11" x14ac:dyDescent="0.15">
      <c r="B59" s="14" t="s">
        <v>136</v>
      </c>
      <c r="C59" t="s">
        <v>148</v>
      </c>
      <c r="D59" s="14" t="s">
        <v>144</v>
      </c>
      <c r="E59">
        <v>33</v>
      </c>
      <c r="F59" s="11">
        <v>180.27272727272728</v>
      </c>
      <c r="G59">
        <v>137</v>
      </c>
      <c r="H59">
        <v>3</v>
      </c>
      <c r="I59">
        <v>264</v>
      </c>
      <c r="J59" s="11">
        <f t="shared" si="2"/>
        <v>4284.0000000000009</v>
      </c>
      <c r="K59" s="11">
        <f t="shared" si="3"/>
        <v>4020.0000000000009</v>
      </c>
    </row>
    <row r="60" spans="2:11" x14ac:dyDescent="0.15">
      <c r="B60" s="14" t="s">
        <v>136</v>
      </c>
      <c r="C60" t="s">
        <v>68</v>
      </c>
      <c r="D60" s="14" t="s">
        <v>144</v>
      </c>
      <c r="E60">
        <v>24</v>
      </c>
      <c r="F60" s="11">
        <v>331.875</v>
      </c>
      <c r="G60">
        <v>218</v>
      </c>
      <c r="H60">
        <v>3</v>
      </c>
      <c r="I60">
        <v>192</v>
      </c>
      <c r="J60" s="11">
        <f t="shared" si="2"/>
        <v>8199</v>
      </c>
      <c r="K60" s="11">
        <f t="shared" si="3"/>
        <v>8007</v>
      </c>
    </row>
    <row r="61" spans="2:11" x14ac:dyDescent="0.15">
      <c r="B61" s="14" t="s">
        <v>136</v>
      </c>
      <c r="C61" s="14" t="s">
        <v>151</v>
      </c>
      <c r="D61" s="14" t="s">
        <v>144</v>
      </c>
      <c r="E61">
        <v>24</v>
      </c>
      <c r="F61" s="11">
        <v>378.29166666666669</v>
      </c>
      <c r="G61">
        <v>265</v>
      </c>
      <c r="H61">
        <v>3</v>
      </c>
      <c r="I61">
        <v>192</v>
      </c>
      <c r="J61" s="11">
        <f t="shared" si="2"/>
        <v>8157.0000000000018</v>
      </c>
      <c r="K61" s="11">
        <f t="shared" si="3"/>
        <v>7965.0000000000018</v>
      </c>
    </row>
    <row r="62" spans="2:11" x14ac:dyDescent="0.15">
      <c r="B62" s="14" t="s">
        <v>136</v>
      </c>
      <c r="C62" t="s">
        <v>143</v>
      </c>
      <c r="D62" s="14" t="s">
        <v>144</v>
      </c>
      <c r="E62">
        <v>10</v>
      </c>
      <c r="F62" s="11">
        <v>481.4</v>
      </c>
      <c r="G62">
        <v>327</v>
      </c>
      <c r="H62">
        <v>3</v>
      </c>
      <c r="I62">
        <v>80</v>
      </c>
      <c r="J62" s="11">
        <f t="shared" si="2"/>
        <v>4631.9999999999991</v>
      </c>
      <c r="K62" s="11">
        <f t="shared" si="3"/>
        <v>4551.9999999999991</v>
      </c>
    </row>
    <row r="63" spans="2:11" x14ac:dyDescent="0.15">
      <c r="B63" s="14" t="s">
        <v>136</v>
      </c>
      <c r="C63" t="s">
        <v>70</v>
      </c>
      <c r="D63" t="s">
        <v>11</v>
      </c>
      <c r="E63">
        <v>8</v>
      </c>
      <c r="F63" s="11">
        <f>(40*3+28*3+27*2)/8</f>
        <v>32.25</v>
      </c>
      <c r="G63">
        <v>7.5</v>
      </c>
      <c r="H63">
        <v>10</v>
      </c>
      <c r="I63">
        <f>8*8</f>
        <v>64</v>
      </c>
      <c r="J63" s="11">
        <f t="shared" si="2"/>
        <v>1980</v>
      </c>
      <c r="K63" s="11">
        <f t="shared" si="3"/>
        <v>1916</v>
      </c>
    </row>
    <row r="64" spans="2:11" x14ac:dyDescent="0.15">
      <c r="B64" s="14" t="s">
        <v>136</v>
      </c>
      <c r="C64" t="s">
        <v>71</v>
      </c>
      <c r="D64" t="s">
        <v>11</v>
      </c>
      <c r="E64">
        <v>8</v>
      </c>
      <c r="F64" s="11">
        <f>(54.5+31*3+29.5*3+22)/8</f>
        <v>32.25</v>
      </c>
      <c r="G64">
        <v>11</v>
      </c>
      <c r="H64">
        <v>10</v>
      </c>
      <c r="I64">
        <f>7*8</f>
        <v>56</v>
      </c>
      <c r="J64" s="11">
        <f t="shared" si="2"/>
        <v>1700</v>
      </c>
      <c r="K64" s="11">
        <f t="shared" si="3"/>
        <v>1644</v>
      </c>
    </row>
    <row r="65" spans="2:11" x14ac:dyDescent="0.15">
      <c r="B65" s="14" t="s">
        <v>136</v>
      </c>
      <c r="C65" t="s">
        <v>72</v>
      </c>
      <c r="D65" t="s">
        <v>18</v>
      </c>
      <c r="E65">
        <v>1</v>
      </c>
      <c r="F65" s="11">
        <v>39</v>
      </c>
      <c r="G65">
        <v>9</v>
      </c>
      <c r="H65">
        <v>10</v>
      </c>
      <c r="I65">
        <v>3.2</v>
      </c>
      <c r="J65" s="11">
        <f t="shared" si="2"/>
        <v>300</v>
      </c>
      <c r="K65" s="11">
        <f t="shared" si="3"/>
        <v>296.8</v>
      </c>
    </row>
    <row r="66" spans="2:11" x14ac:dyDescent="0.15">
      <c r="B66" s="14" t="s">
        <v>136</v>
      </c>
      <c r="C66" t="s">
        <v>73</v>
      </c>
      <c r="D66" t="s">
        <v>18</v>
      </c>
      <c r="E66">
        <v>3</v>
      </c>
      <c r="F66" s="11">
        <f>(27+26.5+26.5)/3</f>
        <v>26.666666666666668</v>
      </c>
      <c r="G66">
        <v>17</v>
      </c>
      <c r="H66">
        <v>10</v>
      </c>
      <c r="I66">
        <f>3.2*3</f>
        <v>9.6000000000000014</v>
      </c>
      <c r="J66" s="11">
        <f t="shared" ref="J66:J92" si="4">(F66-G66)*E66*H66</f>
        <v>290.00000000000006</v>
      </c>
      <c r="K66" s="11">
        <f t="shared" ref="K66:K97" si="5">J66-I66</f>
        <v>280.40000000000003</v>
      </c>
    </row>
    <row r="67" spans="2:11" x14ac:dyDescent="0.15">
      <c r="B67" s="14" t="s">
        <v>136</v>
      </c>
      <c r="C67" t="s">
        <v>74</v>
      </c>
      <c r="D67" t="s">
        <v>18</v>
      </c>
      <c r="E67">
        <v>4</v>
      </c>
      <c r="F67" s="11">
        <f>(21*2+20*2)/4</f>
        <v>20.5</v>
      </c>
      <c r="G67">
        <v>7</v>
      </c>
      <c r="H67">
        <v>5</v>
      </c>
      <c r="I67">
        <f>2*4</f>
        <v>8</v>
      </c>
      <c r="J67" s="11">
        <f t="shared" si="4"/>
        <v>270</v>
      </c>
      <c r="K67" s="11">
        <f t="shared" si="5"/>
        <v>262</v>
      </c>
    </row>
    <row r="68" spans="2:11" x14ac:dyDescent="0.15">
      <c r="B68" s="14" t="s">
        <v>136</v>
      </c>
      <c r="C68" t="s">
        <v>77</v>
      </c>
      <c r="D68" t="s">
        <v>18</v>
      </c>
      <c r="E68">
        <v>7</v>
      </c>
      <c r="F68" s="11">
        <f>(23+22.5+29+28+27.5+16.5*2)/7</f>
        <v>23.285714285714285</v>
      </c>
      <c r="G68">
        <v>8</v>
      </c>
      <c r="H68">
        <v>30</v>
      </c>
      <c r="I68">
        <f>7*8</f>
        <v>56</v>
      </c>
      <c r="J68" s="11">
        <f t="shared" si="4"/>
        <v>3210</v>
      </c>
      <c r="K68" s="11">
        <f t="shared" si="5"/>
        <v>3154</v>
      </c>
    </row>
    <row r="69" spans="2:11" x14ac:dyDescent="0.15">
      <c r="B69" s="14" t="s">
        <v>136</v>
      </c>
      <c r="C69" t="s">
        <v>78</v>
      </c>
      <c r="D69" t="s">
        <v>18</v>
      </c>
      <c r="E69">
        <v>5</v>
      </c>
      <c r="F69" s="11">
        <f>(24+22.5*4)/5</f>
        <v>22.8</v>
      </c>
      <c r="G69">
        <v>12</v>
      </c>
      <c r="H69">
        <v>30</v>
      </c>
      <c r="I69">
        <f>5*8</f>
        <v>40</v>
      </c>
      <c r="J69" s="11">
        <f t="shared" si="4"/>
        <v>1620</v>
      </c>
      <c r="K69" s="11">
        <f t="shared" si="5"/>
        <v>1580</v>
      </c>
    </row>
    <row r="70" spans="2:11" x14ac:dyDescent="0.15">
      <c r="B70" s="14" t="s">
        <v>136</v>
      </c>
      <c r="C70" t="s">
        <v>149</v>
      </c>
      <c r="D70" s="14" t="s">
        <v>152</v>
      </c>
      <c r="E70">
        <v>4</v>
      </c>
      <c r="F70" s="11">
        <v>23.25</v>
      </c>
      <c r="G70">
        <v>24</v>
      </c>
      <c r="H70">
        <v>30</v>
      </c>
      <c r="I70">
        <v>32</v>
      </c>
      <c r="J70" s="11">
        <f t="shared" si="4"/>
        <v>-90</v>
      </c>
      <c r="K70" s="11">
        <f t="shared" si="5"/>
        <v>-122</v>
      </c>
    </row>
    <row r="71" spans="2:11" x14ac:dyDescent="0.15">
      <c r="B71" s="14" t="s">
        <v>136</v>
      </c>
      <c r="C71" t="s">
        <v>79</v>
      </c>
      <c r="D71" t="s">
        <v>18</v>
      </c>
      <c r="E71">
        <v>4</v>
      </c>
      <c r="F71" s="11">
        <f>(28*2+29*2)/4</f>
        <v>28.5</v>
      </c>
      <c r="G71">
        <v>8</v>
      </c>
      <c r="H71">
        <v>5</v>
      </c>
      <c r="I71">
        <f>2*4</f>
        <v>8</v>
      </c>
      <c r="J71" s="11">
        <f t="shared" si="4"/>
        <v>410</v>
      </c>
      <c r="K71" s="11">
        <f t="shared" si="5"/>
        <v>402</v>
      </c>
    </row>
    <row r="72" spans="2:11" x14ac:dyDescent="0.15">
      <c r="B72" s="14" t="s">
        <v>136</v>
      </c>
      <c r="C72" t="s">
        <v>80</v>
      </c>
      <c r="D72" t="s">
        <v>11</v>
      </c>
      <c r="E72">
        <v>1</v>
      </c>
      <c r="F72" s="11">
        <v>620</v>
      </c>
      <c r="G72">
        <v>342</v>
      </c>
      <c r="H72">
        <v>1</v>
      </c>
      <c r="I72">
        <v>6</v>
      </c>
      <c r="J72" s="11">
        <f t="shared" si="4"/>
        <v>278</v>
      </c>
      <c r="K72" s="11">
        <f t="shared" si="5"/>
        <v>272</v>
      </c>
    </row>
    <row r="73" spans="2:11" x14ac:dyDescent="0.15">
      <c r="B73" s="14" t="s">
        <v>136</v>
      </c>
      <c r="C73" t="s">
        <v>81</v>
      </c>
      <c r="D73" t="s">
        <v>18</v>
      </c>
      <c r="E73">
        <v>6</v>
      </c>
      <c r="F73" s="11">
        <v>8.5833333300000003</v>
      </c>
      <c r="G73">
        <v>5</v>
      </c>
      <c r="H73">
        <v>10</v>
      </c>
      <c r="I73">
        <f>18+18</f>
        <v>36</v>
      </c>
      <c r="J73" s="11">
        <f t="shared" si="4"/>
        <v>214.99999980000001</v>
      </c>
      <c r="K73" s="11">
        <f t="shared" si="5"/>
        <v>178.99999980000001</v>
      </c>
    </row>
    <row r="74" spans="2:11" x14ac:dyDescent="0.15">
      <c r="B74" s="14" t="s">
        <v>136</v>
      </c>
      <c r="C74" t="s">
        <v>82</v>
      </c>
      <c r="D74" t="s">
        <v>18</v>
      </c>
      <c r="E74">
        <v>1</v>
      </c>
      <c r="F74" s="11">
        <v>42.5</v>
      </c>
      <c r="G74">
        <v>25.5</v>
      </c>
      <c r="H74">
        <v>5</v>
      </c>
      <c r="I74">
        <v>2</v>
      </c>
      <c r="J74" s="11">
        <f t="shared" si="4"/>
        <v>85</v>
      </c>
      <c r="K74" s="11">
        <f t="shared" si="5"/>
        <v>83</v>
      </c>
    </row>
    <row r="75" spans="2:11" x14ac:dyDescent="0.15">
      <c r="B75" s="14" t="s">
        <v>136</v>
      </c>
      <c r="C75" t="s">
        <v>83</v>
      </c>
      <c r="D75" t="s">
        <v>18</v>
      </c>
      <c r="E75">
        <v>2</v>
      </c>
      <c r="F75" s="11">
        <f>(32.5+32)/2</f>
        <v>32.25</v>
      </c>
      <c r="G75">
        <v>18.5</v>
      </c>
      <c r="H75">
        <v>5</v>
      </c>
      <c r="I75">
        <f>2*2</f>
        <v>4</v>
      </c>
      <c r="J75" s="11">
        <f t="shared" si="4"/>
        <v>137.5</v>
      </c>
      <c r="K75" s="11">
        <f t="shared" si="5"/>
        <v>133.5</v>
      </c>
    </row>
    <row r="76" spans="2:11" x14ac:dyDescent="0.15">
      <c r="B76" s="14" t="s">
        <v>136</v>
      </c>
      <c r="C76" t="s">
        <v>84</v>
      </c>
      <c r="D76" t="s">
        <v>18</v>
      </c>
      <c r="E76">
        <v>3</v>
      </c>
      <c r="F76" s="11">
        <f>(88+24.5+24)/3</f>
        <v>45.5</v>
      </c>
      <c r="G76">
        <v>13.5</v>
      </c>
      <c r="H76">
        <v>5</v>
      </c>
      <c r="I76">
        <f>2*3</f>
        <v>6</v>
      </c>
      <c r="J76" s="11">
        <f t="shared" si="4"/>
        <v>480</v>
      </c>
      <c r="K76" s="11">
        <f t="shared" si="5"/>
        <v>474</v>
      </c>
    </row>
    <row r="77" spans="2:11" x14ac:dyDescent="0.15">
      <c r="B77" s="14" t="s">
        <v>136</v>
      </c>
      <c r="C77" t="s">
        <v>85</v>
      </c>
      <c r="D77" t="s">
        <v>18</v>
      </c>
      <c r="E77">
        <v>3</v>
      </c>
      <c r="F77" s="11">
        <f>(20+19.5+13.5)/3</f>
        <v>17.666666666666668</v>
      </c>
      <c r="G77">
        <v>11</v>
      </c>
      <c r="H77">
        <v>5</v>
      </c>
      <c r="I77">
        <f>2*3</f>
        <v>6</v>
      </c>
      <c r="J77" s="11">
        <f t="shared" si="4"/>
        <v>100.00000000000001</v>
      </c>
      <c r="K77" s="11">
        <f t="shared" si="5"/>
        <v>94.000000000000014</v>
      </c>
    </row>
    <row r="78" spans="2:11" x14ac:dyDescent="0.15">
      <c r="B78" s="14" t="s">
        <v>136</v>
      </c>
      <c r="C78" t="s">
        <v>86</v>
      </c>
      <c r="D78" t="s">
        <v>18</v>
      </c>
      <c r="E78">
        <v>2</v>
      </c>
      <c r="F78" s="11">
        <f>(16+11)/2</f>
        <v>13.5</v>
      </c>
      <c r="G78">
        <v>7.5</v>
      </c>
      <c r="H78">
        <v>5</v>
      </c>
      <c r="I78">
        <f>2*2</f>
        <v>4</v>
      </c>
      <c r="J78" s="11">
        <f t="shared" si="4"/>
        <v>60</v>
      </c>
      <c r="K78" s="11">
        <f t="shared" si="5"/>
        <v>56</v>
      </c>
    </row>
    <row r="79" spans="2:11" x14ac:dyDescent="0.15">
      <c r="B79" s="14" t="s">
        <v>136</v>
      </c>
      <c r="C79" t="s">
        <v>87</v>
      </c>
      <c r="D79" t="s">
        <v>18</v>
      </c>
      <c r="E79">
        <v>2</v>
      </c>
      <c r="F79" s="11">
        <v>41</v>
      </c>
      <c r="G79">
        <v>12</v>
      </c>
      <c r="H79">
        <v>5</v>
      </c>
      <c r="I79">
        <v>4</v>
      </c>
      <c r="J79" s="11">
        <f t="shared" si="4"/>
        <v>290</v>
      </c>
      <c r="K79" s="11">
        <f t="shared" si="5"/>
        <v>286</v>
      </c>
    </row>
    <row r="80" spans="2:11" x14ac:dyDescent="0.15">
      <c r="B80" s="14" t="s">
        <v>136</v>
      </c>
      <c r="C80" t="s">
        <v>88</v>
      </c>
      <c r="D80" t="s">
        <v>18</v>
      </c>
      <c r="E80">
        <v>9</v>
      </c>
      <c r="F80" s="11">
        <f>(56.5+56+41+40+39.5+39+38.5*2+39.5)/9</f>
        <v>43.166666666666664</v>
      </c>
      <c r="G80">
        <v>23</v>
      </c>
      <c r="H80">
        <v>5</v>
      </c>
      <c r="I80">
        <f>2*9</f>
        <v>18</v>
      </c>
      <c r="J80" s="11">
        <f t="shared" si="4"/>
        <v>907.49999999999989</v>
      </c>
      <c r="K80" s="11">
        <f t="shared" si="5"/>
        <v>889.49999999999989</v>
      </c>
    </row>
    <row r="81" spans="1:13" x14ac:dyDescent="0.15">
      <c r="B81" s="14" t="s">
        <v>136</v>
      </c>
      <c r="C81" t="s">
        <v>89</v>
      </c>
      <c r="D81" t="s">
        <v>18</v>
      </c>
      <c r="E81">
        <v>2</v>
      </c>
      <c r="F81" s="11">
        <f>(45+45.5+46+46.5)/4</f>
        <v>45.75</v>
      </c>
      <c r="G81">
        <v>32</v>
      </c>
      <c r="H81">
        <v>5</v>
      </c>
      <c r="I81">
        <f>2*2</f>
        <v>4</v>
      </c>
      <c r="J81" s="11">
        <f t="shared" si="4"/>
        <v>137.5</v>
      </c>
      <c r="K81" s="11">
        <f t="shared" si="5"/>
        <v>133.5</v>
      </c>
    </row>
    <row r="82" spans="1:13" x14ac:dyDescent="0.15">
      <c r="B82" s="14" t="s">
        <v>136</v>
      </c>
      <c r="C82" t="s">
        <v>90</v>
      </c>
      <c r="D82" t="s">
        <v>18</v>
      </c>
      <c r="E82">
        <v>1</v>
      </c>
      <c r="F82" s="11">
        <v>86.5</v>
      </c>
      <c r="G82">
        <v>43.5</v>
      </c>
      <c r="H82">
        <v>5</v>
      </c>
      <c r="I82">
        <v>2</v>
      </c>
      <c r="J82" s="11">
        <f t="shared" si="4"/>
        <v>215</v>
      </c>
      <c r="K82" s="11">
        <f t="shared" si="5"/>
        <v>213</v>
      </c>
    </row>
    <row r="83" spans="1:13" x14ac:dyDescent="0.15">
      <c r="B83" s="14" t="s">
        <v>136</v>
      </c>
      <c r="C83" t="s">
        <v>91</v>
      </c>
      <c r="D83" t="s">
        <v>18</v>
      </c>
      <c r="E83">
        <v>2</v>
      </c>
      <c r="F83" s="11">
        <v>35</v>
      </c>
      <c r="G83">
        <v>37.5</v>
      </c>
      <c r="H83">
        <v>20</v>
      </c>
      <c r="I83">
        <v>8</v>
      </c>
      <c r="J83" s="11">
        <f t="shared" si="4"/>
        <v>-100</v>
      </c>
      <c r="K83" s="11">
        <f t="shared" si="5"/>
        <v>-108</v>
      </c>
    </row>
    <row r="84" spans="1:13" x14ac:dyDescent="0.15">
      <c r="B84" s="14" t="s">
        <v>136</v>
      </c>
      <c r="C84" t="s">
        <v>92</v>
      </c>
      <c r="D84" t="s">
        <v>18</v>
      </c>
      <c r="E84">
        <v>1</v>
      </c>
      <c r="F84" s="11">
        <v>26.5</v>
      </c>
      <c r="G84">
        <v>5</v>
      </c>
      <c r="H84">
        <v>20</v>
      </c>
      <c r="I84">
        <v>4</v>
      </c>
      <c r="J84" s="11">
        <f t="shared" si="4"/>
        <v>430</v>
      </c>
      <c r="K84" s="11">
        <f t="shared" si="5"/>
        <v>426</v>
      </c>
    </row>
    <row r="85" spans="1:13" x14ac:dyDescent="0.15">
      <c r="B85" s="14" t="s">
        <v>136</v>
      </c>
      <c r="C85" t="s">
        <v>93</v>
      </c>
      <c r="D85" t="s">
        <v>18</v>
      </c>
      <c r="E85">
        <v>1</v>
      </c>
      <c r="F85" s="11">
        <v>33</v>
      </c>
      <c r="G85">
        <v>8</v>
      </c>
      <c r="H85">
        <v>20</v>
      </c>
      <c r="I85">
        <v>4</v>
      </c>
      <c r="J85" s="11">
        <f t="shared" si="4"/>
        <v>500</v>
      </c>
      <c r="K85" s="11">
        <f t="shared" si="5"/>
        <v>496</v>
      </c>
    </row>
    <row r="86" spans="1:13" x14ac:dyDescent="0.15">
      <c r="B86" s="14" t="s">
        <v>136</v>
      </c>
      <c r="C86" t="s">
        <v>94</v>
      </c>
      <c r="D86" t="s">
        <v>24</v>
      </c>
      <c r="E86">
        <v>10</v>
      </c>
      <c r="F86" s="11">
        <v>27.5</v>
      </c>
      <c r="G86">
        <v>14.5</v>
      </c>
      <c r="H86">
        <v>5</v>
      </c>
      <c r="I86">
        <f>2*10</f>
        <v>20</v>
      </c>
      <c r="J86" s="11">
        <f t="shared" si="4"/>
        <v>650</v>
      </c>
      <c r="K86" s="11">
        <f t="shared" si="5"/>
        <v>630</v>
      </c>
    </row>
    <row r="87" spans="1:13" x14ac:dyDescent="0.15">
      <c r="B87" s="14" t="s">
        <v>137</v>
      </c>
      <c r="C87" t="s">
        <v>142</v>
      </c>
      <c r="D87" s="14" t="s">
        <v>150</v>
      </c>
      <c r="E87">
        <v>5</v>
      </c>
      <c r="F87" s="11">
        <f>4.8</f>
        <v>4.8</v>
      </c>
      <c r="G87">
        <v>3.5</v>
      </c>
      <c r="H87">
        <v>100</v>
      </c>
      <c r="I87">
        <f>4+4+2</f>
        <v>10</v>
      </c>
      <c r="L87" s="11">
        <f>(F87-G87)*E87*H87</f>
        <v>649.99999999999989</v>
      </c>
      <c r="M87" s="11">
        <f>L87-I87</f>
        <v>639.99999999999989</v>
      </c>
    </row>
    <row r="88" spans="1:13" x14ac:dyDescent="0.15">
      <c r="B88" s="14" t="s">
        <v>137</v>
      </c>
      <c r="C88" t="s">
        <v>141</v>
      </c>
      <c r="D88" s="14" t="s">
        <v>144</v>
      </c>
      <c r="E88">
        <v>5</v>
      </c>
      <c r="F88" s="11">
        <f>296</f>
        <v>296</v>
      </c>
      <c r="G88">
        <v>285</v>
      </c>
      <c r="H88">
        <v>3</v>
      </c>
      <c r="I88">
        <f>10.1</f>
        <v>10.1</v>
      </c>
      <c r="L88" s="11">
        <f>(F88-G88)*E88*H88</f>
        <v>165</v>
      </c>
      <c r="M88" s="11">
        <f>L88-I88</f>
        <v>154.9</v>
      </c>
    </row>
    <row r="89" spans="1:13" x14ac:dyDescent="0.15">
      <c r="B89" s="14" t="s">
        <v>137</v>
      </c>
      <c r="C89" t="s">
        <v>140</v>
      </c>
      <c r="D89" s="14" t="s">
        <v>144</v>
      </c>
      <c r="E89">
        <v>6</v>
      </c>
      <c r="F89" s="11">
        <f>(225*5+221*1)/6</f>
        <v>224.33333333333334</v>
      </c>
      <c r="G89">
        <v>233</v>
      </c>
      <c r="H89">
        <v>3</v>
      </c>
      <c r="I89">
        <f>10.1+2</f>
        <v>12.1</v>
      </c>
      <c r="L89" s="11">
        <f>(F89-G89)*E89*H89</f>
        <v>-155.99999999999983</v>
      </c>
      <c r="M89" s="11">
        <f>L89-I89</f>
        <v>-168.09999999999982</v>
      </c>
    </row>
    <row r="90" spans="1:13" x14ac:dyDescent="0.15">
      <c r="B90" s="14" t="s">
        <v>137</v>
      </c>
      <c r="C90" t="s">
        <v>139</v>
      </c>
      <c r="D90" s="14" t="s">
        <v>144</v>
      </c>
      <c r="E90">
        <v>8</v>
      </c>
      <c r="F90" s="16">
        <f>(165*5+161*3)/8</f>
        <v>163.5</v>
      </c>
      <c r="G90">
        <v>172</v>
      </c>
      <c r="H90">
        <v>3</v>
      </c>
      <c r="I90">
        <f>10.1+6.1</f>
        <v>16.2</v>
      </c>
      <c r="L90" s="11">
        <f>(F90-G90)*E90*H90</f>
        <v>-204</v>
      </c>
      <c r="M90" s="11">
        <f>L90-I90</f>
        <v>-220.2</v>
      </c>
    </row>
    <row r="91" spans="1:13" x14ac:dyDescent="0.15">
      <c r="B91" s="14" t="s">
        <v>137</v>
      </c>
      <c r="C91" t="s">
        <v>138</v>
      </c>
      <c r="D91" s="14" t="s">
        <v>144</v>
      </c>
      <c r="E91">
        <v>5</v>
      </c>
      <c r="F91" s="11">
        <v>120</v>
      </c>
      <c r="G91">
        <v>120</v>
      </c>
      <c r="H91">
        <v>3</v>
      </c>
      <c r="I91">
        <v>10.1</v>
      </c>
      <c r="L91" s="11">
        <f>(F91-G91)*E91*H91</f>
        <v>0</v>
      </c>
      <c r="M91" s="11">
        <f>L91-I91</f>
        <v>-10.1</v>
      </c>
    </row>
    <row r="92" spans="1:13" x14ac:dyDescent="0.15">
      <c r="B92" s="14" t="s">
        <v>137</v>
      </c>
      <c r="C92" t="s">
        <v>69</v>
      </c>
      <c r="D92" s="14" t="s">
        <v>144</v>
      </c>
      <c r="E92">
        <v>1</v>
      </c>
      <c r="F92" s="11">
        <v>306</v>
      </c>
      <c r="G92">
        <v>265</v>
      </c>
      <c r="H92">
        <v>3</v>
      </c>
      <c r="I92">
        <v>2</v>
      </c>
      <c r="L92" s="11">
        <f>(F92-G92)*E92*H92</f>
        <v>123</v>
      </c>
      <c r="M92" s="11">
        <f>L92-I92</f>
        <v>121</v>
      </c>
    </row>
    <row r="95" spans="1:13" x14ac:dyDescent="0.15">
      <c r="A95" s="15" t="s">
        <v>95</v>
      </c>
      <c r="B95" s="14" t="s">
        <v>136</v>
      </c>
      <c r="C95" s="16">
        <f>SUM(K:K)+SUM(已平仓!J:J)</f>
        <v>32147.279999800012</v>
      </c>
    </row>
    <row r="96" spans="1:13" x14ac:dyDescent="0.15">
      <c r="B96" s="14" t="s">
        <v>137</v>
      </c>
      <c r="C96" s="16">
        <f>SUM(M:M)+SUM(已平仓!L:L)</f>
        <v>517.5</v>
      </c>
    </row>
    <row r="98" spans="2:7" x14ac:dyDescent="0.15">
      <c r="B98" s="14"/>
      <c r="F98"/>
      <c r="G98"/>
    </row>
    <row r="99" spans="2:7" x14ac:dyDescent="0.15">
      <c r="B99" s="14"/>
      <c r="F99"/>
      <c r="G99"/>
    </row>
  </sheetData>
  <autoFilter ref="A1:K80" xr:uid="{00000000-0009-0000-0000-000000000000}">
    <sortState xmlns:xlrd2="http://schemas.microsoft.com/office/spreadsheetml/2017/richdata2" ref="A2:K92">
      <sortCondition ref="B1:B80"/>
    </sortState>
  </autoFilter>
  <sortState xmlns:xlrd2="http://schemas.microsoft.com/office/spreadsheetml/2017/richdata2" ref="A2:K75">
    <sortCondition ref="C2"/>
  </sortState>
  <phoneticPr fontId="2" type="noConversion"/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4"/>
  <sheetViews>
    <sheetView workbookViewId="0">
      <pane ySplit="1" topLeftCell="A35" activePane="bottomLeft" state="frozen"/>
      <selection pane="bottomLeft" activeCell="L1" sqref="L1"/>
    </sheetView>
  </sheetViews>
  <sheetFormatPr defaultColWidth="9" defaultRowHeight="13.5" x14ac:dyDescent="0.15"/>
  <cols>
    <col min="1" max="1" width="13.75" customWidth="1"/>
    <col min="2" max="2" width="18.125" customWidth="1"/>
    <col min="5" max="5" width="15.25" customWidth="1"/>
    <col min="6" max="6" width="13.75" style="11" customWidth="1"/>
    <col min="7" max="7" width="14.5" customWidth="1"/>
    <col min="8" max="8" width="12.875" customWidth="1"/>
    <col min="9" max="9" width="14.75" customWidth="1"/>
    <col min="10" max="10" width="22.375" customWidth="1"/>
    <col min="12" max="12" width="22.875" customWidth="1"/>
  </cols>
  <sheetData>
    <row r="1" spans="1:12" s="6" customFormat="1" ht="12" customHeight="1" x14ac:dyDescent="0.15">
      <c r="A1" s="2" t="s">
        <v>96</v>
      </c>
      <c r="B1" s="6" t="s">
        <v>1</v>
      </c>
      <c r="C1" s="6" t="s">
        <v>2</v>
      </c>
      <c r="D1" s="6" t="s">
        <v>3</v>
      </c>
      <c r="E1" s="12" t="s">
        <v>4</v>
      </c>
      <c r="F1" s="12" t="s">
        <v>97</v>
      </c>
      <c r="G1" s="6" t="s">
        <v>6</v>
      </c>
      <c r="H1" s="6" t="s">
        <v>98</v>
      </c>
      <c r="I1" s="12" t="s">
        <v>99</v>
      </c>
      <c r="J1" s="12" t="s">
        <v>100</v>
      </c>
      <c r="K1" s="12" t="s">
        <v>157</v>
      </c>
      <c r="L1" s="12" t="s">
        <v>158</v>
      </c>
    </row>
    <row r="2" spans="1:12" x14ac:dyDescent="0.15">
      <c r="A2" s="4">
        <v>45818</v>
      </c>
      <c r="B2" t="s">
        <v>101</v>
      </c>
      <c r="C2" t="s">
        <v>24</v>
      </c>
      <c r="D2">
        <v>1</v>
      </c>
      <c r="E2">
        <v>14.5</v>
      </c>
      <c r="F2" s="11">
        <v>18</v>
      </c>
      <c r="G2">
        <v>10</v>
      </c>
      <c r="H2">
        <f>2*2</f>
        <v>4</v>
      </c>
      <c r="I2" s="11">
        <f t="shared" ref="I2:I8" si="0">(E2-F2)*D2*G2</f>
        <v>-35</v>
      </c>
      <c r="J2" s="11">
        <f t="shared" ref="J2:J8" si="1">I2-H2</f>
        <v>-39</v>
      </c>
    </row>
    <row r="3" spans="1:12" x14ac:dyDescent="0.15">
      <c r="A3" s="5">
        <v>45821</v>
      </c>
      <c r="B3" t="s">
        <v>102</v>
      </c>
      <c r="C3" t="s">
        <v>18</v>
      </c>
      <c r="D3">
        <v>4</v>
      </c>
      <c r="E3">
        <v>33.549999999999997</v>
      </c>
      <c r="F3" s="11">
        <v>109</v>
      </c>
      <c r="G3">
        <v>5</v>
      </c>
      <c r="H3">
        <f>2*4*2</f>
        <v>16</v>
      </c>
      <c r="I3" s="11">
        <f t="shared" si="0"/>
        <v>-1509</v>
      </c>
      <c r="J3" s="11">
        <f t="shared" si="1"/>
        <v>-1525</v>
      </c>
    </row>
    <row r="4" spans="1:12" x14ac:dyDescent="0.15">
      <c r="A4" s="5">
        <v>45826</v>
      </c>
      <c r="B4" t="s">
        <v>102</v>
      </c>
      <c r="C4" t="s">
        <v>18</v>
      </c>
      <c r="D4">
        <v>5</v>
      </c>
      <c r="E4">
        <v>33.549999999999997</v>
      </c>
      <c r="F4" s="11">
        <v>151.69999999999999</v>
      </c>
      <c r="G4">
        <v>5</v>
      </c>
      <c r="H4">
        <f>2*5+2*5</f>
        <v>20</v>
      </c>
      <c r="I4" s="11">
        <f t="shared" si="0"/>
        <v>-2953.75</v>
      </c>
      <c r="J4" s="11">
        <f t="shared" si="1"/>
        <v>-2973.75</v>
      </c>
    </row>
    <row r="5" spans="1:12" x14ac:dyDescent="0.15">
      <c r="A5" s="5">
        <v>45826</v>
      </c>
      <c r="B5" t="s">
        <v>103</v>
      </c>
      <c r="C5" t="s">
        <v>24</v>
      </c>
      <c r="D5">
        <v>1</v>
      </c>
      <c r="E5">
        <v>18.670000000000002</v>
      </c>
      <c r="F5" s="11">
        <v>32</v>
      </c>
      <c r="G5">
        <v>10</v>
      </c>
      <c r="H5">
        <f>2*1*2</f>
        <v>4</v>
      </c>
      <c r="I5" s="11">
        <f t="shared" si="0"/>
        <v>-133.29999999999998</v>
      </c>
      <c r="J5" s="11">
        <f t="shared" si="1"/>
        <v>-137.29999999999998</v>
      </c>
    </row>
    <row r="6" spans="1:12" x14ac:dyDescent="0.15">
      <c r="A6" s="5">
        <v>45827</v>
      </c>
      <c r="B6" t="s">
        <v>103</v>
      </c>
      <c r="C6" t="s">
        <v>24</v>
      </c>
      <c r="D6">
        <v>1</v>
      </c>
      <c r="E6">
        <v>18.670000000000002</v>
      </c>
      <c r="F6" s="11">
        <v>28.5</v>
      </c>
      <c r="G6">
        <v>10</v>
      </c>
      <c r="H6">
        <f>2*1*2</f>
        <v>4</v>
      </c>
      <c r="I6" s="11">
        <f t="shared" si="0"/>
        <v>-98.299999999999983</v>
      </c>
      <c r="J6" s="11">
        <f t="shared" si="1"/>
        <v>-102.29999999999998</v>
      </c>
    </row>
    <row r="7" spans="1:12" x14ac:dyDescent="0.15">
      <c r="A7" s="5">
        <v>45828</v>
      </c>
      <c r="B7" t="s">
        <v>104</v>
      </c>
      <c r="C7" t="s">
        <v>11</v>
      </c>
      <c r="D7">
        <v>1</v>
      </c>
      <c r="E7">
        <v>13.5</v>
      </c>
      <c r="F7" s="11">
        <v>1</v>
      </c>
      <c r="G7">
        <v>20</v>
      </c>
      <c r="H7">
        <f>14*2*1</f>
        <v>28</v>
      </c>
      <c r="I7" s="11">
        <f t="shared" si="0"/>
        <v>250</v>
      </c>
      <c r="J7" s="11">
        <f t="shared" si="1"/>
        <v>222</v>
      </c>
    </row>
    <row r="8" spans="1:12" x14ac:dyDescent="0.15">
      <c r="A8" s="5">
        <v>45828</v>
      </c>
      <c r="B8" t="s">
        <v>103</v>
      </c>
      <c r="C8" t="s">
        <v>24</v>
      </c>
      <c r="D8">
        <v>1</v>
      </c>
      <c r="E8">
        <v>18.670000000000002</v>
      </c>
      <c r="F8" s="11">
        <v>31</v>
      </c>
      <c r="G8">
        <v>10</v>
      </c>
      <c r="H8">
        <f>2*1*2</f>
        <v>4</v>
      </c>
      <c r="I8" s="11">
        <f t="shared" si="0"/>
        <v>-123.29999999999998</v>
      </c>
      <c r="J8" s="11">
        <f t="shared" si="1"/>
        <v>-127.29999999999998</v>
      </c>
    </row>
    <row r="9" spans="1:12" x14ac:dyDescent="0.15">
      <c r="A9" s="5">
        <v>45832</v>
      </c>
      <c r="B9" t="s">
        <v>89</v>
      </c>
      <c r="C9" t="s">
        <v>18</v>
      </c>
      <c r="D9">
        <v>2</v>
      </c>
      <c r="E9">
        <v>45.75</v>
      </c>
      <c r="F9" s="11">
        <v>57</v>
      </c>
      <c r="G9">
        <v>5</v>
      </c>
      <c r="H9">
        <f>2*2*2</f>
        <v>8</v>
      </c>
      <c r="I9" s="11">
        <f t="shared" ref="I9:I52" si="2">(E9-F9)*D9*G9</f>
        <v>-112.5</v>
      </c>
      <c r="J9" s="11">
        <f t="shared" ref="J9:J53" si="3">I9-H9</f>
        <v>-120.5</v>
      </c>
    </row>
    <row r="10" spans="1:12" x14ac:dyDescent="0.15">
      <c r="A10" s="5">
        <v>45833</v>
      </c>
      <c r="B10" t="s">
        <v>105</v>
      </c>
      <c r="C10" t="s">
        <v>11</v>
      </c>
      <c r="D10">
        <v>2</v>
      </c>
      <c r="E10">
        <v>75</v>
      </c>
      <c r="F10" s="11">
        <f>(52+57)/2</f>
        <v>54.5</v>
      </c>
      <c r="G10">
        <v>15</v>
      </c>
      <c r="H10">
        <f>2*2*8</f>
        <v>32</v>
      </c>
      <c r="I10" s="11">
        <f t="shared" si="2"/>
        <v>615</v>
      </c>
      <c r="J10" s="11">
        <f t="shared" si="3"/>
        <v>583</v>
      </c>
    </row>
    <row r="11" spans="1:12" x14ac:dyDescent="0.15">
      <c r="A11" s="5">
        <v>45833</v>
      </c>
      <c r="B11" t="s">
        <v>106</v>
      </c>
      <c r="C11" t="s">
        <v>11</v>
      </c>
      <c r="D11">
        <v>1</v>
      </c>
      <c r="E11">
        <v>65</v>
      </c>
      <c r="F11" s="11">
        <v>100</v>
      </c>
      <c r="G11">
        <v>15</v>
      </c>
      <c r="H11">
        <f>1*2*8</f>
        <v>16</v>
      </c>
      <c r="I11" s="11">
        <f t="shared" si="2"/>
        <v>-525</v>
      </c>
      <c r="J11" s="11">
        <f t="shared" si="3"/>
        <v>-541</v>
      </c>
    </row>
    <row r="12" spans="1:12" x14ac:dyDescent="0.15">
      <c r="A12" s="5">
        <v>45833</v>
      </c>
      <c r="B12" t="s">
        <v>107</v>
      </c>
      <c r="C12" t="s">
        <v>11</v>
      </c>
      <c r="D12">
        <v>2</v>
      </c>
      <c r="E12">
        <f>(48+28)/2</f>
        <v>38</v>
      </c>
      <c r="F12" s="11">
        <v>0</v>
      </c>
      <c r="G12">
        <v>5</v>
      </c>
      <c r="H12">
        <v>40</v>
      </c>
      <c r="I12" s="11">
        <f t="shared" si="2"/>
        <v>380</v>
      </c>
      <c r="J12" s="11">
        <f t="shared" si="3"/>
        <v>340</v>
      </c>
    </row>
    <row r="13" spans="1:12" x14ac:dyDescent="0.15">
      <c r="A13" s="5">
        <v>45833</v>
      </c>
      <c r="B13" t="s">
        <v>108</v>
      </c>
      <c r="C13" t="s">
        <v>11</v>
      </c>
      <c r="D13">
        <v>2</v>
      </c>
      <c r="E13">
        <v>86</v>
      </c>
      <c r="F13" s="11">
        <v>0</v>
      </c>
      <c r="G13">
        <v>1</v>
      </c>
      <c r="H13">
        <v>12</v>
      </c>
      <c r="I13" s="11">
        <f t="shared" si="2"/>
        <v>172</v>
      </c>
      <c r="J13" s="11">
        <f t="shared" si="3"/>
        <v>160</v>
      </c>
    </row>
    <row r="14" spans="1:12" x14ac:dyDescent="0.15">
      <c r="A14" s="5">
        <v>45833</v>
      </c>
      <c r="B14" t="s">
        <v>109</v>
      </c>
      <c r="C14" t="s">
        <v>11</v>
      </c>
      <c r="D14">
        <v>1</v>
      </c>
      <c r="E14">
        <v>142</v>
      </c>
      <c r="F14" s="11">
        <v>0</v>
      </c>
      <c r="G14">
        <v>2</v>
      </c>
      <c r="H14">
        <v>12</v>
      </c>
      <c r="I14" s="11">
        <f t="shared" si="2"/>
        <v>284</v>
      </c>
      <c r="J14" s="11">
        <f t="shared" si="3"/>
        <v>272</v>
      </c>
    </row>
    <row r="15" spans="1:12" x14ac:dyDescent="0.15">
      <c r="A15" s="5">
        <v>45834</v>
      </c>
      <c r="B15" t="s">
        <v>73</v>
      </c>
      <c r="C15" t="s">
        <v>18</v>
      </c>
      <c r="D15">
        <v>1</v>
      </c>
      <c r="E15">
        <v>27</v>
      </c>
      <c r="F15" s="11">
        <v>57</v>
      </c>
      <c r="G15">
        <v>10</v>
      </c>
      <c r="H15">
        <f>3.2*1*2</f>
        <v>6.4</v>
      </c>
      <c r="I15" s="11">
        <f t="shared" si="2"/>
        <v>-300</v>
      </c>
      <c r="J15" s="11">
        <f t="shared" si="3"/>
        <v>-306.39999999999998</v>
      </c>
    </row>
    <row r="16" spans="1:12" x14ac:dyDescent="0.15">
      <c r="A16" s="5">
        <v>45834</v>
      </c>
      <c r="B16" t="s">
        <v>110</v>
      </c>
      <c r="C16" t="s">
        <v>11</v>
      </c>
      <c r="D16">
        <v>2</v>
      </c>
      <c r="E16">
        <v>63</v>
      </c>
      <c r="F16" s="11">
        <v>63</v>
      </c>
      <c r="G16">
        <v>5</v>
      </c>
      <c r="H16">
        <f>2*2*8</f>
        <v>32</v>
      </c>
      <c r="I16" s="11">
        <f t="shared" si="2"/>
        <v>0</v>
      </c>
      <c r="J16" s="11">
        <f t="shared" si="3"/>
        <v>-32</v>
      </c>
    </row>
    <row r="17" spans="1:12" x14ac:dyDescent="0.15">
      <c r="A17" s="5">
        <v>45835</v>
      </c>
      <c r="B17" t="s">
        <v>16</v>
      </c>
      <c r="C17" t="s">
        <v>11</v>
      </c>
      <c r="D17">
        <v>1</v>
      </c>
      <c r="E17">
        <v>39</v>
      </c>
      <c r="F17" s="11">
        <v>35</v>
      </c>
      <c r="G17">
        <v>20</v>
      </c>
      <c r="H17">
        <f>2*1*14</f>
        <v>28</v>
      </c>
      <c r="I17" s="11">
        <f t="shared" si="2"/>
        <v>80</v>
      </c>
      <c r="J17" s="11">
        <f t="shared" si="3"/>
        <v>52</v>
      </c>
    </row>
    <row r="18" spans="1:12" x14ac:dyDescent="0.15">
      <c r="A18" s="5">
        <v>45835</v>
      </c>
      <c r="B18" t="s">
        <v>111</v>
      </c>
      <c r="C18" t="s">
        <v>11</v>
      </c>
      <c r="D18">
        <v>1</v>
      </c>
      <c r="E18">
        <v>650</v>
      </c>
      <c r="F18" s="11">
        <v>1540</v>
      </c>
      <c r="G18">
        <v>1</v>
      </c>
      <c r="H18">
        <f>1*2*12</f>
        <v>24</v>
      </c>
      <c r="I18" s="11">
        <f t="shared" si="2"/>
        <v>-890</v>
      </c>
      <c r="J18" s="11">
        <f t="shared" si="3"/>
        <v>-914</v>
      </c>
    </row>
    <row r="19" spans="1:12" x14ac:dyDescent="0.15">
      <c r="A19" s="5">
        <v>45835</v>
      </c>
      <c r="B19" t="s">
        <v>73</v>
      </c>
      <c r="C19" t="s">
        <v>18</v>
      </c>
      <c r="D19">
        <v>1</v>
      </c>
      <c r="E19">
        <v>27</v>
      </c>
      <c r="F19" s="11">
        <v>54.5</v>
      </c>
      <c r="G19">
        <v>10</v>
      </c>
      <c r="H19">
        <f>2*1*3.2</f>
        <v>6.4</v>
      </c>
      <c r="I19" s="11">
        <f t="shared" si="2"/>
        <v>-275</v>
      </c>
      <c r="J19" s="11">
        <f t="shared" si="3"/>
        <v>-281.39999999999998</v>
      </c>
    </row>
    <row r="20" spans="1:12" x14ac:dyDescent="0.15">
      <c r="A20" s="5">
        <v>45838</v>
      </c>
      <c r="B20" t="s">
        <v>103</v>
      </c>
      <c r="C20" t="s">
        <v>24</v>
      </c>
      <c r="D20">
        <v>3</v>
      </c>
      <c r="E20">
        <v>18.670000000000002</v>
      </c>
      <c r="F20" s="11">
        <v>9</v>
      </c>
      <c r="G20">
        <v>10</v>
      </c>
      <c r="H20">
        <f>2*2*3</f>
        <v>12</v>
      </c>
      <c r="I20" s="11">
        <f t="shared" si="2"/>
        <v>290.10000000000002</v>
      </c>
      <c r="J20" s="11">
        <f t="shared" si="3"/>
        <v>278.10000000000002</v>
      </c>
      <c r="L20" s="11"/>
    </row>
    <row r="21" spans="1:12" x14ac:dyDescent="0.15">
      <c r="A21" s="5">
        <v>45839</v>
      </c>
      <c r="B21" t="s">
        <v>112</v>
      </c>
      <c r="C21" t="s">
        <v>11</v>
      </c>
      <c r="D21">
        <v>9</v>
      </c>
      <c r="E21">
        <v>48.33</v>
      </c>
      <c r="F21" s="11">
        <f>(42*2+43*7)/9</f>
        <v>42.777777777777779</v>
      </c>
      <c r="G21">
        <v>5</v>
      </c>
      <c r="H21">
        <f>2*8*9</f>
        <v>144</v>
      </c>
      <c r="I21" s="11">
        <f t="shared" si="2"/>
        <v>249.84999999999988</v>
      </c>
      <c r="J21" s="11">
        <f t="shared" si="3"/>
        <v>105.84999999999988</v>
      </c>
    </row>
    <row r="22" spans="1:12" x14ac:dyDescent="0.15">
      <c r="A22" s="5">
        <v>45839</v>
      </c>
      <c r="B22" t="s">
        <v>110</v>
      </c>
      <c r="C22" t="s">
        <v>11</v>
      </c>
      <c r="D22">
        <v>6</v>
      </c>
      <c r="E22">
        <v>58.33</v>
      </c>
      <c r="F22" s="11">
        <f>(57*3+55*3)/6</f>
        <v>56</v>
      </c>
      <c r="G22">
        <v>5</v>
      </c>
      <c r="H22">
        <f>2*6*8</f>
        <v>96</v>
      </c>
      <c r="I22" s="11">
        <f t="shared" si="2"/>
        <v>69.899999999999949</v>
      </c>
      <c r="J22" s="11">
        <f t="shared" si="3"/>
        <v>-26.100000000000051</v>
      </c>
    </row>
    <row r="23" spans="1:12" x14ac:dyDescent="0.15">
      <c r="A23" s="5">
        <v>45839</v>
      </c>
      <c r="B23" t="s">
        <v>113</v>
      </c>
      <c r="C23" t="s">
        <v>11</v>
      </c>
      <c r="D23">
        <v>7</v>
      </c>
      <c r="E23">
        <v>71.38</v>
      </c>
      <c r="F23" s="11">
        <f>(80*4+67+69*2)/7</f>
        <v>75</v>
      </c>
      <c r="G23">
        <v>5</v>
      </c>
      <c r="H23">
        <f>2*7*8</f>
        <v>112</v>
      </c>
      <c r="I23" s="11">
        <f t="shared" si="2"/>
        <v>-126.70000000000016</v>
      </c>
      <c r="J23" s="11">
        <f t="shared" si="3"/>
        <v>-238.70000000000016</v>
      </c>
    </row>
    <row r="24" spans="1:12" x14ac:dyDescent="0.15">
      <c r="A24" s="5">
        <v>45839</v>
      </c>
      <c r="B24" t="s">
        <v>43</v>
      </c>
      <c r="C24" t="s">
        <v>11</v>
      </c>
      <c r="D24">
        <v>1</v>
      </c>
      <c r="E24">
        <v>595</v>
      </c>
      <c r="F24" s="11">
        <v>470</v>
      </c>
      <c r="G24">
        <v>1</v>
      </c>
      <c r="H24">
        <f>2*1*12</f>
        <v>24</v>
      </c>
      <c r="I24" s="11">
        <f t="shared" si="2"/>
        <v>125</v>
      </c>
      <c r="J24" s="11">
        <f t="shared" si="3"/>
        <v>101</v>
      </c>
    </row>
    <row r="25" spans="1:12" x14ac:dyDescent="0.15">
      <c r="A25" s="5">
        <v>45839</v>
      </c>
      <c r="B25" t="s">
        <v>42</v>
      </c>
      <c r="C25" t="s">
        <v>11</v>
      </c>
      <c r="D25">
        <v>1</v>
      </c>
      <c r="E25">
        <v>450</v>
      </c>
      <c r="F25" s="11">
        <v>360</v>
      </c>
      <c r="G25">
        <v>1</v>
      </c>
      <c r="H25">
        <f>2*1*12</f>
        <v>24</v>
      </c>
      <c r="I25" s="11">
        <f t="shared" si="2"/>
        <v>90</v>
      </c>
      <c r="J25" s="11">
        <f t="shared" si="3"/>
        <v>66</v>
      </c>
    </row>
    <row r="26" spans="1:12" x14ac:dyDescent="0.15">
      <c r="A26" s="5">
        <v>45839</v>
      </c>
      <c r="B26" t="s">
        <v>28</v>
      </c>
      <c r="C26" t="s">
        <v>18</v>
      </c>
      <c r="D26">
        <v>2</v>
      </c>
      <c r="E26">
        <v>11.25</v>
      </c>
      <c r="F26" s="11">
        <v>18</v>
      </c>
      <c r="G26">
        <v>20</v>
      </c>
      <c r="H26">
        <f>2*2*2</f>
        <v>8</v>
      </c>
      <c r="I26" s="11">
        <f t="shared" si="2"/>
        <v>-270</v>
      </c>
      <c r="J26" s="11">
        <f t="shared" si="3"/>
        <v>-278</v>
      </c>
    </row>
    <row r="27" spans="1:12" x14ac:dyDescent="0.15">
      <c r="A27" s="5">
        <v>45839</v>
      </c>
      <c r="B27" t="s">
        <v>94</v>
      </c>
      <c r="C27" t="s">
        <v>24</v>
      </c>
      <c r="D27">
        <v>4</v>
      </c>
      <c r="E27">
        <v>37.630000000000003</v>
      </c>
      <c r="F27" s="11">
        <f>(65+67*3)/4</f>
        <v>66.5</v>
      </c>
      <c r="G27">
        <v>5</v>
      </c>
      <c r="H27">
        <f>2*2*4</f>
        <v>16</v>
      </c>
      <c r="I27" s="11">
        <f t="shared" si="2"/>
        <v>-577.4</v>
      </c>
      <c r="J27" s="11">
        <f t="shared" si="3"/>
        <v>-593.4</v>
      </c>
    </row>
    <row r="28" spans="1:12" x14ac:dyDescent="0.15">
      <c r="A28" s="5">
        <v>45840</v>
      </c>
      <c r="B28" t="s">
        <v>114</v>
      </c>
      <c r="C28" t="s">
        <v>11</v>
      </c>
      <c r="D28">
        <v>1</v>
      </c>
      <c r="E28">
        <v>26.5</v>
      </c>
      <c r="F28" s="11">
        <v>83</v>
      </c>
      <c r="G28">
        <v>20</v>
      </c>
      <c r="H28">
        <f>2*1*14</f>
        <v>28</v>
      </c>
      <c r="I28" s="11">
        <f t="shared" si="2"/>
        <v>-1130</v>
      </c>
      <c r="J28" s="11">
        <f t="shared" si="3"/>
        <v>-1158</v>
      </c>
    </row>
    <row r="29" spans="1:12" x14ac:dyDescent="0.15">
      <c r="A29" s="5">
        <v>45840</v>
      </c>
      <c r="B29" t="s">
        <v>115</v>
      </c>
      <c r="C29" t="s">
        <v>11</v>
      </c>
      <c r="D29">
        <v>6</v>
      </c>
      <c r="E29">
        <v>54.36</v>
      </c>
      <c r="F29" s="11">
        <f>(103+104+90.5+90+89*2)/6</f>
        <v>94.25</v>
      </c>
      <c r="G29">
        <v>20</v>
      </c>
      <c r="H29">
        <f>2*6*14</f>
        <v>168</v>
      </c>
      <c r="I29" s="11">
        <f t="shared" si="2"/>
        <v>-4786.8</v>
      </c>
      <c r="J29" s="11">
        <f t="shared" si="3"/>
        <v>-4954.8</v>
      </c>
    </row>
    <row r="30" spans="1:12" x14ac:dyDescent="0.15">
      <c r="A30" s="5">
        <v>45840</v>
      </c>
      <c r="B30" t="s">
        <v>116</v>
      </c>
      <c r="C30" t="s">
        <v>18</v>
      </c>
      <c r="D30">
        <v>4</v>
      </c>
      <c r="E30">
        <v>19.75</v>
      </c>
      <c r="F30" s="11">
        <f>(48+47+44*2)/4</f>
        <v>45.75</v>
      </c>
      <c r="G30">
        <v>20</v>
      </c>
      <c r="H30">
        <f>2*2*4</f>
        <v>16</v>
      </c>
      <c r="I30" s="11">
        <f t="shared" si="2"/>
        <v>-2080</v>
      </c>
      <c r="J30" s="11">
        <f t="shared" si="3"/>
        <v>-2096</v>
      </c>
    </row>
    <row r="31" spans="1:12" x14ac:dyDescent="0.15">
      <c r="A31" s="5">
        <v>45840</v>
      </c>
      <c r="B31" t="s">
        <v>50</v>
      </c>
      <c r="C31" t="s">
        <v>24</v>
      </c>
      <c r="D31">
        <v>1</v>
      </c>
      <c r="E31">
        <v>35</v>
      </c>
      <c r="F31" s="11">
        <v>30</v>
      </c>
      <c r="G31">
        <v>16</v>
      </c>
      <c r="H31">
        <f>2*1*6</f>
        <v>12</v>
      </c>
      <c r="I31" s="11">
        <f t="shared" si="2"/>
        <v>80</v>
      </c>
      <c r="J31" s="11">
        <f t="shared" si="3"/>
        <v>68</v>
      </c>
    </row>
    <row r="32" spans="1:12" x14ac:dyDescent="0.15">
      <c r="A32" s="5">
        <v>45840</v>
      </c>
      <c r="B32" t="s">
        <v>117</v>
      </c>
      <c r="C32" t="s">
        <v>11</v>
      </c>
      <c r="D32">
        <v>2</v>
      </c>
      <c r="E32">
        <v>206</v>
      </c>
      <c r="F32" s="11">
        <v>430</v>
      </c>
      <c r="G32">
        <v>3</v>
      </c>
      <c r="H32">
        <f>2*2*8</f>
        <v>32</v>
      </c>
      <c r="I32" s="11">
        <f t="shared" si="2"/>
        <v>-1344</v>
      </c>
      <c r="J32" s="11">
        <f t="shared" si="3"/>
        <v>-1376</v>
      </c>
    </row>
    <row r="33" spans="1:10" x14ac:dyDescent="0.15">
      <c r="A33" s="5">
        <v>45840</v>
      </c>
      <c r="B33" t="s">
        <v>118</v>
      </c>
      <c r="C33" t="s">
        <v>18</v>
      </c>
      <c r="D33">
        <v>1</v>
      </c>
      <c r="E33">
        <v>29.5</v>
      </c>
      <c r="F33" s="11">
        <v>48</v>
      </c>
      <c r="G33">
        <v>30</v>
      </c>
      <c r="H33">
        <f>2*1*8</f>
        <v>16</v>
      </c>
      <c r="I33" s="11">
        <f t="shared" si="2"/>
        <v>-555</v>
      </c>
      <c r="J33" s="11">
        <f t="shared" si="3"/>
        <v>-571</v>
      </c>
    </row>
    <row r="34" spans="1:10" x14ac:dyDescent="0.15">
      <c r="A34" s="5">
        <v>45840</v>
      </c>
      <c r="B34" t="s">
        <v>119</v>
      </c>
      <c r="C34" t="s">
        <v>18</v>
      </c>
      <c r="D34">
        <v>1</v>
      </c>
      <c r="E34">
        <v>27</v>
      </c>
      <c r="F34" s="11">
        <v>35</v>
      </c>
      <c r="G34">
        <v>30</v>
      </c>
      <c r="H34">
        <f>1*1*8</f>
        <v>8</v>
      </c>
      <c r="I34" s="11">
        <f t="shared" si="2"/>
        <v>-240</v>
      </c>
      <c r="J34" s="11">
        <f t="shared" si="3"/>
        <v>-248</v>
      </c>
    </row>
    <row r="35" spans="1:10" x14ac:dyDescent="0.15">
      <c r="A35" s="5">
        <v>45840</v>
      </c>
      <c r="B35" s="13" t="s">
        <v>113</v>
      </c>
      <c r="C35" t="s">
        <v>11</v>
      </c>
      <c r="D35">
        <v>1</v>
      </c>
      <c r="E35">
        <v>71.38</v>
      </c>
      <c r="F35" s="11">
        <v>55</v>
      </c>
      <c r="G35">
        <v>5</v>
      </c>
      <c r="H35">
        <f>2*1*8</f>
        <v>16</v>
      </c>
      <c r="I35" s="11">
        <f t="shared" si="2"/>
        <v>81.899999999999977</v>
      </c>
      <c r="J35" s="11">
        <f t="shared" si="3"/>
        <v>65.899999999999977</v>
      </c>
    </row>
    <row r="36" spans="1:10" x14ac:dyDescent="0.15">
      <c r="A36" s="5">
        <v>45841</v>
      </c>
      <c r="B36" t="s">
        <v>115</v>
      </c>
      <c r="C36" t="s">
        <v>11</v>
      </c>
      <c r="D36">
        <v>5</v>
      </c>
      <c r="E36">
        <v>54.36</v>
      </c>
      <c r="F36" s="11">
        <f>(91+95+96+97+98.5)/5</f>
        <v>95.5</v>
      </c>
      <c r="G36">
        <v>20</v>
      </c>
      <c r="H36">
        <f>2*14*5</f>
        <v>140</v>
      </c>
      <c r="I36" s="11">
        <f t="shared" si="2"/>
        <v>-4114</v>
      </c>
      <c r="J36" s="11">
        <f t="shared" si="3"/>
        <v>-4254</v>
      </c>
    </row>
    <row r="37" spans="1:10" x14ac:dyDescent="0.15">
      <c r="A37" s="5">
        <v>45841</v>
      </c>
      <c r="B37" t="s">
        <v>120</v>
      </c>
      <c r="C37" t="s">
        <v>11</v>
      </c>
      <c r="D37">
        <v>4</v>
      </c>
      <c r="E37">
        <f>(170+145+130+144)/4</f>
        <v>147.25</v>
      </c>
      <c r="F37" s="11">
        <f>(190+195+210+160)/4</f>
        <v>188.75</v>
      </c>
      <c r="G37">
        <v>3</v>
      </c>
      <c r="H37">
        <f>2*4*8</f>
        <v>64</v>
      </c>
      <c r="I37" s="11">
        <f t="shared" si="2"/>
        <v>-498</v>
      </c>
      <c r="J37" s="11">
        <f t="shared" si="3"/>
        <v>-562</v>
      </c>
    </row>
    <row r="38" spans="1:10" x14ac:dyDescent="0.15">
      <c r="A38" s="5">
        <v>45841</v>
      </c>
      <c r="B38" t="s">
        <v>121</v>
      </c>
      <c r="C38" t="s">
        <v>18</v>
      </c>
      <c r="D38">
        <v>4</v>
      </c>
      <c r="E38">
        <v>48.38</v>
      </c>
      <c r="F38" s="11">
        <f>(61*2+60.5*2)/4</f>
        <v>60.75</v>
      </c>
      <c r="G38">
        <v>10</v>
      </c>
      <c r="H38">
        <f>3.2*2*4</f>
        <v>25.6</v>
      </c>
      <c r="I38" s="11">
        <f t="shared" si="2"/>
        <v>-494.7999999999999</v>
      </c>
      <c r="J38" s="11">
        <f t="shared" si="3"/>
        <v>-520.39999999999986</v>
      </c>
    </row>
    <row r="39" spans="1:10" x14ac:dyDescent="0.15">
      <c r="A39" s="5">
        <v>45841</v>
      </c>
      <c r="B39" t="s">
        <v>122</v>
      </c>
      <c r="C39" t="s">
        <v>18</v>
      </c>
      <c r="D39">
        <v>2</v>
      </c>
      <c r="E39">
        <v>34.75</v>
      </c>
      <c r="F39" s="11">
        <v>42.5</v>
      </c>
      <c r="G39">
        <v>10</v>
      </c>
      <c r="H39">
        <f>2*2*3.2</f>
        <v>12.8</v>
      </c>
      <c r="I39" s="11">
        <f t="shared" si="2"/>
        <v>-155</v>
      </c>
      <c r="J39" s="11">
        <f t="shared" si="3"/>
        <v>-167.8</v>
      </c>
    </row>
    <row r="40" spans="1:10" x14ac:dyDescent="0.15">
      <c r="A40" s="5">
        <v>45841</v>
      </c>
      <c r="B40" t="s">
        <v>123</v>
      </c>
      <c r="C40" t="s">
        <v>18</v>
      </c>
      <c r="D40">
        <v>1</v>
      </c>
      <c r="E40">
        <v>24</v>
      </c>
      <c r="F40" s="11">
        <v>29</v>
      </c>
      <c r="G40">
        <v>10</v>
      </c>
      <c r="H40">
        <f>2*1*3.2</f>
        <v>6.4</v>
      </c>
      <c r="I40" s="11">
        <f t="shared" si="2"/>
        <v>-50</v>
      </c>
      <c r="J40" s="11">
        <f t="shared" si="3"/>
        <v>-56.4</v>
      </c>
    </row>
    <row r="41" spans="1:10" x14ac:dyDescent="0.15">
      <c r="A41" s="5">
        <v>45841</v>
      </c>
      <c r="B41" t="s">
        <v>124</v>
      </c>
      <c r="C41" t="s">
        <v>18</v>
      </c>
      <c r="D41">
        <v>2</v>
      </c>
      <c r="E41">
        <v>21</v>
      </c>
      <c r="F41" s="11">
        <v>20</v>
      </c>
      <c r="G41">
        <v>10</v>
      </c>
      <c r="H41">
        <f>2*2*3.2</f>
        <v>12.8</v>
      </c>
      <c r="I41" s="11">
        <f t="shared" si="2"/>
        <v>20</v>
      </c>
      <c r="J41" s="11">
        <f t="shared" si="3"/>
        <v>7.1999999999999993</v>
      </c>
    </row>
    <row r="42" spans="1:10" x14ac:dyDescent="0.15">
      <c r="A42" s="5">
        <v>45842</v>
      </c>
      <c r="B42" t="s">
        <v>125</v>
      </c>
      <c r="C42" t="s">
        <v>24</v>
      </c>
      <c r="D42">
        <v>5</v>
      </c>
      <c r="E42">
        <v>56.36</v>
      </c>
      <c r="F42" s="11">
        <v>25</v>
      </c>
      <c r="G42">
        <v>10</v>
      </c>
      <c r="H42">
        <f>2*5*2</f>
        <v>20</v>
      </c>
      <c r="I42" s="11">
        <f t="shared" si="2"/>
        <v>1568</v>
      </c>
      <c r="J42" s="11">
        <f t="shared" si="3"/>
        <v>1548</v>
      </c>
    </row>
    <row r="43" spans="1:10" x14ac:dyDescent="0.15">
      <c r="A43" s="5">
        <v>45842</v>
      </c>
      <c r="B43" t="s">
        <v>122</v>
      </c>
      <c r="C43" t="s">
        <v>18</v>
      </c>
      <c r="D43">
        <v>2</v>
      </c>
      <c r="E43">
        <v>34.75</v>
      </c>
      <c r="F43" s="11">
        <f>(45+46.5)/2</f>
        <v>45.75</v>
      </c>
      <c r="G43">
        <v>10</v>
      </c>
      <c r="H43">
        <f>3.2*2*2</f>
        <v>12.8</v>
      </c>
      <c r="I43" s="11">
        <f t="shared" si="2"/>
        <v>-220</v>
      </c>
      <c r="J43" s="11">
        <f t="shared" si="3"/>
        <v>-232.8</v>
      </c>
    </row>
    <row r="44" spans="1:10" x14ac:dyDescent="0.15">
      <c r="A44" s="5">
        <v>45842</v>
      </c>
      <c r="B44" t="s">
        <v>123</v>
      </c>
      <c r="C44" t="s">
        <v>18</v>
      </c>
      <c r="D44">
        <v>1</v>
      </c>
      <c r="E44">
        <v>24</v>
      </c>
      <c r="F44" s="11">
        <v>32</v>
      </c>
      <c r="G44">
        <v>10</v>
      </c>
      <c r="H44">
        <f>2*1*3.2</f>
        <v>6.4</v>
      </c>
      <c r="I44" s="11">
        <f t="shared" si="2"/>
        <v>-80</v>
      </c>
      <c r="J44" s="11">
        <f t="shared" si="3"/>
        <v>-86.4</v>
      </c>
    </row>
    <row r="45" spans="1:10" x14ac:dyDescent="0.15">
      <c r="A45" s="5">
        <v>45842</v>
      </c>
      <c r="B45" t="s">
        <v>119</v>
      </c>
      <c r="C45" t="s">
        <v>18</v>
      </c>
      <c r="D45">
        <v>2</v>
      </c>
      <c r="E45">
        <v>27</v>
      </c>
      <c r="F45" s="11">
        <f>(47+45.5)/2</f>
        <v>46.25</v>
      </c>
      <c r="G45">
        <v>30</v>
      </c>
      <c r="H45">
        <f>2*2*12</f>
        <v>48</v>
      </c>
      <c r="I45" s="11">
        <f t="shared" si="2"/>
        <v>-1155</v>
      </c>
      <c r="J45" s="11">
        <f t="shared" si="3"/>
        <v>-1203</v>
      </c>
    </row>
    <row r="46" spans="1:10" x14ac:dyDescent="0.15">
      <c r="A46" s="5">
        <v>45845</v>
      </c>
      <c r="B46" t="s">
        <v>125</v>
      </c>
      <c r="C46" t="s">
        <v>24</v>
      </c>
      <c r="D46">
        <v>30</v>
      </c>
      <c r="E46">
        <v>56.36</v>
      </c>
      <c r="F46" s="11">
        <f>(72*10+68*5+73.5*15)/30</f>
        <v>72.083333333333329</v>
      </c>
      <c r="G46">
        <v>10</v>
      </c>
      <c r="H46">
        <f>2*2*30</f>
        <v>120</v>
      </c>
      <c r="I46" s="11">
        <f t="shared" si="2"/>
        <v>-4716.9999999999991</v>
      </c>
      <c r="J46" s="11">
        <f t="shared" si="3"/>
        <v>-4836.9999999999991</v>
      </c>
    </row>
    <row r="47" spans="1:10" x14ac:dyDescent="0.15">
      <c r="A47" s="5">
        <v>45846</v>
      </c>
      <c r="B47" t="s">
        <v>64</v>
      </c>
      <c r="C47" t="s">
        <v>45</v>
      </c>
      <c r="D47">
        <v>4</v>
      </c>
      <c r="E47">
        <v>290</v>
      </c>
      <c r="F47" s="11">
        <f>(960+920+930+827)/4</f>
        <v>909.25</v>
      </c>
      <c r="G47">
        <v>3</v>
      </c>
      <c r="H47">
        <f>2*4*8</f>
        <v>64</v>
      </c>
      <c r="I47" s="11">
        <f t="shared" si="2"/>
        <v>-7431</v>
      </c>
      <c r="J47" s="11">
        <f t="shared" si="3"/>
        <v>-7495</v>
      </c>
    </row>
    <row r="48" spans="1:10" x14ac:dyDescent="0.15">
      <c r="A48" s="5">
        <v>45846</v>
      </c>
      <c r="B48" t="s">
        <v>120</v>
      </c>
      <c r="C48" t="s">
        <v>11</v>
      </c>
      <c r="D48">
        <v>1</v>
      </c>
      <c r="E48">
        <v>250</v>
      </c>
      <c r="F48" s="11">
        <v>0</v>
      </c>
      <c r="G48">
        <v>3</v>
      </c>
      <c r="H48">
        <f>2*8</f>
        <v>16</v>
      </c>
      <c r="I48" s="11">
        <f t="shared" si="2"/>
        <v>750</v>
      </c>
      <c r="J48" s="11">
        <f t="shared" si="3"/>
        <v>734</v>
      </c>
    </row>
    <row r="49" spans="1:10" x14ac:dyDescent="0.15">
      <c r="A49" s="5">
        <v>45846</v>
      </c>
      <c r="B49" t="s">
        <v>126</v>
      </c>
      <c r="C49" t="s">
        <v>11</v>
      </c>
      <c r="D49">
        <v>8</v>
      </c>
      <c r="E49">
        <f>(80+78+70*2+72+75+85+101)/8</f>
        <v>78.875</v>
      </c>
      <c r="F49" s="11">
        <v>0</v>
      </c>
      <c r="G49">
        <v>3</v>
      </c>
      <c r="H49">
        <f>2*8*8</f>
        <v>128</v>
      </c>
      <c r="I49" s="11">
        <f t="shared" si="2"/>
        <v>1893</v>
      </c>
      <c r="J49" s="11">
        <f t="shared" si="3"/>
        <v>1765</v>
      </c>
    </row>
    <row r="50" spans="1:10" x14ac:dyDescent="0.15">
      <c r="A50" s="5">
        <v>45846</v>
      </c>
      <c r="B50" t="s">
        <v>127</v>
      </c>
      <c r="C50" t="s">
        <v>11</v>
      </c>
      <c r="D50">
        <v>4</v>
      </c>
      <c r="E50">
        <f>(130+115+110*2)/4</f>
        <v>116.25</v>
      </c>
      <c r="F50" s="11">
        <v>0</v>
      </c>
      <c r="G50">
        <v>3</v>
      </c>
      <c r="H50">
        <f>2*4*8</f>
        <v>64</v>
      </c>
      <c r="I50" s="11">
        <f t="shared" si="2"/>
        <v>1395</v>
      </c>
      <c r="J50" s="11">
        <f t="shared" si="3"/>
        <v>1331</v>
      </c>
    </row>
    <row r="51" spans="1:10" x14ac:dyDescent="0.15">
      <c r="A51" s="5">
        <v>45846</v>
      </c>
      <c r="B51" t="s">
        <v>128</v>
      </c>
      <c r="C51" t="s">
        <v>11</v>
      </c>
      <c r="D51">
        <v>1</v>
      </c>
      <c r="E51">
        <v>180</v>
      </c>
      <c r="F51" s="11">
        <v>0</v>
      </c>
      <c r="G51">
        <v>3</v>
      </c>
      <c r="H51">
        <f>2*8</f>
        <v>16</v>
      </c>
      <c r="I51" s="11">
        <f t="shared" si="2"/>
        <v>540</v>
      </c>
      <c r="J51" s="11">
        <f t="shared" si="3"/>
        <v>524</v>
      </c>
    </row>
    <row r="52" spans="1:10" x14ac:dyDescent="0.15">
      <c r="A52" s="5">
        <v>45847</v>
      </c>
      <c r="B52" t="s">
        <v>129</v>
      </c>
      <c r="C52" t="s">
        <v>24</v>
      </c>
      <c r="D52">
        <v>8</v>
      </c>
      <c r="E52">
        <v>7.19</v>
      </c>
      <c r="F52" s="11">
        <v>15</v>
      </c>
      <c r="G52">
        <v>10</v>
      </c>
      <c r="H52">
        <f>2*2.4*8</f>
        <v>38.4</v>
      </c>
      <c r="I52" s="11">
        <f t="shared" si="2"/>
        <v>-624.79999999999995</v>
      </c>
      <c r="J52" s="11">
        <f t="shared" si="3"/>
        <v>-663.19999999999993</v>
      </c>
    </row>
    <row r="53" spans="1:10" x14ac:dyDescent="0.15">
      <c r="A53" s="5">
        <v>45847</v>
      </c>
      <c r="B53" t="s">
        <v>130</v>
      </c>
      <c r="C53" t="s">
        <v>45</v>
      </c>
      <c r="D53">
        <v>2</v>
      </c>
      <c r="E53">
        <v>1140</v>
      </c>
      <c r="F53" s="11">
        <v>1750</v>
      </c>
      <c r="G53">
        <v>3</v>
      </c>
      <c r="H53">
        <f>2*2*8</f>
        <v>32</v>
      </c>
      <c r="I53" s="11">
        <f>(E53-F53)*D53*G53</f>
        <v>-3660</v>
      </c>
      <c r="J53" s="11">
        <f t="shared" si="3"/>
        <v>-3692</v>
      </c>
    </row>
    <row r="54" spans="1:10" x14ac:dyDescent="0.15">
      <c r="A54" s="5">
        <v>45848</v>
      </c>
      <c r="B54" t="s">
        <v>12</v>
      </c>
      <c r="C54" t="s">
        <v>11</v>
      </c>
      <c r="D54">
        <v>1</v>
      </c>
      <c r="E54">
        <v>52</v>
      </c>
      <c r="F54" s="11">
        <v>49</v>
      </c>
      <c r="G54">
        <v>15</v>
      </c>
      <c r="H54">
        <v>16</v>
      </c>
      <c r="I54" s="11">
        <f t="shared" ref="I54" si="4">(E54-F54)*D54*G54</f>
        <v>45</v>
      </c>
      <c r="J54" s="11">
        <f t="shared" ref="J54" si="5">I54-H54</f>
        <v>29</v>
      </c>
    </row>
    <row r="55" spans="1:10" x14ac:dyDescent="0.15">
      <c r="A55" s="5">
        <v>45848</v>
      </c>
      <c r="B55" t="s">
        <v>148</v>
      </c>
      <c r="C55" s="14" t="s">
        <v>144</v>
      </c>
      <c r="D55">
        <v>12</v>
      </c>
      <c r="E55">
        <v>205.5</v>
      </c>
      <c r="F55" s="11">
        <v>210</v>
      </c>
      <c r="G55">
        <v>3</v>
      </c>
      <c r="H55">
        <v>192</v>
      </c>
      <c r="I55" s="11">
        <f t="shared" ref="I55:I61" si="6">(E55-F55)*D55*G55</f>
        <v>-162</v>
      </c>
      <c r="J55" s="11">
        <f t="shared" ref="J55:J61" si="7">I55-H55</f>
        <v>-354</v>
      </c>
    </row>
    <row r="56" spans="1:10" x14ac:dyDescent="0.15">
      <c r="A56" s="5">
        <v>45848</v>
      </c>
      <c r="B56" t="s">
        <v>138</v>
      </c>
      <c r="C56" s="14" t="s">
        <v>144</v>
      </c>
      <c r="D56">
        <v>1</v>
      </c>
      <c r="E56">
        <v>138</v>
      </c>
      <c r="F56" s="11">
        <v>129</v>
      </c>
      <c r="G56">
        <v>3</v>
      </c>
      <c r="H56">
        <f>192/24+8</f>
        <v>16</v>
      </c>
      <c r="I56" s="11">
        <f t="shared" si="6"/>
        <v>27</v>
      </c>
      <c r="J56" s="11">
        <f t="shared" si="7"/>
        <v>11</v>
      </c>
    </row>
    <row r="57" spans="1:10" x14ac:dyDescent="0.15">
      <c r="A57" s="5">
        <v>45848</v>
      </c>
      <c r="B57" t="s">
        <v>66</v>
      </c>
      <c r="C57" s="14" t="s">
        <v>144</v>
      </c>
      <c r="D57">
        <v>8</v>
      </c>
      <c r="E57" s="11">
        <f>(496*2+615*2+502+560+475+495)/8</f>
        <v>531.75</v>
      </c>
      <c r="F57" s="11">
        <v>1312</v>
      </c>
      <c r="G57">
        <v>3</v>
      </c>
      <c r="H57" s="14">
        <f>64*2</f>
        <v>128</v>
      </c>
      <c r="I57" s="11">
        <f t="shared" si="6"/>
        <v>-18726</v>
      </c>
      <c r="J57" s="11">
        <f t="shared" si="7"/>
        <v>-18854</v>
      </c>
    </row>
    <row r="58" spans="1:10" x14ac:dyDescent="0.15">
      <c r="A58" s="5">
        <v>45848</v>
      </c>
      <c r="B58" t="s">
        <v>65</v>
      </c>
      <c r="C58" s="14" t="s">
        <v>144</v>
      </c>
      <c r="D58">
        <v>-2</v>
      </c>
      <c r="E58" s="11">
        <f>(781+965)/2</f>
        <v>873</v>
      </c>
      <c r="F58">
        <v>1790</v>
      </c>
      <c r="G58">
        <v>3</v>
      </c>
      <c r="H58">
        <v>32</v>
      </c>
      <c r="I58" s="11">
        <f t="shared" si="6"/>
        <v>5502</v>
      </c>
      <c r="J58" s="11">
        <f t="shared" si="7"/>
        <v>5470</v>
      </c>
    </row>
    <row r="59" spans="1:10" x14ac:dyDescent="0.15">
      <c r="A59" s="5">
        <v>45848</v>
      </c>
      <c r="B59" t="s">
        <v>64</v>
      </c>
      <c r="C59" s="14" t="s">
        <v>144</v>
      </c>
      <c r="D59">
        <v>-2</v>
      </c>
      <c r="E59" s="11">
        <f>(1060+1364)/2</f>
        <v>1212</v>
      </c>
      <c r="F59" s="11">
        <v>1250</v>
      </c>
      <c r="G59">
        <v>3</v>
      </c>
      <c r="H59">
        <v>32</v>
      </c>
      <c r="I59" s="11">
        <f t="shared" si="6"/>
        <v>228</v>
      </c>
      <c r="J59" s="11">
        <f t="shared" si="7"/>
        <v>196</v>
      </c>
    </row>
    <row r="60" spans="1:10" x14ac:dyDescent="0.15">
      <c r="A60" s="5">
        <v>45848</v>
      </c>
      <c r="B60" t="s">
        <v>76</v>
      </c>
      <c r="C60" t="s">
        <v>18</v>
      </c>
      <c r="D60">
        <v>8</v>
      </c>
      <c r="E60" s="11">
        <f>(35+35.5+35.5+36+36.5+28+27.5+27)/8</f>
        <v>32.625</v>
      </c>
      <c r="F60" s="11">
        <v>3.25</v>
      </c>
      <c r="G60">
        <v>30</v>
      </c>
      <c r="H60">
        <v>128</v>
      </c>
      <c r="I60" s="11">
        <f t="shared" si="6"/>
        <v>7050</v>
      </c>
      <c r="J60" s="11">
        <f t="shared" si="7"/>
        <v>6922</v>
      </c>
    </row>
    <row r="61" spans="1:10" x14ac:dyDescent="0.15">
      <c r="A61" s="5">
        <v>45848</v>
      </c>
      <c r="B61" t="s">
        <v>75</v>
      </c>
      <c r="C61" t="s">
        <v>18</v>
      </c>
      <c r="D61">
        <v>2</v>
      </c>
      <c r="E61" s="11">
        <v>31.25</v>
      </c>
      <c r="F61" s="11">
        <v>48.5</v>
      </c>
      <c r="G61">
        <v>30</v>
      </c>
      <c r="H61">
        <v>32</v>
      </c>
      <c r="I61" s="11">
        <f t="shared" si="6"/>
        <v>-1035</v>
      </c>
      <c r="J61" s="11">
        <f t="shared" si="7"/>
        <v>-1067</v>
      </c>
    </row>
    <row r="62" spans="1:10" x14ac:dyDescent="0.15">
      <c r="A62" s="5"/>
      <c r="I62" s="11"/>
      <c r="J62" s="11"/>
    </row>
    <row r="63" spans="1:10" x14ac:dyDescent="0.15">
      <c r="A63" s="5"/>
    </row>
    <row r="64" spans="1:10" x14ac:dyDescent="0.15">
      <c r="A64" s="5"/>
    </row>
  </sheetData>
  <phoneticPr fontId="2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8"/>
  <sheetViews>
    <sheetView workbookViewId="0">
      <selection activeCell="H30" sqref="H30"/>
    </sheetView>
  </sheetViews>
  <sheetFormatPr defaultColWidth="9" defaultRowHeight="13.5" x14ac:dyDescent="0.15"/>
  <cols>
    <col min="1" max="1" width="11.5" style="4" customWidth="1"/>
    <col min="2" max="2" width="12.25" style="7" customWidth="1"/>
    <col min="3" max="3" width="9.75" style="8" customWidth="1"/>
    <col min="4" max="5" width="13.125" style="1" customWidth="1"/>
    <col min="6" max="7" width="13.75" customWidth="1"/>
  </cols>
  <sheetData>
    <row r="1" spans="1:7" s="6" customFormat="1" x14ac:dyDescent="0.15">
      <c r="A1" s="2" t="s">
        <v>0</v>
      </c>
      <c r="B1" s="9" t="s">
        <v>131</v>
      </c>
      <c r="C1" s="10" t="s">
        <v>132</v>
      </c>
      <c r="D1" s="3" t="s">
        <v>133</v>
      </c>
      <c r="E1" s="9" t="s">
        <v>154</v>
      </c>
      <c r="F1" s="6" t="s">
        <v>153</v>
      </c>
      <c r="G1" s="3" t="s">
        <v>133</v>
      </c>
    </row>
    <row r="2" spans="1:7" x14ac:dyDescent="0.15">
      <c r="A2" s="4">
        <v>45812</v>
      </c>
      <c r="B2" s="7">
        <v>239.99999980000001</v>
      </c>
      <c r="C2" s="8">
        <f>B2/2000000+1</f>
        <v>1.0001199999999</v>
      </c>
      <c r="D2" s="1">
        <v>2000000</v>
      </c>
    </row>
    <row r="3" spans="1:7" x14ac:dyDescent="0.15">
      <c r="A3" s="4">
        <v>45813</v>
      </c>
      <c r="B3" s="7">
        <v>262.49999998999999</v>
      </c>
      <c r="C3" s="8">
        <f>(B3-B2)/2000000+C2</f>
        <v>1.000131249999995</v>
      </c>
    </row>
    <row r="4" spans="1:7" x14ac:dyDescent="0.15">
      <c r="A4" s="4">
        <v>45814</v>
      </c>
      <c r="B4" s="7">
        <v>239.99999980000001</v>
      </c>
      <c r="C4" s="8">
        <f t="shared" ref="C4:C16" si="0">(B4-B3)/(2000000)+C3</f>
        <v>1.0001199999999</v>
      </c>
    </row>
    <row r="5" spans="1:7" x14ac:dyDescent="0.15">
      <c r="A5" s="4">
        <v>45817</v>
      </c>
      <c r="B5" s="7">
        <v>752.79899980000005</v>
      </c>
      <c r="C5" s="8">
        <f t="shared" si="0"/>
        <v>1.0003763994999</v>
      </c>
    </row>
    <row r="6" spans="1:7" x14ac:dyDescent="0.15">
      <c r="A6" s="4">
        <v>45818</v>
      </c>
      <c r="B6" s="7">
        <v>1359.2999998</v>
      </c>
      <c r="C6" s="8">
        <f t="shared" si="0"/>
        <v>1.0006796499999</v>
      </c>
    </row>
    <row r="7" spans="1:7" x14ac:dyDescent="0.15">
      <c r="A7" s="4">
        <v>45819</v>
      </c>
      <c r="B7" s="7">
        <v>1484.34</v>
      </c>
      <c r="C7" s="8">
        <f t="shared" si="0"/>
        <v>1.0007421700000001</v>
      </c>
    </row>
    <row r="8" spans="1:7" x14ac:dyDescent="0.15">
      <c r="A8" s="4">
        <v>45820</v>
      </c>
      <c r="B8" s="7">
        <v>2633.3429998000001</v>
      </c>
      <c r="C8" s="8">
        <f t="shared" si="0"/>
        <v>1.0013166714999</v>
      </c>
    </row>
    <row r="9" spans="1:7" x14ac:dyDescent="0.15">
      <c r="A9" s="4">
        <v>45821</v>
      </c>
      <c r="B9" s="7">
        <v>-170</v>
      </c>
      <c r="C9" s="8">
        <f t="shared" si="0"/>
        <v>0.999915</v>
      </c>
    </row>
    <row r="10" spans="1:7" x14ac:dyDescent="0.15">
      <c r="A10" s="4">
        <v>45824</v>
      </c>
      <c r="B10" s="7">
        <v>-128</v>
      </c>
      <c r="C10" s="8">
        <f t="shared" si="0"/>
        <v>0.99993600000000005</v>
      </c>
    </row>
    <row r="11" spans="1:7" x14ac:dyDescent="0.15">
      <c r="A11" s="4">
        <v>45825</v>
      </c>
      <c r="B11" s="7">
        <v>-117.6</v>
      </c>
      <c r="C11" s="8">
        <f t="shared" si="0"/>
        <v>0.99994120000000009</v>
      </c>
    </row>
    <row r="12" spans="1:7" x14ac:dyDescent="0.15">
      <c r="A12" s="4">
        <v>45826</v>
      </c>
      <c r="B12" s="7">
        <v>-3945.51</v>
      </c>
      <c r="C12" s="8">
        <f t="shared" si="0"/>
        <v>0.99802724500000006</v>
      </c>
    </row>
    <row r="13" spans="1:7" x14ac:dyDescent="0.15">
      <c r="A13" s="4">
        <v>45827</v>
      </c>
      <c r="B13" s="7">
        <v>-1900.48</v>
      </c>
      <c r="C13" s="8">
        <f t="shared" si="0"/>
        <v>0.99904976000000001</v>
      </c>
    </row>
    <row r="14" spans="1:7" x14ac:dyDescent="0.15">
      <c r="A14" s="4">
        <v>45828</v>
      </c>
      <c r="B14" s="7">
        <v>-1472.95</v>
      </c>
      <c r="C14" s="8">
        <f t="shared" si="0"/>
        <v>0.99926352500000004</v>
      </c>
    </row>
    <row r="15" spans="1:7" x14ac:dyDescent="0.15">
      <c r="A15" s="4">
        <v>45831</v>
      </c>
      <c r="B15" s="7">
        <v>1643.05</v>
      </c>
      <c r="C15" s="8">
        <f t="shared" si="0"/>
        <v>1.0008215250000001</v>
      </c>
    </row>
    <row r="16" spans="1:7" x14ac:dyDescent="0.15">
      <c r="A16" s="4">
        <v>45832</v>
      </c>
      <c r="B16" s="7">
        <v>-634.45000000000005</v>
      </c>
      <c r="C16" s="8">
        <f t="shared" si="0"/>
        <v>0.99968277500000013</v>
      </c>
    </row>
    <row r="17" spans="1:7" x14ac:dyDescent="0.15">
      <c r="A17" s="4">
        <v>45833</v>
      </c>
      <c r="B17" s="7">
        <v>464</v>
      </c>
      <c r="C17" s="8">
        <f>(B17-B16)/(2000000+2320000)+C16</f>
        <v>0.99993704583333343</v>
      </c>
      <c r="D17" s="1">
        <v>2280000</v>
      </c>
    </row>
    <row r="18" spans="1:7" x14ac:dyDescent="0.15">
      <c r="A18" s="4">
        <v>45834</v>
      </c>
      <c r="B18" s="7">
        <v>842.75</v>
      </c>
      <c r="C18" s="8">
        <f>(B18-B17)/(4280000)+C17</f>
        <v>1.0000255388239876</v>
      </c>
    </row>
    <row r="19" spans="1:7" x14ac:dyDescent="0.15">
      <c r="A19" s="4">
        <v>45835</v>
      </c>
      <c r="B19" s="7">
        <v>-1139.17</v>
      </c>
      <c r="C19" s="8">
        <f>(B19-B18)/(4280000)+C18</f>
        <v>0.99956247340342685</v>
      </c>
    </row>
    <row r="20" spans="1:7" x14ac:dyDescent="0.15">
      <c r="A20" s="4">
        <v>45838</v>
      </c>
      <c r="B20" s="7">
        <v>5373.43</v>
      </c>
      <c r="C20" s="8">
        <f t="shared" ref="C20:C25" si="1">(B20-B19)/(4280000+154243)+C19</f>
        <v>1.0010311795613889</v>
      </c>
      <c r="D20" s="1">
        <v>154243</v>
      </c>
    </row>
    <row r="21" spans="1:7" x14ac:dyDescent="0.15">
      <c r="A21" s="4">
        <v>45839</v>
      </c>
      <c r="B21" s="7">
        <v>9187.48</v>
      </c>
      <c r="C21" s="8">
        <f t="shared" si="1"/>
        <v>1.0018913151019986</v>
      </c>
    </row>
    <row r="22" spans="1:7" x14ac:dyDescent="0.15">
      <c r="A22" s="4">
        <v>45840</v>
      </c>
      <c r="B22" s="7">
        <v>5384.54</v>
      </c>
      <c r="C22" s="8">
        <f t="shared" si="1"/>
        <v>1.0010336850623278</v>
      </c>
    </row>
    <row r="23" spans="1:7" x14ac:dyDescent="0.15">
      <c r="A23" s="4">
        <v>45841</v>
      </c>
      <c r="B23" s="7">
        <v>7965.38</v>
      </c>
      <c r="C23" s="8">
        <f t="shared" si="1"/>
        <v>1.0016157099987149</v>
      </c>
    </row>
    <row r="24" spans="1:7" x14ac:dyDescent="0.15">
      <c r="A24" s="4">
        <v>45842</v>
      </c>
      <c r="B24" s="7">
        <v>14575.42</v>
      </c>
      <c r="C24" s="8">
        <f t="shared" si="1"/>
        <v>1.0031063905951549</v>
      </c>
    </row>
    <row r="25" spans="1:7" x14ac:dyDescent="0.15">
      <c r="A25" s="4">
        <v>45845</v>
      </c>
      <c r="B25" s="7">
        <v>2242.2800000000002</v>
      </c>
      <c r="C25" s="8">
        <f t="shared" si="1"/>
        <v>1.0003250500145868</v>
      </c>
    </row>
    <row r="26" spans="1:7" x14ac:dyDescent="0.15">
      <c r="A26" s="4">
        <v>45846</v>
      </c>
      <c r="B26" s="7">
        <v>2904.28</v>
      </c>
      <c r="C26" s="8">
        <f>(B26-B25)/(4280000+154243)+C25</f>
        <v>1.0004743426897966</v>
      </c>
    </row>
    <row r="27" spans="1:7" x14ac:dyDescent="0.15">
      <c r="A27" s="4">
        <v>45847</v>
      </c>
      <c r="B27" s="7">
        <v>8975.7800000000007</v>
      </c>
      <c r="C27" s="8">
        <f>(B27-B26)/(4280000+154243)+C26</f>
        <v>1.0018435730184005</v>
      </c>
      <c r="F27" s="8">
        <v>1</v>
      </c>
      <c r="G27" s="1">
        <v>2356007.0099999998</v>
      </c>
    </row>
    <row r="28" spans="1:7" x14ac:dyDescent="0.15">
      <c r="A28" s="4">
        <v>45848</v>
      </c>
      <c r="B28" s="7">
        <v>32147.279999800012</v>
      </c>
      <c r="C28" s="8">
        <f>(B28-B27)/(4280000+154243)+C27</f>
        <v>1.0070691549271502</v>
      </c>
      <c r="E28" s="1">
        <v>517.5</v>
      </c>
      <c r="F28" s="8">
        <f>(E28-E27)/(4280000+154243)+F27</f>
        <v>1.000116705376769</v>
      </c>
    </row>
  </sheetData>
  <phoneticPr fontId="2" type="noConversion"/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5"/>
  <sheetViews>
    <sheetView workbookViewId="0">
      <selection activeCell="B5" sqref="B5"/>
    </sheetView>
  </sheetViews>
  <sheetFormatPr defaultColWidth="9" defaultRowHeight="13.5" x14ac:dyDescent="0.15"/>
  <cols>
    <col min="1" max="1" width="13.125" customWidth="1"/>
    <col min="2" max="2" width="12.75" style="1" customWidth="1"/>
  </cols>
  <sheetData>
    <row r="1" spans="1:2" x14ac:dyDescent="0.15">
      <c r="A1" s="2" t="s">
        <v>0</v>
      </c>
      <c r="B1" s="3" t="s">
        <v>134</v>
      </c>
    </row>
    <row r="2" spans="1:2" x14ac:dyDescent="0.15">
      <c r="A2" s="4">
        <v>45812</v>
      </c>
      <c r="B2" s="1">
        <v>2000000</v>
      </c>
    </row>
    <row r="3" spans="1:2" x14ac:dyDescent="0.15">
      <c r="A3" s="5">
        <v>45833</v>
      </c>
      <c r="B3" s="1">
        <v>2280000</v>
      </c>
    </row>
    <row r="4" spans="1:2" x14ac:dyDescent="0.15">
      <c r="A4" s="5">
        <v>45838</v>
      </c>
      <c r="B4" s="1">
        <v>154243</v>
      </c>
    </row>
    <row r="5" spans="1:2" x14ac:dyDescent="0.15">
      <c r="A5" s="4">
        <v>45847</v>
      </c>
      <c r="B5" s="1">
        <v>2356007.0099999998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持有</vt:lpstr>
      <vt:lpstr>已平仓</vt:lpstr>
      <vt:lpstr>总盈亏</vt:lpstr>
      <vt:lpstr>资金变动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Absalom Astra</cp:lastModifiedBy>
  <dcterms:created xsi:type="dcterms:W3CDTF">2025-06-04T07:08:00Z</dcterms:created>
  <dcterms:modified xsi:type="dcterms:W3CDTF">2025-07-10T09:33:07Z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863C69D4CD2B41F58467AFEA7FCA8BCB</vt:lpwstr>
  </property>
  <property fmtid="{D5CDD505-2E9C-101B-9397-08002B2CF9AE}" pid="3" name="KSOProductBuildVer">
    <vt:lpwstr>2052-11.1.0.12173</vt:lpwstr>
  </property>
  <property fmtid="{D5CDD505-2E9C-101B-9397-08002B2CF9AE}" pid="4" name="EM_Doc_Temp_ID">
    <vt:lpwstr>37BC26FF-00E9-430D-BF2B-AA828B42166B</vt:lpwstr>
  </property>
</Properties>
</file>