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持有" sheetId="1" r:id="rId1"/>
    <sheet name="已平仓" sheetId="3" r:id="rId2"/>
    <sheet name="总盈亏" sheetId="2" r:id="rId3"/>
    <sheet name="资金变动" sheetId="4" r:id="rId4"/>
  </sheets>
  <definedNames>
    <definedName name="_xlnm._FilterDatabase" localSheetId="0" hidden="1">持有!$A$1:$K$64</definedName>
  </definedNames>
  <calcPr calcId="144525"/>
</workbook>
</file>

<file path=xl/sharedStrings.xml><?xml version="1.0" encoding="utf-8"?>
<sst xmlns="http://schemas.openxmlformats.org/spreadsheetml/2006/main" count="226" uniqueCount="107">
  <si>
    <t>日期</t>
  </si>
  <si>
    <t>期权合约代码</t>
  </si>
  <si>
    <t>负责人</t>
  </si>
  <si>
    <t>手数</t>
  </si>
  <si>
    <t>平均开仓期权价</t>
  </si>
  <si>
    <t>期权收盘价（当日15:00)</t>
  </si>
  <si>
    <t>交易单位</t>
  </si>
  <si>
    <t>手续费（买入）</t>
  </si>
  <si>
    <t>净浮动盈亏</t>
  </si>
  <si>
    <t>浮动盈亏（包含手续费）</t>
  </si>
  <si>
    <t>成交期货平均价</t>
  </si>
  <si>
    <t>ag2508C9100</t>
  </si>
  <si>
    <t>程</t>
  </si>
  <si>
    <t>ag2508C9300</t>
  </si>
  <si>
    <t>ag2508P7800</t>
  </si>
  <si>
    <t>ag2508P8100</t>
  </si>
  <si>
    <t>ao2509C3100</t>
  </si>
  <si>
    <t>ao2509P2750</t>
  </si>
  <si>
    <t>ao2509P2800</t>
  </si>
  <si>
    <t>c2509-P-2300</t>
  </si>
  <si>
    <t>叶</t>
  </si>
  <si>
    <t>CF509P12400</t>
  </si>
  <si>
    <t>梁</t>
  </si>
  <si>
    <t>CF509P12800</t>
  </si>
  <si>
    <t>CJ509P8900</t>
  </si>
  <si>
    <t>CJ509P9000</t>
  </si>
  <si>
    <t>CJ509P9100</t>
  </si>
  <si>
    <t>FG509P1000</t>
  </si>
  <si>
    <t>FG509P940</t>
  </si>
  <si>
    <t>i2509-P-640</t>
  </si>
  <si>
    <t>i2509-P-660</t>
  </si>
  <si>
    <t>i2509-P-670</t>
  </si>
  <si>
    <t>jd2508-P-3400</t>
  </si>
  <si>
    <t>jd2508-P-3500</t>
  </si>
  <si>
    <t>lc2509-P-57000</t>
  </si>
  <si>
    <t>lc2509-P-58000</t>
  </si>
  <si>
    <t>lc2511</t>
  </si>
  <si>
    <t>lc2511-P-60000</t>
  </si>
  <si>
    <t>lg2509-P-750</t>
  </si>
  <si>
    <t>lg2509-P-775</t>
  </si>
  <si>
    <t>lh2509-P-13200</t>
  </si>
  <si>
    <t>lh2509-P-13400</t>
  </si>
  <si>
    <t>m2509-C-3050</t>
  </si>
  <si>
    <t>m2509-C-3150</t>
  </si>
  <si>
    <t>m2601-P-2800</t>
  </si>
  <si>
    <t>m2601-P-2900</t>
  </si>
  <si>
    <t>MA509P2200</t>
  </si>
  <si>
    <t>OI509P8800</t>
  </si>
  <si>
    <t>pb2508P16400</t>
  </si>
  <si>
    <t>PK510C8700</t>
  </si>
  <si>
    <t>PK510C8800</t>
  </si>
  <si>
    <t>rb2510P2850</t>
  </si>
  <si>
    <t>rb2510P2900</t>
  </si>
  <si>
    <t>RM509C2600</t>
  </si>
  <si>
    <t>RM509C2650</t>
  </si>
  <si>
    <t>RM509C2700</t>
  </si>
  <si>
    <t>RM509C2750</t>
  </si>
  <si>
    <t>RM509P2450</t>
  </si>
  <si>
    <t>RM509P2500</t>
  </si>
  <si>
    <t>SF509P5000</t>
  </si>
  <si>
    <t>SH509C2480</t>
  </si>
  <si>
    <t>SH509C2560</t>
  </si>
  <si>
    <t>SH509P2160</t>
  </si>
  <si>
    <t>SH509P2240</t>
  </si>
  <si>
    <t>SM509P5300</t>
  </si>
  <si>
    <t>sn2508P245000</t>
  </si>
  <si>
    <t>SR509C6200</t>
  </si>
  <si>
    <t>TA509C5100</t>
  </si>
  <si>
    <t>TA509C5200</t>
  </si>
  <si>
    <t>TA509C5300</t>
  </si>
  <si>
    <t>TA509C5400</t>
  </si>
  <si>
    <t>TA509C5500</t>
  </si>
  <si>
    <t>TA509P4400</t>
  </si>
  <si>
    <t>TA509P4500</t>
  </si>
  <si>
    <t>TA509P4550</t>
  </si>
  <si>
    <t>TA509P4600</t>
  </si>
  <si>
    <t>UR509C1800</t>
  </si>
  <si>
    <t>UR509P1640</t>
  </si>
  <si>
    <t>UR509P1660</t>
  </si>
  <si>
    <t>目前总盈亏：</t>
  </si>
  <si>
    <t>平仓日期</t>
  </si>
  <si>
    <t>期权平仓价格</t>
  </si>
  <si>
    <t>手续费</t>
  </si>
  <si>
    <t>净盈亏</t>
  </si>
  <si>
    <t>盈亏（包含手续费）</t>
  </si>
  <si>
    <t>a2509-C-4450</t>
  </si>
  <si>
    <t>TA509C5000</t>
  </si>
  <si>
    <t>jd2508-C-3800</t>
  </si>
  <si>
    <t>ao2507P2800</t>
  </si>
  <si>
    <t>ag2508P8000</t>
  </si>
  <si>
    <t>ag2508P8300</t>
  </si>
  <si>
    <t>cu2507P73000</t>
  </si>
  <si>
    <t>ni2507C128000</t>
  </si>
  <si>
    <t>sn2507P240000</t>
  </si>
  <si>
    <t>si2509-P-7100</t>
  </si>
  <si>
    <t>lc2509-C-64000</t>
  </si>
  <si>
    <t>si2509-P-7000</t>
  </si>
  <si>
    <t>si2509-P-7200</t>
  </si>
  <si>
    <t>v2509-P-4750</t>
  </si>
  <si>
    <t>ao2508C3100</t>
  </si>
  <si>
    <t>FG509C1040</t>
  </si>
  <si>
    <t>ps2508-C-36000</t>
  </si>
  <si>
    <t>SH509C2440</t>
  </si>
  <si>
    <t>总盈亏</t>
  </si>
  <si>
    <t>净值</t>
  </si>
  <si>
    <t>当日出/入金</t>
  </si>
  <si>
    <t>变动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</si>
</sst>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 "/>
    <numFmt numFmtId="178" formatCode="#,##0_ "/>
    <numFmt numFmtId="179" formatCode="0_ "/>
    <numFmt numFmtId="180" formatCode="0.000000_ "/>
    <numFmt numFmtId="181" formatCode="0.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8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>
      <alignment vertical="center"/>
    </xf>
    <xf numFmtId="181" fontId="0" fillId="0" borderId="0" xfId="0" applyNumberFormat="1">
      <alignment vertical="center"/>
    </xf>
    <xf numFmtId="176" fontId="0" fillId="0" borderId="0" xfId="0" applyNumberFormat="1" applyFont="1" applyFill="1">
      <alignment vertical="center"/>
    </xf>
    <xf numFmtId="177" fontId="0" fillId="0" borderId="0" xfId="0" applyNumberFormat="1" applyFont="1" applyFill="1">
      <alignment vertical="center"/>
    </xf>
    <xf numFmtId="176" fontId="0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181" fontId="0" fillId="0" borderId="0" xfId="0" applyNumberFormat="1" applyFont="1" applyFill="1">
      <alignment vertical="center"/>
    </xf>
    <xf numFmtId="181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tabSelected="1" workbookViewId="0">
      <pane ySplit="1" topLeftCell="A32" activePane="bottomLeft" state="frozen"/>
      <selection/>
      <selection pane="bottomLeft" activeCell="M69" sqref="M69"/>
    </sheetView>
  </sheetViews>
  <sheetFormatPr defaultColWidth="9" defaultRowHeight="13.5"/>
  <cols>
    <col min="1" max="1" width="14.3333333333333" style="8" customWidth="1"/>
    <col min="2" max="2" width="17.2666666666667" customWidth="1"/>
    <col min="3" max="3" width="7.25" customWidth="1"/>
    <col min="4" max="4" width="5.6" customWidth="1"/>
    <col min="5" max="5" width="15.2666666666667" style="15" customWidth="1"/>
    <col min="6" max="6" width="22.2" style="15" customWidth="1"/>
    <col min="7" max="7" width="9" customWidth="1"/>
    <col min="8" max="8" width="13.6" customWidth="1"/>
    <col min="9" max="9" width="11.4666666666667" style="15" customWidth="1"/>
    <col min="10" max="10" width="21.2666666666667" style="15" customWidth="1"/>
    <col min="11" max="11" width="15.7333333333333" style="27" customWidth="1"/>
  </cols>
  <sheetData>
    <row r="1" s="7" customFormat="1" ht="12" customHeight="1" spans="1:11">
      <c r="A1" s="2" t="s">
        <v>0</v>
      </c>
      <c r="B1" s="7" t="s">
        <v>1</v>
      </c>
      <c r="C1" s="7" t="s">
        <v>2</v>
      </c>
      <c r="D1" s="7" t="s">
        <v>3</v>
      </c>
      <c r="E1" s="16" t="s">
        <v>4</v>
      </c>
      <c r="F1" s="16" t="s">
        <v>5</v>
      </c>
      <c r="G1" s="7" t="s">
        <v>6</v>
      </c>
      <c r="H1" s="7" t="s">
        <v>7</v>
      </c>
      <c r="I1" s="16" t="s">
        <v>8</v>
      </c>
      <c r="J1" s="16" t="s">
        <v>9</v>
      </c>
      <c r="K1" s="31" t="s">
        <v>10</v>
      </c>
    </row>
    <row r="2" s="13" customFormat="1" spans="1:11">
      <c r="A2" s="2">
        <v>45840</v>
      </c>
      <c r="B2" s="13" t="s">
        <v>11</v>
      </c>
      <c r="C2" s="13" t="s">
        <v>12</v>
      </c>
      <c r="D2" s="13">
        <v>1</v>
      </c>
      <c r="E2" s="17">
        <v>75</v>
      </c>
      <c r="F2" s="17">
        <v>87</v>
      </c>
      <c r="G2" s="13">
        <v>15</v>
      </c>
      <c r="H2" s="13">
        <v>8</v>
      </c>
      <c r="I2" s="17">
        <f>(E2-F2)*D2*G2</f>
        <v>-180</v>
      </c>
      <c r="J2" s="17">
        <f>I2-H2</f>
        <v>-188</v>
      </c>
      <c r="K2" s="32">
        <v>8580</v>
      </c>
    </row>
    <row r="3" s="13" customFormat="1" spans="1:11">
      <c r="A3" s="4"/>
      <c r="B3" s="13" t="s">
        <v>13</v>
      </c>
      <c r="C3" s="13" t="s">
        <v>12</v>
      </c>
      <c r="D3" s="13">
        <v>1</v>
      </c>
      <c r="E3" s="17">
        <v>52</v>
      </c>
      <c r="F3" s="17">
        <v>60</v>
      </c>
      <c r="G3" s="13">
        <v>15</v>
      </c>
      <c r="H3" s="20">
        <v>8</v>
      </c>
      <c r="I3" s="17">
        <f>(E3-F3)*D3*G3</f>
        <v>-120</v>
      </c>
      <c r="J3" s="17">
        <f>I3-H3</f>
        <v>-128</v>
      </c>
      <c r="K3" s="32">
        <v>8600</v>
      </c>
    </row>
    <row r="4" s="13" customFormat="1" spans="1:11">
      <c r="A4" s="4"/>
      <c r="B4" s="13" t="s">
        <v>14</v>
      </c>
      <c r="C4" s="13" t="s">
        <v>12</v>
      </c>
      <c r="D4" s="13">
        <v>1</v>
      </c>
      <c r="E4" s="17">
        <v>70.5</v>
      </c>
      <c r="F4" s="17">
        <v>15</v>
      </c>
      <c r="G4" s="13">
        <v>15</v>
      </c>
      <c r="H4" s="13">
        <v>8</v>
      </c>
      <c r="I4" s="17">
        <f>(E4-F4)*D4*G4</f>
        <v>832.5</v>
      </c>
      <c r="J4" s="17">
        <f>I4-H4</f>
        <v>824.5</v>
      </c>
      <c r="K4" s="32">
        <v>8469</v>
      </c>
    </row>
    <row r="5" s="13" customFormat="1" spans="1:11">
      <c r="A5" s="4"/>
      <c r="B5" s="20" t="s">
        <v>15</v>
      </c>
      <c r="C5" s="13" t="s">
        <v>12</v>
      </c>
      <c r="D5" s="13">
        <v>4</v>
      </c>
      <c r="E5" s="17">
        <f>(34+34+33+33)/4</f>
        <v>33.5</v>
      </c>
      <c r="F5" s="17">
        <v>32.5</v>
      </c>
      <c r="G5" s="13">
        <v>15</v>
      </c>
      <c r="H5" s="13">
        <f>4*8</f>
        <v>32</v>
      </c>
      <c r="I5" s="29">
        <f>(E5-F5)*D5*G5</f>
        <v>60</v>
      </c>
      <c r="J5" s="29">
        <f>I5-H5</f>
        <v>28</v>
      </c>
      <c r="K5" s="32">
        <f>(8787+8776+8780+8788)/4</f>
        <v>8782.75</v>
      </c>
    </row>
    <row r="6" s="13" customFormat="1" spans="1:11">
      <c r="A6" s="28"/>
      <c r="B6" s="20" t="s">
        <v>16</v>
      </c>
      <c r="C6" s="26" t="s">
        <v>12</v>
      </c>
      <c r="D6" s="26">
        <v>5</v>
      </c>
      <c r="E6" s="29">
        <f>(60*3+61+42.5+43.5+49.5+48+59.5+58+56)/11</f>
        <v>54.3636363636364</v>
      </c>
      <c r="F6" s="29">
        <v>104.5</v>
      </c>
      <c r="G6" s="26">
        <v>20</v>
      </c>
      <c r="H6" s="26">
        <f>14*5</f>
        <v>70</v>
      </c>
      <c r="I6" s="29">
        <f>(E6-F6)*D6*G6</f>
        <v>-5013.63636363636</v>
      </c>
      <c r="J6" s="29">
        <f>I6-H6</f>
        <v>-5083.63636363636</v>
      </c>
      <c r="K6" s="33">
        <f>(2890+2895+2895+2897+2841+2843+2878+2887+2935+2938+2948)/11</f>
        <v>2895.18181818182</v>
      </c>
    </row>
    <row r="7" s="13" customFormat="1" spans="1:11">
      <c r="A7" s="4"/>
      <c r="B7" s="20" t="s">
        <v>17</v>
      </c>
      <c r="C7" s="13" t="s">
        <v>12</v>
      </c>
      <c r="D7" s="13">
        <v>3</v>
      </c>
      <c r="E7" s="17">
        <f>(27.5*2+28)/3</f>
        <v>27.6666666666667</v>
      </c>
      <c r="F7" s="17">
        <v>17</v>
      </c>
      <c r="G7" s="13">
        <v>20</v>
      </c>
      <c r="H7" s="13">
        <f>3*14</f>
        <v>42</v>
      </c>
      <c r="I7" s="29">
        <f>(E7-F7)*D7*G7</f>
        <v>640.000000000002</v>
      </c>
      <c r="J7" s="29">
        <f>I7-H7</f>
        <v>598.000000000002</v>
      </c>
      <c r="K7" s="32">
        <f>(2981*2+2943)/3</f>
        <v>2968.33333333333</v>
      </c>
    </row>
    <row r="8" s="13" customFormat="1" spans="1:11">
      <c r="A8" s="4"/>
      <c r="B8" s="20" t="s">
        <v>18</v>
      </c>
      <c r="C8" s="13" t="s">
        <v>12</v>
      </c>
      <c r="D8" s="13">
        <v>18</v>
      </c>
      <c r="E8" s="17">
        <f>(65+39+38*6+37+37.5*2+35+38.5+37+41+40+39.5+39)/18</f>
        <v>39.6666666666667</v>
      </c>
      <c r="F8" s="17">
        <v>24</v>
      </c>
      <c r="G8" s="13">
        <v>20</v>
      </c>
      <c r="H8" s="13">
        <f>14*18</f>
        <v>252</v>
      </c>
      <c r="I8" s="29">
        <f>(E8-F8)*D8*G8</f>
        <v>5640.00000000001</v>
      </c>
      <c r="J8" s="29">
        <f>I8-H8</f>
        <v>5388.00000000001</v>
      </c>
      <c r="K8" s="32">
        <f>(2915+2981+2993+2987+2983+2984+2982*2+2985+2998+2983*2+2972+2977+2962+2960+2955+2944)/18</f>
        <v>2973.66666666667</v>
      </c>
    </row>
    <row r="9" s="26" customFormat="1" spans="1:11">
      <c r="A9" s="4"/>
      <c r="B9" s="20" t="s">
        <v>19</v>
      </c>
      <c r="C9" s="13" t="s">
        <v>20</v>
      </c>
      <c r="D9" s="13">
        <v>8</v>
      </c>
      <c r="E9" s="17">
        <v>7.1875</v>
      </c>
      <c r="F9" s="17">
        <v>8.5</v>
      </c>
      <c r="G9" s="13">
        <v>10</v>
      </c>
      <c r="H9" s="13">
        <f>2.4*3+12</f>
        <v>19.2</v>
      </c>
      <c r="I9" s="17">
        <f>(E9-F9)*D9*G9</f>
        <v>-105</v>
      </c>
      <c r="J9" s="17">
        <f>I9-H9</f>
        <v>-124.2</v>
      </c>
      <c r="K9" s="32">
        <f>(2380+2383*2+2403*5)/8</f>
        <v>2395.125</v>
      </c>
    </row>
    <row r="10" s="13" customFormat="1" spans="1:11">
      <c r="A10" s="4"/>
      <c r="B10" s="20" t="s">
        <v>21</v>
      </c>
      <c r="C10" s="13" t="s">
        <v>22</v>
      </c>
      <c r="D10" s="13">
        <v>6</v>
      </c>
      <c r="E10" s="17">
        <f>(28.5*4+12*2)/6</f>
        <v>23</v>
      </c>
      <c r="F10" s="17">
        <v>9</v>
      </c>
      <c r="G10" s="13">
        <v>5</v>
      </c>
      <c r="H10" s="13">
        <f>6*6</f>
        <v>36</v>
      </c>
      <c r="I10" s="17">
        <f>(E10-F10)*D10*G10</f>
        <v>420</v>
      </c>
      <c r="J10" s="17">
        <f>I10-H10</f>
        <v>384</v>
      </c>
      <c r="K10" s="32">
        <f>(13515*2+13490*2+13745*2)/6</f>
        <v>13583.3333333333</v>
      </c>
    </row>
    <row r="11" s="13" customFormat="1" spans="1:11">
      <c r="A11" s="4"/>
      <c r="B11" s="20" t="s">
        <v>23</v>
      </c>
      <c r="C11" s="13" t="s">
        <v>22</v>
      </c>
      <c r="D11" s="13">
        <v>4</v>
      </c>
      <c r="E11" s="17">
        <f>(21*2+20*2)/4</f>
        <v>20.5</v>
      </c>
      <c r="F11" s="17">
        <v>13</v>
      </c>
      <c r="G11" s="13">
        <v>5</v>
      </c>
      <c r="H11" s="13">
        <f>4*6</f>
        <v>24</v>
      </c>
      <c r="I11" s="29">
        <f>(E11-F11)*D11*G11</f>
        <v>150</v>
      </c>
      <c r="J11" s="29">
        <f>I11-H11</f>
        <v>126</v>
      </c>
      <c r="K11" s="32">
        <f>(13685*2+13705*2)/4</f>
        <v>13695</v>
      </c>
    </row>
    <row r="12" s="13" customFormat="1" spans="1:11">
      <c r="A12" s="4"/>
      <c r="B12" s="20" t="s">
        <v>24</v>
      </c>
      <c r="C12" s="13" t="s">
        <v>22</v>
      </c>
      <c r="D12" s="13">
        <v>1</v>
      </c>
      <c r="E12" s="17">
        <v>48</v>
      </c>
      <c r="F12" s="17">
        <v>40</v>
      </c>
      <c r="G12" s="13">
        <v>5</v>
      </c>
      <c r="H12" s="13">
        <v>4</v>
      </c>
      <c r="I12" s="29">
        <f>(E12-F12)*D12*G12</f>
        <v>40</v>
      </c>
      <c r="J12" s="29">
        <f>I12-H12</f>
        <v>36</v>
      </c>
      <c r="K12" s="32">
        <v>9700</v>
      </c>
    </row>
    <row r="13" s="13" customFormat="1" spans="1:11">
      <c r="A13" s="4"/>
      <c r="B13" s="20" t="s">
        <v>25</v>
      </c>
      <c r="C13" s="13" t="s">
        <v>22</v>
      </c>
      <c r="D13" s="13">
        <v>8</v>
      </c>
      <c r="E13" s="17">
        <f>(65*4+64*2+63*2)/8</f>
        <v>64.25</v>
      </c>
      <c r="F13" s="17">
        <v>54</v>
      </c>
      <c r="G13" s="13">
        <v>5</v>
      </c>
      <c r="H13" s="13">
        <f>4*8</f>
        <v>32</v>
      </c>
      <c r="I13" s="29">
        <f>(E13-F13)*D13*G13</f>
        <v>410</v>
      </c>
      <c r="J13" s="29">
        <f>I13-H13</f>
        <v>378</v>
      </c>
      <c r="K13" s="32">
        <f>(9665*4+9650*2+9645*2)/8</f>
        <v>9656.25</v>
      </c>
    </row>
    <row r="14" s="13" customFormat="1" spans="1:11">
      <c r="A14" s="4"/>
      <c r="B14" s="20" t="s">
        <v>26</v>
      </c>
      <c r="C14" s="13" t="s">
        <v>22</v>
      </c>
      <c r="D14" s="13">
        <v>1</v>
      </c>
      <c r="E14" s="17">
        <v>70</v>
      </c>
      <c r="F14" s="17">
        <v>64</v>
      </c>
      <c r="G14" s="13">
        <v>5</v>
      </c>
      <c r="H14" s="13">
        <v>4</v>
      </c>
      <c r="I14" s="29">
        <f>(E14-F14)*D14*G14</f>
        <v>30</v>
      </c>
      <c r="J14" s="29">
        <f>I14-H14</f>
        <v>26</v>
      </c>
      <c r="K14" s="32">
        <v>9730</v>
      </c>
    </row>
    <row r="15" s="13" customFormat="1" spans="1:11">
      <c r="A15" s="30"/>
      <c r="B15" s="23" t="s">
        <v>27</v>
      </c>
      <c r="C15" s="13" t="s">
        <v>22</v>
      </c>
      <c r="D15" s="14">
        <v>6</v>
      </c>
      <c r="E15" s="24">
        <f>(22.5*2+23)/3</f>
        <v>22.6666666666667</v>
      </c>
      <c r="F15" s="24">
        <v>21.5</v>
      </c>
      <c r="G15" s="14">
        <v>20</v>
      </c>
      <c r="H15" s="14">
        <f>2*3</f>
        <v>6</v>
      </c>
      <c r="I15" s="29">
        <f>(E15-F15)*D15*G15</f>
        <v>140</v>
      </c>
      <c r="J15" s="29">
        <f>I15-H15</f>
        <v>134</v>
      </c>
      <c r="K15" s="34"/>
    </row>
    <row r="16" s="13" customFormat="1" spans="1:11">
      <c r="A16" s="4"/>
      <c r="B16" s="20" t="s">
        <v>28</v>
      </c>
      <c r="C16" s="13" t="s">
        <v>22</v>
      </c>
      <c r="D16" s="13">
        <v>8</v>
      </c>
      <c r="E16" s="17">
        <f>(11.25*6+15.5*2)/8</f>
        <v>12.3125</v>
      </c>
      <c r="F16" s="17">
        <v>7</v>
      </c>
      <c r="G16" s="13">
        <v>20</v>
      </c>
      <c r="H16" s="13">
        <f>2*6</f>
        <v>12</v>
      </c>
      <c r="I16" s="29">
        <f>(E16-F16)*D16*G16</f>
        <v>850</v>
      </c>
      <c r="J16" s="29">
        <f>I16-H16</f>
        <v>838</v>
      </c>
      <c r="K16" s="32">
        <f>(1012*4+1015*4)/8</f>
        <v>1013.5</v>
      </c>
    </row>
    <row r="17" s="13" customFormat="1" spans="1:11">
      <c r="A17" s="4"/>
      <c r="B17" s="20" t="s">
        <v>29</v>
      </c>
      <c r="C17" s="13" t="s">
        <v>20</v>
      </c>
      <c r="D17" s="13">
        <v>5</v>
      </c>
      <c r="E17" s="17">
        <v>5.4</v>
      </c>
      <c r="F17" s="17">
        <v>1.6</v>
      </c>
      <c r="G17" s="13">
        <v>100</v>
      </c>
      <c r="H17" s="13">
        <v>40</v>
      </c>
      <c r="I17" s="29">
        <f>(E17-F17)*D17*G17</f>
        <v>1900</v>
      </c>
      <c r="J17" s="29">
        <f>I17-H17</f>
        <v>1860</v>
      </c>
      <c r="K17" s="32">
        <v>697</v>
      </c>
    </row>
    <row r="18" s="13" customFormat="1" spans="1:11">
      <c r="A18" s="4"/>
      <c r="B18" s="20" t="s">
        <v>30</v>
      </c>
      <c r="C18" s="13" t="s">
        <v>20</v>
      </c>
      <c r="D18" s="13">
        <v>2</v>
      </c>
      <c r="E18" s="17">
        <v>4.5</v>
      </c>
      <c r="F18" s="17">
        <v>3</v>
      </c>
      <c r="G18" s="13">
        <v>100</v>
      </c>
      <c r="H18" s="13">
        <f>2*8</f>
        <v>16</v>
      </c>
      <c r="I18" s="29">
        <f>(E18-F18)*D18*G18</f>
        <v>300</v>
      </c>
      <c r="J18" s="29">
        <f>I18-H18</f>
        <v>284</v>
      </c>
      <c r="K18" s="32">
        <v>718.5</v>
      </c>
    </row>
    <row r="19" s="13" customFormat="1" spans="1:11">
      <c r="A19" s="4"/>
      <c r="B19" s="20" t="s">
        <v>31</v>
      </c>
      <c r="C19" s="13" t="s">
        <v>20</v>
      </c>
      <c r="D19" s="13">
        <v>1</v>
      </c>
      <c r="E19" s="17">
        <v>5.6</v>
      </c>
      <c r="F19" s="17">
        <v>3.9</v>
      </c>
      <c r="G19" s="13">
        <v>100</v>
      </c>
      <c r="H19" s="13">
        <v>8</v>
      </c>
      <c r="I19" s="29">
        <f>(E19-F19)*D19*G19</f>
        <v>170</v>
      </c>
      <c r="J19" s="29">
        <f>I19-H19</f>
        <v>162</v>
      </c>
      <c r="K19" s="32">
        <v>719.5</v>
      </c>
    </row>
    <row r="20" s="13" customFormat="1" spans="1:11">
      <c r="A20" s="4"/>
      <c r="B20" s="20" t="s">
        <v>32</v>
      </c>
      <c r="C20" s="13" t="s">
        <v>20</v>
      </c>
      <c r="D20" s="13">
        <v>6</v>
      </c>
      <c r="E20" s="17">
        <f>(26+25.5*2+23*2+15)/6</f>
        <v>23</v>
      </c>
      <c r="F20" s="17">
        <v>12</v>
      </c>
      <c r="G20" s="13">
        <v>10</v>
      </c>
      <c r="H20" s="13">
        <f>2*6</f>
        <v>12</v>
      </c>
      <c r="I20" s="29">
        <f>(E20-F20)*D20*G20</f>
        <v>660</v>
      </c>
      <c r="J20" s="29">
        <f>I20-H20</f>
        <v>648</v>
      </c>
      <c r="K20" s="32">
        <f>(3588+3587+3611*2+3623)/5</f>
        <v>3604</v>
      </c>
    </row>
    <row r="21" s="13" customFormat="1" spans="1:11">
      <c r="A21" s="4"/>
      <c r="B21" s="20" t="s">
        <v>33</v>
      </c>
      <c r="C21" s="13" t="s">
        <v>20</v>
      </c>
      <c r="D21" s="13">
        <v>35</v>
      </c>
      <c r="E21" s="17">
        <f>(55.5*15+56*10+58*10)/35</f>
        <v>56.3571428571429</v>
      </c>
      <c r="F21" s="17">
        <v>42</v>
      </c>
      <c r="G21" s="13">
        <v>10</v>
      </c>
      <c r="H21" s="13">
        <f>2*35</f>
        <v>70</v>
      </c>
      <c r="I21" s="29">
        <f>(E21-F21)*D21*G21</f>
        <v>5025</v>
      </c>
      <c r="J21" s="29">
        <f>I21-H21</f>
        <v>4955</v>
      </c>
      <c r="K21" s="32">
        <f>(3523*5+3521*9+3521*21)/35</f>
        <v>3521.28571428571</v>
      </c>
    </row>
    <row r="22" s="13" customFormat="1" spans="1:11">
      <c r="A22" s="4"/>
      <c r="B22" s="20" t="s">
        <v>34</v>
      </c>
      <c r="C22" s="13" t="s">
        <v>12</v>
      </c>
      <c r="D22" s="13">
        <v>2</v>
      </c>
      <c r="E22" s="17">
        <f>(450+240)/2</f>
        <v>345</v>
      </c>
      <c r="F22" s="17">
        <v>230</v>
      </c>
      <c r="G22" s="13">
        <v>1</v>
      </c>
      <c r="H22" s="13">
        <f>2*12</f>
        <v>24</v>
      </c>
      <c r="I22" s="29">
        <f>(E22-F22)*D22*G22</f>
        <v>230</v>
      </c>
      <c r="J22" s="29">
        <f>I22-H22</f>
        <v>206</v>
      </c>
      <c r="K22" s="32">
        <v>62700</v>
      </c>
    </row>
    <row r="23" s="13" customFormat="1" spans="1:11">
      <c r="A23" s="4"/>
      <c r="B23" s="20" t="s">
        <v>35</v>
      </c>
      <c r="C23" s="13" t="s">
        <v>12</v>
      </c>
      <c r="D23" s="13">
        <v>2</v>
      </c>
      <c r="E23" s="17">
        <f>(595+340)/2</f>
        <v>467.5</v>
      </c>
      <c r="F23" s="17">
        <v>340</v>
      </c>
      <c r="G23" s="13">
        <v>1</v>
      </c>
      <c r="H23" s="13">
        <f>2*12</f>
        <v>24</v>
      </c>
      <c r="I23" s="29">
        <f>(E23-F23)*D23*G23</f>
        <v>255</v>
      </c>
      <c r="J23" s="29">
        <f>I23-H23</f>
        <v>231</v>
      </c>
      <c r="K23" s="32">
        <f>(62980+62400)/2</f>
        <v>62690</v>
      </c>
    </row>
    <row r="24" s="13" customFormat="1" spans="1:11">
      <c r="A24" s="4"/>
      <c r="B24" s="20" t="s">
        <v>36</v>
      </c>
      <c r="C24" s="13" t="s">
        <v>12</v>
      </c>
      <c r="D24" s="13">
        <v>1</v>
      </c>
      <c r="E24" s="17">
        <v>62500</v>
      </c>
      <c r="F24" s="17">
        <v>63560</v>
      </c>
      <c r="G24" s="13">
        <v>1</v>
      </c>
      <c r="H24" s="13">
        <v>5.02</v>
      </c>
      <c r="I24" s="29">
        <f>(E24-F24)*D24*G24</f>
        <v>-1060</v>
      </c>
      <c r="J24" s="29">
        <f>I24-H24</f>
        <v>-1065.02</v>
      </c>
      <c r="K24" s="32"/>
    </row>
    <row r="25" s="13" customFormat="1" spans="1:11">
      <c r="A25" s="4"/>
      <c r="B25" s="20" t="s">
        <v>37</v>
      </c>
      <c r="C25" s="13" t="s">
        <v>12</v>
      </c>
      <c r="D25" s="13">
        <v>1</v>
      </c>
      <c r="E25" s="17">
        <v>1620</v>
      </c>
      <c r="F25" s="17">
        <v>1430</v>
      </c>
      <c r="G25" s="13">
        <v>1</v>
      </c>
      <c r="H25" s="13">
        <v>12</v>
      </c>
      <c r="I25" s="29">
        <f>(E25-F25)*D25*G25</f>
        <v>190</v>
      </c>
      <c r="J25" s="29">
        <f>I25-H25</f>
        <v>178</v>
      </c>
      <c r="K25" s="32">
        <v>62860</v>
      </c>
    </row>
    <row r="26" s="13" customFormat="1" spans="1:11">
      <c r="A26" s="4"/>
      <c r="B26" s="20" t="s">
        <v>38</v>
      </c>
      <c r="C26" s="13" t="s">
        <v>20</v>
      </c>
      <c r="D26" s="13">
        <v>3</v>
      </c>
      <c r="E26" s="17">
        <v>7.25</v>
      </c>
      <c r="F26" s="17">
        <v>6.25</v>
      </c>
      <c r="G26" s="13">
        <v>90</v>
      </c>
      <c r="H26" s="13">
        <v>12</v>
      </c>
      <c r="I26" s="29">
        <f>(E26-F26)*D26*G26</f>
        <v>270</v>
      </c>
      <c r="J26" s="29">
        <f>I26-H26</f>
        <v>258</v>
      </c>
      <c r="K26" s="32">
        <v>811.5</v>
      </c>
    </row>
    <row r="27" s="13" customFormat="1" spans="1:11">
      <c r="A27" s="4"/>
      <c r="B27" s="20" t="s">
        <v>39</v>
      </c>
      <c r="C27" s="13" t="s">
        <v>20</v>
      </c>
      <c r="D27" s="13">
        <v>1</v>
      </c>
      <c r="E27" s="17">
        <v>11.75</v>
      </c>
      <c r="F27" s="17">
        <v>11.75</v>
      </c>
      <c r="G27" s="13">
        <v>90</v>
      </c>
      <c r="H27" s="13">
        <v>4</v>
      </c>
      <c r="I27" s="29">
        <f>(E27-F27)*D27*G27</f>
        <v>0</v>
      </c>
      <c r="J27" s="29">
        <f>I27-H27</f>
        <v>-4</v>
      </c>
      <c r="K27" s="32">
        <v>811.5</v>
      </c>
    </row>
    <row r="28" s="13" customFormat="1" spans="1:11">
      <c r="A28" s="4"/>
      <c r="B28" s="20" t="s">
        <v>40</v>
      </c>
      <c r="C28" s="13" t="s">
        <v>20</v>
      </c>
      <c r="D28" s="13">
        <v>1</v>
      </c>
      <c r="E28" s="17">
        <v>35</v>
      </c>
      <c r="F28" s="17">
        <v>22.5</v>
      </c>
      <c r="G28" s="13">
        <v>16</v>
      </c>
      <c r="H28" s="13">
        <v>6</v>
      </c>
      <c r="I28" s="29">
        <f>(E28-F28)*D28*G28</f>
        <v>200</v>
      </c>
      <c r="J28" s="29">
        <f>I28-H28</f>
        <v>194</v>
      </c>
      <c r="K28" s="32">
        <v>14000</v>
      </c>
    </row>
    <row r="29" s="13" customFormat="1" spans="1:11">
      <c r="A29" s="4"/>
      <c r="B29" s="20" t="s">
        <v>41</v>
      </c>
      <c r="C29" s="13" t="s">
        <v>20</v>
      </c>
      <c r="D29" s="13">
        <v>1</v>
      </c>
      <c r="E29" s="17">
        <v>60</v>
      </c>
      <c r="F29" s="17">
        <v>35</v>
      </c>
      <c r="G29" s="13">
        <v>16</v>
      </c>
      <c r="H29" s="13">
        <v>6</v>
      </c>
      <c r="I29" s="29">
        <f>(E29-F29)*D29*G29</f>
        <v>400</v>
      </c>
      <c r="J29" s="29">
        <f>I29-H29</f>
        <v>394</v>
      </c>
      <c r="K29" s="32">
        <v>14030</v>
      </c>
    </row>
    <row r="30" s="13" customFormat="1" spans="1:11">
      <c r="A30" s="4"/>
      <c r="B30" s="20" t="s">
        <v>42</v>
      </c>
      <c r="C30" s="13" t="s">
        <v>20</v>
      </c>
      <c r="D30" s="13">
        <v>4</v>
      </c>
      <c r="E30" s="17">
        <f>(29.5*2+29*2)/4</f>
        <v>29.25</v>
      </c>
      <c r="F30" s="17">
        <v>24</v>
      </c>
      <c r="G30" s="13">
        <v>10</v>
      </c>
      <c r="H30" s="13">
        <f>3*4</f>
        <v>12</v>
      </c>
      <c r="I30" s="29">
        <f>(E30-F30)*D30*G30</f>
        <v>210</v>
      </c>
      <c r="J30" s="29">
        <f>I30-H30</f>
        <v>198</v>
      </c>
      <c r="K30" s="32">
        <f>(2929*2+2930+2929)/4</f>
        <v>2929.25</v>
      </c>
    </row>
    <row r="31" s="13" customFormat="1" spans="1:11">
      <c r="A31" s="4"/>
      <c r="B31" s="20" t="s">
        <v>43</v>
      </c>
      <c r="C31" s="13" t="s">
        <v>20</v>
      </c>
      <c r="D31" s="13">
        <v>2</v>
      </c>
      <c r="E31" s="17">
        <v>18.5</v>
      </c>
      <c r="F31" s="17">
        <v>13</v>
      </c>
      <c r="G31" s="13">
        <v>10</v>
      </c>
      <c r="H31" s="13">
        <f>2*3</f>
        <v>6</v>
      </c>
      <c r="I31" s="29">
        <f>(E31-F31)*D31*G31</f>
        <v>110</v>
      </c>
      <c r="J31" s="29">
        <f>I31-H31</f>
        <v>104</v>
      </c>
      <c r="K31" s="32">
        <v>2934</v>
      </c>
    </row>
    <row r="32" s="13" customFormat="1" spans="1:11">
      <c r="A32" s="4"/>
      <c r="B32" s="20" t="s">
        <v>44</v>
      </c>
      <c r="C32" s="13" t="s">
        <v>20</v>
      </c>
      <c r="D32" s="13">
        <v>4</v>
      </c>
      <c r="E32" s="17">
        <f>(36.5+2*30+30.5)/4</f>
        <v>31.75</v>
      </c>
      <c r="F32" s="17">
        <v>36.5</v>
      </c>
      <c r="G32" s="13">
        <v>10</v>
      </c>
      <c r="H32" s="13">
        <v>12</v>
      </c>
      <c r="I32" s="17">
        <f>(E32-F32)*D32*G32</f>
        <v>-190</v>
      </c>
      <c r="J32" s="17">
        <f>I32-H32</f>
        <v>-202</v>
      </c>
      <c r="K32" s="32">
        <f>(3033+2*3070+3056)/4</f>
        <v>3057.25</v>
      </c>
    </row>
    <row r="33" s="13" customFormat="1" ht="12.75" customHeight="1" spans="1:11">
      <c r="A33" s="4"/>
      <c r="B33" s="20" t="s">
        <v>45</v>
      </c>
      <c r="C33" s="13" t="s">
        <v>20</v>
      </c>
      <c r="D33" s="13">
        <v>2</v>
      </c>
      <c r="E33" s="17">
        <v>47.5</v>
      </c>
      <c r="F33" s="17">
        <v>70.5</v>
      </c>
      <c r="G33" s="13">
        <v>10</v>
      </c>
      <c r="H33" s="13">
        <f>2*3</f>
        <v>6</v>
      </c>
      <c r="I33" s="29">
        <f>(E33-F33)*D33*G33</f>
        <v>-460</v>
      </c>
      <c r="J33" s="29">
        <f>I33-H33</f>
        <v>-466</v>
      </c>
      <c r="K33" s="32">
        <v>3099</v>
      </c>
    </row>
    <row r="34" s="13" customFormat="1" spans="1:11">
      <c r="A34" s="4"/>
      <c r="B34" s="20" t="s">
        <v>46</v>
      </c>
      <c r="C34" s="13" t="s">
        <v>22</v>
      </c>
      <c r="D34" s="13">
        <v>8</v>
      </c>
      <c r="E34" s="17">
        <f>(17.75*4+15+15.5*2+16)/8</f>
        <v>16.625</v>
      </c>
      <c r="F34" s="17">
        <v>9</v>
      </c>
      <c r="G34" s="13">
        <v>10</v>
      </c>
      <c r="H34" s="13">
        <f>2*8</f>
        <v>16</v>
      </c>
      <c r="I34" s="29">
        <f>(E34-F34)*D34*G34</f>
        <v>610</v>
      </c>
      <c r="J34" s="29">
        <f>I34-H34</f>
        <v>594</v>
      </c>
      <c r="K34" s="32">
        <f>(2473+2475+2470+2471+2503+2492+2501+2499)/8</f>
        <v>2485.5</v>
      </c>
    </row>
    <row r="35" s="13" customFormat="1" spans="1:11">
      <c r="A35" s="4"/>
      <c r="B35" s="20" t="s">
        <v>47</v>
      </c>
      <c r="C35" s="13" t="s">
        <v>22</v>
      </c>
      <c r="D35" s="13">
        <v>2</v>
      </c>
      <c r="E35" s="17">
        <v>41.75</v>
      </c>
      <c r="F35" s="17">
        <v>22.5</v>
      </c>
      <c r="G35" s="13">
        <v>10</v>
      </c>
      <c r="H35" s="13">
        <f>2*6</f>
        <v>12</v>
      </c>
      <c r="I35" s="29">
        <f>(E35-F35)*D35*G35</f>
        <v>385</v>
      </c>
      <c r="J35" s="29">
        <f>I35-H35</f>
        <v>373</v>
      </c>
      <c r="K35" s="32">
        <v>9569</v>
      </c>
    </row>
    <row r="36" s="13" customFormat="1" spans="1:11">
      <c r="A36" s="4"/>
      <c r="B36" s="13" t="s">
        <v>48</v>
      </c>
      <c r="C36" s="13" t="s">
        <v>12</v>
      </c>
      <c r="D36" s="13">
        <v>1</v>
      </c>
      <c r="E36" s="17">
        <v>34</v>
      </c>
      <c r="F36" s="17">
        <v>24</v>
      </c>
      <c r="G36" s="13">
        <v>5</v>
      </c>
      <c r="H36" s="13">
        <v>8</v>
      </c>
      <c r="I36" s="17">
        <f>(E36-F36)*D36*G36</f>
        <v>50</v>
      </c>
      <c r="J36" s="17">
        <f>I36-H36</f>
        <v>42</v>
      </c>
      <c r="K36" s="32">
        <v>17145</v>
      </c>
    </row>
    <row r="37" s="13" customFormat="1" spans="1:11">
      <c r="A37" s="4"/>
      <c r="B37" s="20" t="s">
        <v>49</v>
      </c>
      <c r="C37" s="13" t="s">
        <v>22</v>
      </c>
      <c r="D37" s="13">
        <v>2</v>
      </c>
      <c r="E37" s="17">
        <v>37.5</v>
      </c>
      <c r="F37" s="17">
        <v>42.5</v>
      </c>
      <c r="G37" s="13">
        <v>5</v>
      </c>
      <c r="H37" s="13">
        <f>2*3.2</f>
        <v>6.4</v>
      </c>
      <c r="I37" s="29">
        <f>(E37-F37)*D37*G37</f>
        <v>-50</v>
      </c>
      <c r="J37" s="29">
        <f>I37-H37</f>
        <v>-56.4</v>
      </c>
      <c r="K37" s="32">
        <v>8176</v>
      </c>
    </row>
    <row r="38" s="13" customFormat="1" spans="1:11">
      <c r="A38" s="4"/>
      <c r="B38" s="20" t="s">
        <v>50</v>
      </c>
      <c r="C38" s="13" t="s">
        <v>22</v>
      </c>
      <c r="D38" s="13">
        <v>3</v>
      </c>
      <c r="E38" s="17">
        <f>(31.5*2+30.5)/3</f>
        <v>31.1666666666667</v>
      </c>
      <c r="F38" s="17">
        <v>32.5</v>
      </c>
      <c r="G38" s="13">
        <v>5</v>
      </c>
      <c r="H38" s="13">
        <f>3.2*3</f>
        <v>9.6</v>
      </c>
      <c r="I38" s="29">
        <f>(E38-F38)*D38*G38</f>
        <v>-20</v>
      </c>
      <c r="J38" s="29">
        <f>I38-H38</f>
        <v>-29.6</v>
      </c>
      <c r="K38" s="32">
        <f>(8192+8194*2)/3</f>
        <v>8193.33333333333</v>
      </c>
    </row>
    <row r="39" s="13" customFormat="1" spans="1:11">
      <c r="A39" s="4"/>
      <c r="B39" s="20" t="s">
        <v>51</v>
      </c>
      <c r="C39" s="13" t="s">
        <v>12</v>
      </c>
      <c r="D39" s="13">
        <v>8</v>
      </c>
      <c r="E39" s="17">
        <f>(40*3+28*3+27*2)/8</f>
        <v>32.25</v>
      </c>
      <c r="F39" s="17">
        <v>14.5</v>
      </c>
      <c r="G39" s="13">
        <v>10</v>
      </c>
      <c r="H39" s="13">
        <f>8*8</f>
        <v>64</v>
      </c>
      <c r="I39" s="29">
        <f>(E39-F39)*D39*G39</f>
        <v>1420</v>
      </c>
      <c r="J39" s="29">
        <f>I39-H39</f>
        <v>1356</v>
      </c>
      <c r="K39" s="32">
        <f>(2976+2976+2977+3000*2+2995*2+2997)/8</f>
        <v>2989.5</v>
      </c>
    </row>
    <row r="40" s="13" customFormat="1" spans="1:11">
      <c r="A40" s="4"/>
      <c r="B40" s="20" t="s">
        <v>52</v>
      </c>
      <c r="C40" s="13" t="s">
        <v>12</v>
      </c>
      <c r="D40" s="13">
        <v>7</v>
      </c>
      <c r="E40" s="17">
        <f>(54.5+31*3+29.5*3)/7</f>
        <v>33.7142857142857</v>
      </c>
      <c r="F40" s="17">
        <v>21.5</v>
      </c>
      <c r="G40" s="13">
        <v>10</v>
      </c>
      <c r="H40" s="13">
        <f>7*8</f>
        <v>56</v>
      </c>
      <c r="I40" s="29">
        <f>(E40-F40)*D40*G40</f>
        <v>855</v>
      </c>
      <c r="J40" s="29">
        <f>I40-H40</f>
        <v>799</v>
      </c>
      <c r="K40" s="32">
        <v>2975</v>
      </c>
    </row>
    <row r="41" s="13" customFormat="1" spans="1:11">
      <c r="A41" s="4"/>
      <c r="B41" s="20" t="s">
        <v>53</v>
      </c>
      <c r="C41" s="13" t="s">
        <v>22</v>
      </c>
      <c r="D41" s="13">
        <v>4</v>
      </c>
      <c r="E41" s="17">
        <f>(48+47.5+49*2)/4</f>
        <v>48.375</v>
      </c>
      <c r="F41" s="17">
        <v>54.5</v>
      </c>
      <c r="G41" s="13">
        <v>10</v>
      </c>
      <c r="H41" s="13">
        <f>3.2*4</f>
        <v>12.8</v>
      </c>
      <c r="I41" s="29">
        <f>(E41-F41)*D41*G41</f>
        <v>-245</v>
      </c>
      <c r="J41" s="29">
        <f>I41-H41</f>
        <v>-257.8</v>
      </c>
      <c r="K41" s="32">
        <f>(2530+2530+2542*2)/4</f>
        <v>2536</v>
      </c>
    </row>
    <row r="42" s="13" customFormat="1" spans="1:11">
      <c r="A42" s="4"/>
      <c r="B42" s="20" t="s">
        <v>54</v>
      </c>
      <c r="C42" s="13" t="s">
        <v>22</v>
      </c>
      <c r="D42" s="13">
        <v>4</v>
      </c>
      <c r="E42" s="17">
        <f>(35*2+34.5*2)/4</f>
        <v>34.75</v>
      </c>
      <c r="F42" s="17">
        <v>38.5</v>
      </c>
      <c r="G42" s="13">
        <v>10</v>
      </c>
      <c r="H42" s="13">
        <f>3.2*4</f>
        <v>12.8</v>
      </c>
      <c r="I42" s="29">
        <f>(E42-F42)*D42*G42</f>
        <v>-150</v>
      </c>
      <c r="J42" s="29">
        <f>I42-H42</f>
        <v>-162.8</v>
      </c>
      <c r="K42" s="32">
        <v>2542</v>
      </c>
    </row>
    <row r="43" s="13" customFormat="1" spans="1:11">
      <c r="A43" s="4"/>
      <c r="B43" s="20" t="s">
        <v>55</v>
      </c>
      <c r="C43" s="13" t="s">
        <v>22</v>
      </c>
      <c r="D43" s="13">
        <v>2</v>
      </c>
      <c r="E43" s="17">
        <v>24</v>
      </c>
      <c r="F43" s="17">
        <v>27</v>
      </c>
      <c r="G43" s="13">
        <v>10</v>
      </c>
      <c r="H43" s="13">
        <f>3.2*2</f>
        <v>6.4</v>
      </c>
      <c r="I43" s="29">
        <f>(E43-F43)*D43*G43</f>
        <v>-60</v>
      </c>
      <c r="J43" s="29">
        <f>I43-H43</f>
        <v>-66.4</v>
      </c>
      <c r="K43" s="32">
        <v>2534</v>
      </c>
    </row>
    <row r="44" s="13" customFormat="1" spans="1:11">
      <c r="A44" s="4"/>
      <c r="B44" s="20" t="s">
        <v>56</v>
      </c>
      <c r="C44" s="13" t="s">
        <v>22</v>
      </c>
      <c r="D44" s="13">
        <v>2</v>
      </c>
      <c r="E44" s="17">
        <v>21</v>
      </c>
      <c r="F44" s="17">
        <v>18.5</v>
      </c>
      <c r="G44" s="13">
        <v>10</v>
      </c>
      <c r="H44" s="13">
        <f>2*3.2</f>
        <v>6.4</v>
      </c>
      <c r="I44" s="29">
        <f>(E44-F44)*D44*G44</f>
        <v>50</v>
      </c>
      <c r="J44" s="29">
        <f>I44-H44</f>
        <v>43.6</v>
      </c>
      <c r="K44" s="32">
        <f>(2555+2556)/2</f>
        <v>2555.5</v>
      </c>
    </row>
    <row r="45" s="13" customFormat="1" spans="1:11">
      <c r="A45" s="4"/>
      <c r="B45" s="20" t="s">
        <v>57</v>
      </c>
      <c r="C45" s="13" t="s">
        <v>22</v>
      </c>
      <c r="D45" s="13">
        <v>1</v>
      </c>
      <c r="E45" s="17">
        <v>39</v>
      </c>
      <c r="F45" s="17">
        <v>18</v>
      </c>
      <c r="G45" s="13">
        <v>10</v>
      </c>
      <c r="H45" s="13">
        <v>3.2</v>
      </c>
      <c r="I45" s="29">
        <f>(E45-F45)*D45*G45</f>
        <v>210</v>
      </c>
      <c r="J45" s="29">
        <f>I45-H45</f>
        <v>206.8</v>
      </c>
      <c r="K45" s="32">
        <v>2537</v>
      </c>
    </row>
    <row r="46" s="13" customFormat="1" spans="1:11">
      <c r="A46" s="4"/>
      <c r="B46" s="20" t="s">
        <v>58</v>
      </c>
      <c r="C46" s="13" t="s">
        <v>22</v>
      </c>
      <c r="D46" s="13">
        <v>1</v>
      </c>
      <c r="E46" s="17">
        <f>(26.5+27+27.5)/3</f>
        <v>27</v>
      </c>
      <c r="F46" s="17">
        <v>31.5</v>
      </c>
      <c r="G46" s="13">
        <v>10</v>
      </c>
      <c r="H46" s="13">
        <f>3.2*2</f>
        <v>6.4</v>
      </c>
      <c r="I46" s="29">
        <f>(E46-F46)*D46*G46</f>
        <v>-45</v>
      </c>
      <c r="J46" s="29">
        <f>I46-H46</f>
        <v>-51.4</v>
      </c>
      <c r="K46" s="32">
        <f>(2689+2680*2)/3</f>
        <v>2683</v>
      </c>
    </row>
    <row r="47" s="13" customFormat="1" spans="1:11">
      <c r="A47" s="4"/>
      <c r="B47" s="20" t="s">
        <v>59</v>
      </c>
      <c r="C47" s="13" t="s">
        <v>22</v>
      </c>
      <c r="D47" s="13">
        <v>4</v>
      </c>
      <c r="E47" s="17">
        <f>(21*2+20*2)/4</f>
        <v>20.5</v>
      </c>
      <c r="F47" s="17">
        <v>9</v>
      </c>
      <c r="G47" s="13">
        <v>5</v>
      </c>
      <c r="H47" s="13">
        <f>2*4</f>
        <v>8</v>
      </c>
      <c r="I47" s="29">
        <f>(E47-F47)*D47*G47</f>
        <v>230</v>
      </c>
      <c r="J47" s="29">
        <f>I47-H47</f>
        <v>222</v>
      </c>
      <c r="K47" s="32">
        <f>(5380*2+5364*2)/4</f>
        <v>5372</v>
      </c>
    </row>
    <row r="48" s="13" customFormat="1" spans="1:11">
      <c r="A48" s="4"/>
      <c r="B48" s="20" t="s">
        <v>60</v>
      </c>
      <c r="C48" s="13" t="s">
        <v>22</v>
      </c>
      <c r="D48" s="13">
        <v>2</v>
      </c>
      <c r="E48" s="17">
        <v>27</v>
      </c>
      <c r="F48" s="17">
        <v>41.5</v>
      </c>
      <c r="G48" s="13">
        <v>30</v>
      </c>
      <c r="H48" s="13">
        <v>24</v>
      </c>
      <c r="I48" s="29">
        <f>(E48-F48)*D48*G48</f>
        <v>-870</v>
      </c>
      <c r="J48" s="29">
        <f>I48-H48</f>
        <v>-894</v>
      </c>
      <c r="K48" s="32">
        <f>(2227+2273+2279)/3</f>
        <v>2259.66666666667</v>
      </c>
    </row>
    <row r="49" s="13" customFormat="1" spans="1:11">
      <c r="A49" s="4"/>
      <c r="B49" s="13" t="s">
        <v>61</v>
      </c>
      <c r="C49" s="13" t="s">
        <v>22</v>
      </c>
      <c r="D49" s="13">
        <v>2</v>
      </c>
      <c r="E49" s="17">
        <v>31.25</v>
      </c>
      <c r="F49" s="17">
        <v>25</v>
      </c>
      <c r="G49" s="13">
        <v>30</v>
      </c>
      <c r="H49" s="13">
        <v>16</v>
      </c>
      <c r="I49" s="17">
        <f>(E49-F49)*D49*G49</f>
        <v>375</v>
      </c>
      <c r="J49" s="17">
        <f>I49-H49</f>
        <v>359</v>
      </c>
      <c r="K49" s="32">
        <v>2355</v>
      </c>
    </row>
    <row r="50" s="13" customFormat="1" spans="1:11">
      <c r="A50" s="4"/>
      <c r="B50" s="20" t="s">
        <v>62</v>
      </c>
      <c r="C50" s="13" t="s">
        <v>22</v>
      </c>
      <c r="D50" s="13">
        <v>8</v>
      </c>
      <c r="E50" s="17">
        <f>(35+35.5+35.5+36+36.5+28+27.5+27)/8</f>
        <v>32.625</v>
      </c>
      <c r="F50" s="17">
        <v>10</v>
      </c>
      <c r="G50" s="13">
        <v>30</v>
      </c>
      <c r="H50" s="13">
        <f>8*8</f>
        <v>64</v>
      </c>
      <c r="I50" s="29">
        <f>(E50-F50)*D50*G50</f>
        <v>5430</v>
      </c>
      <c r="J50" s="29">
        <f>I50-H50</f>
        <v>5366</v>
      </c>
      <c r="K50" s="32">
        <f>(2285+2281+2280+2278*2)/5</f>
        <v>2280.4</v>
      </c>
    </row>
    <row r="51" s="13" customFormat="1" spans="1:11">
      <c r="A51" s="30"/>
      <c r="B51" s="23" t="s">
        <v>63</v>
      </c>
      <c r="C51" s="13" t="s">
        <v>22</v>
      </c>
      <c r="D51" s="14">
        <v>5</v>
      </c>
      <c r="E51" s="24">
        <f>(23+22.5+29+28+27.5)/5</f>
        <v>26</v>
      </c>
      <c r="F51" s="24">
        <v>23</v>
      </c>
      <c r="G51" s="14">
        <v>30</v>
      </c>
      <c r="H51" s="14">
        <f>5*8</f>
        <v>40</v>
      </c>
      <c r="I51" s="29">
        <f>(E51-F51)*D51*G51</f>
        <v>450</v>
      </c>
      <c r="J51" s="29">
        <f>I51-H51</f>
        <v>410</v>
      </c>
      <c r="K51" s="34"/>
    </row>
    <row r="52" s="13" customFormat="1" spans="1:11">
      <c r="A52" s="4"/>
      <c r="B52" s="20" t="s">
        <v>64</v>
      </c>
      <c r="C52" s="13" t="s">
        <v>22</v>
      </c>
      <c r="D52" s="13">
        <v>4</v>
      </c>
      <c r="E52" s="17">
        <f>(28*2+29*2)/4</f>
        <v>28.5</v>
      </c>
      <c r="F52" s="17">
        <v>20</v>
      </c>
      <c r="G52" s="13">
        <v>5</v>
      </c>
      <c r="H52" s="13">
        <f>2*4</f>
        <v>8</v>
      </c>
      <c r="I52" s="29">
        <f>(E52-F52)*D52*G52</f>
        <v>170</v>
      </c>
      <c r="J52" s="29">
        <f>I52-H52</f>
        <v>162</v>
      </c>
      <c r="K52" s="32">
        <f>(5692*2+5674*2)/4</f>
        <v>5683</v>
      </c>
    </row>
    <row r="53" s="13" customFormat="1" spans="1:11">
      <c r="A53" s="4"/>
      <c r="B53" s="20" t="s">
        <v>65</v>
      </c>
      <c r="C53" s="13" t="s">
        <v>12</v>
      </c>
      <c r="D53" s="13">
        <v>1</v>
      </c>
      <c r="E53" s="17">
        <v>620</v>
      </c>
      <c r="F53" s="17">
        <v>438</v>
      </c>
      <c r="G53" s="13">
        <v>1</v>
      </c>
      <c r="H53" s="13">
        <v>6</v>
      </c>
      <c r="I53" s="29">
        <f>(E53-F53)*D53*G53</f>
        <v>182</v>
      </c>
      <c r="J53" s="29">
        <f>I53-H53</f>
        <v>176</v>
      </c>
      <c r="K53" s="13">
        <v>266610</v>
      </c>
    </row>
    <row r="54" s="13" customFormat="1" spans="1:11">
      <c r="A54" s="4"/>
      <c r="B54" s="13" t="s">
        <v>66</v>
      </c>
      <c r="C54" s="13" t="s">
        <v>22</v>
      </c>
      <c r="D54" s="13">
        <v>6</v>
      </c>
      <c r="E54" s="17">
        <v>8.58333333</v>
      </c>
      <c r="F54" s="17">
        <v>6.5</v>
      </c>
      <c r="G54" s="13">
        <v>10</v>
      </c>
      <c r="H54" s="13">
        <f>18+18</f>
        <v>36</v>
      </c>
      <c r="I54" s="17">
        <f>(E54-F54)*D54*G54</f>
        <v>124.9999998</v>
      </c>
      <c r="J54" s="17">
        <f>I54-H54</f>
        <v>88.9999998</v>
      </c>
      <c r="K54" s="32">
        <v>5726.1666</v>
      </c>
    </row>
    <row r="55" s="13" customFormat="1" spans="1:11">
      <c r="A55" s="4"/>
      <c r="B55" s="13" t="s">
        <v>67</v>
      </c>
      <c r="C55" s="13" t="s">
        <v>22</v>
      </c>
      <c r="D55" s="13">
        <v>1</v>
      </c>
      <c r="E55" s="17">
        <v>42.5</v>
      </c>
      <c r="F55" s="17">
        <v>40</v>
      </c>
      <c r="G55" s="13">
        <v>5</v>
      </c>
      <c r="H55" s="13">
        <v>2</v>
      </c>
      <c r="I55" s="17">
        <f>(E55-F55)*D55*G55</f>
        <v>12.5</v>
      </c>
      <c r="J55" s="17">
        <f>I55-H55</f>
        <v>10.5</v>
      </c>
      <c r="K55" s="32">
        <v>4772</v>
      </c>
    </row>
    <row r="56" s="13" customFormat="1" spans="1:11">
      <c r="A56" s="4"/>
      <c r="B56" s="13" t="s">
        <v>68</v>
      </c>
      <c r="C56" s="13" t="s">
        <v>22</v>
      </c>
      <c r="D56" s="13">
        <v>2</v>
      </c>
      <c r="E56" s="17">
        <f>(32.5+32)/2</f>
        <v>32.25</v>
      </c>
      <c r="F56" s="17">
        <v>29</v>
      </c>
      <c r="G56" s="13">
        <v>5</v>
      </c>
      <c r="H56" s="13">
        <f>2*2</f>
        <v>4</v>
      </c>
      <c r="I56" s="17">
        <f>(E56-F56)*D56*G56</f>
        <v>32.5</v>
      </c>
      <c r="J56" s="17">
        <f>I56-H56</f>
        <v>28.5</v>
      </c>
      <c r="K56" s="32">
        <f>(4772+4776)/2</f>
        <v>4774</v>
      </c>
    </row>
    <row r="57" s="13" customFormat="1" spans="1:11">
      <c r="A57" s="4"/>
      <c r="B57" s="20" t="s">
        <v>69</v>
      </c>
      <c r="C57" s="13" t="s">
        <v>22</v>
      </c>
      <c r="D57" s="13">
        <v>3</v>
      </c>
      <c r="E57" s="17">
        <f>(88+24.5+24)/3</f>
        <v>45.5</v>
      </c>
      <c r="F57" s="17">
        <v>21.5</v>
      </c>
      <c r="G57" s="13">
        <v>5</v>
      </c>
      <c r="H57" s="13">
        <f>2*3</f>
        <v>6</v>
      </c>
      <c r="I57" s="29">
        <f>(E57-F57)*D57*G57</f>
        <v>360</v>
      </c>
      <c r="J57" s="29">
        <f>I57-H57</f>
        <v>354</v>
      </c>
      <c r="K57" s="32">
        <f>(4934+4770+4776)/3</f>
        <v>4826.66666666667</v>
      </c>
    </row>
    <row r="58" s="13" customFormat="1" spans="1:11">
      <c r="A58" s="4"/>
      <c r="B58" s="13" t="s">
        <v>70</v>
      </c>
      <c r="C58" s="13" t="s">
        <v>22</v>
      </c>
      <c r="D58" s="13">
        <v>3</v>
      </c>
      <c r="E58" s="17">
        <f>(20+19.5+13.5)/3</f>
        <v>17.6666666666667</v>
      </c>
      <c r="F58" s="17">
        <v>16.5</v>
      </c>
      <c r="G58" s="13">
        <v>5</v>
      </c>
      <c r="H58" s="13">
        <f>2*3</f>
        <v>6</v>
      </c>
      <c r="I58" s="17">
        <f>(E58-F58)*D58*G58</f>
        <v>17.5</v>
      </c>
      <c r="J58" s="17">
        <f>I58-H58</f>
        <v>11.5</v>
      </c>
      <c r="K58" s="32">
        <f>(4778*2+4766)/3</f>
        <v>4774</v>
      </c>
    </row>
    <row r="59" s="13" customFormat="1" spans="1:11">
      <c r="A59" s="4"/>
      <c r="B59" s="13" t="s">
        <v>71</v>
      </c>
      <c r="C59" s="13" t="s">
        <v>22</v>
      </c>
      <c r="D59" s="13">
        <v>2</v>
      </c>
      <c r="E59" s="17">
        <f>(16+11)/2</f>
        <v>13.5</v>
      </c>
      <c r="F59" s="17">
        <v>12.5</v>
      </c>
      <c r="G59" s="13">
        <v>5</v>
      </c>
      <c r="H59" s="13">
        <f>2*2</f>
        <v>4</v>
      </c>
      <c r="I59" s="17">
        <f>(E59-F59)*D59*G59</f>
        <v>10</v>
      </c>
      <c r="J59" s="17">
        <f>I59-H59</f>
        <v>6</v>
      </c>
      <c r="K59" s="32">
        <f>(4778+4768)/2</f>
        <v>4773</v>
      </c>
    </row>
    <row r="60" s="13" customFormat="1" spans="1:11">
      <c r="A60" s="4"/>
      <c r="B60" s="20" t="s">
        <v>72</v>
      </c>
      <c r="C60" s="13" t="s">
        <v>22</v>
      </c>
      <c r="D60" s="13">
        <v>2</v>
      </c>
      <c r="E60" s="17">
        <v>41</v>
      </c>
      <c r="F60" s="17">
        <v>19</v>
      </c>
      <c r="G60" s="13">
        <v>5</v>
      </c>
      <c r="H60" s="13">
        <v>4</v>
      </c>
      <c r="I60" s="29">
        <f>(E60-F60)*D60*G60</f>
        <v>220</v>
      </c>
      <c r="J60" s="29">
        <f>I60-H60</f>
        <v>216</v>
      </c>
      <c r="K60" s="32">
        <v>4786</v>
      </c>
    </row>
    <row r="61" s="13" customFormat="1" spans="1:11">
      <c r="A61" s="4"/>
      <c r="B61" s="20" t="s">
        <v>73</v>
      </c>
      <c r="C61" s="13" t="s">
        <v>22</v>
      </c>
      <c r="D61" s="13">
        <v>9</v>
      </c>
      <c r="E61" s="17">
        <f>(56.5+56+41+40+39.5+39+38.5*2+39.5)/9</f>
        <v>43.1666666666667</v>
      </c>
      <c r="F61" s="17">
        <v>31.5</v>
      </c>
      <c r="G61" s="13">
        <v>5</v>
      </c>
      <c r="H61" s="13">
        <f>2*9</f>
        <v>18</v>
      </c>
      <c r="I61" s="29">
        <f>(E61-F61)*D61*G61</f>
        <v>525</v>
      </c>
      <c r="J61" s="29">
        <f>I61-H61</f>
        <v>507</v>
      </c>
      <c r="K61" s="32">
        <f>(4866*2+4892+4916+4920*2+4916+4922+4898)/9</f>
        <v>4901.77777777778</v>
      </c>
    </row>
    <row r="62" s="13" customFormat="1" spans="1:11">
      <c r="A62" s="4"/>
      <c r="B62" s="20" t="s">
        <v>74</v>
      </c>
      <c r="C62" s="13" t="s">
        <v>22</v>
      </c>
      <c r="D62" s="13">
        <v>2</v>
      </c>
      <c r="E62" s="17">
        <f>(45+45.5+46+46.5)/4</f>
        <v>45.75</v>
      </c>
      <c r="F62" s="17">
        <v>39.5</v>
      </c>
      <c r="G62" s="13">
        <v>5</v>
      </c>
      <c r="H62" s="13">
        <f>2*2</f>
        <v>4</v>
      </c>
      <c r="I62" s="29">
        <f>(E62-F62)*D62*G62</f>
        <v>62.5</v>
      </c>
      <c r="J62" s="29">
        <f>I62-H62</f>
        <v>58.5</v>
      </c>
      <c r="K62" s="32">
        <f>(4932*2+4926+4916)/4</f>
        <v>4926.5</v>
      </c>
    </row>
    <row r="63" s="13" customFormat="1" spans="1:11">
      <c r="A63" s="4"/>
      <c r="B63" s="20" t="s">
        <v>75</v>
      </c>
      <c r="C63" s="13" t="s">
        <v>22</v>
      </c>
      <c r="D63" s="13">
        <v>1</v>
      </c>
      <c r="E63" s="17">
        <v>86.5</v>
      </c>
      <c r="F63" s="17">
        <v>51.5</v>
      </c>
      <c r="G63" s="13">
        <v>5</v>
      </c>
      <c r="H63" s="13">
        <v>2</v>
      </c>
      <c r="I63" s="29">
        <f>(E63-F63)*D63*G63</f>
        <v>175</v>
      </c>
      <c r="J63" s="29">
        <f>I63-H63</f>
        <v>173</v>
      </c>
      <c r="K63" s="32">
        <v>4792</v>
      </c>
    </row>
    <row r="64" s="13" customFormat="1" spans="1:11">
      <c r="A64" s="4"/>
      <c r="B64" s="20" t="s">
        <v>76</v>
      </c>
      <c r="C64" s="13" t="s">
        <v>22</v>
      </c>
      <c r="D64" s="13">
        <v>2</v>
      </c>
      <c r="E64" s="17">
        <v>35</v>
      </c>
      <c r="F64" s="17">
        <v>31.5</v>
      </c>
      <c r="G64" s="13">
        <v>20</v>
      </c>
      <c r="H64" s="13">
        <v>8</v>
      </c>
      <c r="I64" s="17">
        <f>(E64-F64)*D64*G64</f>
        <v>140</v>
      </c>
      <c r="J64" s="17">
        <f>I64-H64</f>
        <v>132</v>
      </c>
      <c r="K64" s="32">
        <v>1708</v>
      </c>
    </row>
    <row r="65" s="14" customFormat="1" spans="1:11">
      <c r="A65" s="4"/>
      <c r="B65" s="20" t="s">
        <v>77</v>
      </c>
      <c r="C65" s="13" t="s">
        <v>22</v>
      </c>
      <c r="D65" s="13">
        <v>1</v>
      </c>
      <c r="E65" s="17">
        <v>26.5</v>
      </c>
      <c r="F65" s="17">
        <v>18</v>
      </c>
      <c r="G65" s="13">
        <v>20</v>
      </c>
      <c r="H65" s="13">
        <v>4</v>
      </c>
      <c r="I65" s="29">
        <f>(E65-F65)*D65*G65</f>
        <v>170</v>
      </c>
      <c r="J65" s="29">
        <f>I65-H65</f>
        <v>166</v>
      </c>
      <c r="K65" s="32">
        <v>1779</v>
      </c>
    </row>
    <row r="66" s="14" customFormat="1" spans="1:11">
      <c r="A66" s="4"/>
      <c r="B66" s="20" t="s">
        <v>78</v>
      </c>
      <c r="C66" s="13" t="s">
        <v>22</v>
      </c>
      <c r="D66" s="13">
        <v>1</v>
      </c>
      <c r="E66" s="17">
        <v>33</v>
      </c>
      <c r="F66" s="17">
        <v>23</v>
      </c>
      <c r="G66" s="13">
        <v>20</v>
      </c>
      <c r="H66" s="20">
        <v>4</v>
      </c>
      <c r="I66" s="29">
        <f>(E66-F66)*D66*G66</f>
        <v>200</v>
      </c>
      <c r="J66" s="29">
        <f>I66-H66</f>
        <v>196</v>
      </c>
      <c r="K66" s="32">
        <v>1770</v>
      </c>
    </row>
    <row r="71" spans="1:2">
      <c r="A71" s="8" t="s">
        <v>79</v>
      </c>
      <c r="B71">
        <f>SUM(J:J)+SUM(已平仓!J:J)</f>
        <v>5384.54363616365</v>
      </c>
    </row>
  </sheetData>
  <autoFilter ref="A1:K64">
    <sortState ref="A1:K64">
      <sortCondition ref="B2"/>
    </sortState>
    <extLst/>
  </autoFilter>
  <sortState ref="A2:K66">
    <sortCondition ref="B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A28" sqref="$A28:$XFD35"/>
    </sheetView>
  </sheetViews>
  <sheetFormatPr defaultColWidth="9" defaultRowHeight="13.5"/>
  <cols>
    <col min="1" max="1" width="13.7333333333333" customWidth="1"/>
    <col min="2" max="2" width="18.125" customWidth="1"/>
    <col min="5" max="5" width="15.2666666666667" customWidth="1"/>
    <col min="6" max="6" width="13.7333333333333" style="15" customWidth="1"/>
    <col min="7" max="7" width="14.4666666666667" customWidth="1"/>
    <col min="8" max="8" width="12.8666666666667" customWidth="1"/>
    <col min="9" max="9" width="14.7333333333333" customWidth="1"/>
    <col min="10" max="10" width="22.4" customWidth="1"/>
    <col min="12" max="12" width="10.0666666666667" customWidth="1"/>
  </cols>
  <sheetData>
    <row r="1" s="7" customFormat="1" ht="12" customHeight="1" spans="1:10">
      <c r="A1" s="2" t="s">
        <v>80</v>
      </c>
      <c r="B1" s="7" t="s">
        <v>1</v>
      </c>
      <c r="C1" s="7" t="s">
        <v>2</v>
      </c>
      <c r="D1" s="7" t="s">
        <v>3</v>
      </c>
      <c r="E1" s="16" t="s">
        <v>4</v>
      </c>
      <c r="F1" s="16" t="s">
        <v>81</v>
      </c>
      <c r="G1" s="7" t="s">
        <v>6</v>
      </c>
      <c r="H1" s="7" t="s">
        <v>82</v>
      </c>
      <c r="I1" s="16" t="s">
        <v>83</v>
      </c>
      <c r="J1" s="16" t="s">
        <v>84</v>
      </c>
    </row>
    <row r="2" s="13" customFormat="1" spans="1:10">
      <c r="A2" s="4">
        <v>45818</v>
      </c>
      <c r="B2" s="13" t="s">
        <v>85</v>
      </c>
      <c r="C2" s="13" t="s">
        <v>20</v>
      </c>
      <c r="D2" s="13">
        <v>1</v>
      </c>
      <c r="E2" s="17">
        <v>14.5</v>
      </c>
      <c r="F2" s="17">
        <v>18</v>
      </c>
      <c r="G2" s="13">
        <v>10</v>
      </c>
      <c r="H2" s="13">
        <f>2*2</f>
        <v>4</v>
      </c>
      <c r="I2" s="17">
        <f t="shared" ref="I2:I8" si="0">(E2-F2)*D2*G2</f>
        <v>-35</v>
      </c>
      <c r="J2" s="17">
        <f t="shared" ref="J2:J8" si="1">I2-H2</f>
        <v>-39</v>
      </c>
    </row>
    <row r="3" spans="1:10">
      <c r="A3" s="6">
        <v>45821</v>
      </c>
      <c r="B3" s="18" t="s">
        <v>86</v>
      </c>
      <c r="C3" t="s">
        <v>22</v>
      </c>
      <c r="D3">
        <v>4</v>
      </c>
      <c r="E3">
        <v>33.55</v>
      </c>
      <c r="F3" s="15">
        <v>109</v>
      </c>
      <c r="G3">
        <v>5</v>
      </c>
      <c r="H3">
        <f>2*4*2</f>
        <v>16</v>
      </c>
      <c r="I3" s="17">
        <f t="shared" si="0"/>
        <v>-1509</v>
      </c>
      <c r="J3" s="17">
        <f t="shared" si="1"/>
        <v>-1525</v>
      </c>
    </row>
    <row r="4" spans="1:10">
      <c r="A4" s="6">
        <v>45826</v>
      </c>
      <c r="B4" s="18" t="s">
        <v>86</v>
      </c>
      <c r="C4" t="s">
        <v>22</v>
      </c>
      <c r="D4">
        <v>5</v>
      </c>
      <c r="E4">
        <v>33.55</v>
      </c>
      <c r="F4" s="15">
        <v>151.7</v>
      </c>
      <c r="G4">
        <v>5</v>
      </c>
      <c r="H4">
        <f>2*5+2*5</f>
        <v>20</v>
      </c>
      <c r="I4" s="17">
        <f t="shared" si="0"/>
        <v>-2953.75</v>
      </c>
      <c r="J4" s="17">
        <f t="shared" si="1"/>
        <v>-2973.75</v>
      </c>
    </row>
    <row r="5" spans="1:10">
      <c r="A5" s="6">
        <v>45826</v>
      </c>
      <c r="B5" s="19" t="s">
        <v>87</v>
      </c>
      <c r="C5" t="s">
        <v>20</v>
      </c>
      <c r="D5">
        <v>1</v>
      </c>
      <c r="E5">
        <v>18.67</v>
      </c>
      <c r="F5" s="15">
        <v>32</v>
      </c>
      <c r="G5">
        <v>10</v>
      </c>
      <c r="H5">
        <f>2*1*2</f>
        <v>4</v>
      </c>
      <c r="I5" s="17">
        <f t="shared" si="0"/>
        <v>-133.3</v>
      </c>
      <c r="J5" s="17">
        <f t="shared" si="1"/>
        <v>-137.3</v>
      </c>
    </row>
    <row r="6" spans="1:10">
      <c r="A6" s="6">
        <v>45827</v>
      </c>
      <c r="B6" t="s">
        <v>87</v>
      </c>
      <c r="C6" s="13" t="s">
        <v>20</v>
      </c>
      <c r="D6">
        <v>1</v>
      </c>
      <c r="E6">
        <v>18.67</v>
      </c>
      <c r="F6" s="15">
        <v>28.5</v>
      </c>
      <c r="G6">
        <v>10</v>
      </c>
      <c r="H6">
        <f>2*1*2</f>
        <v>4</v>
      </c>
      <c r="I6" s="17">
        <f t="shared" si="0"/>
        <v>-98.3</v>
      </c>
      <c r="J6" s="17">
        <f t="shared" si="1"/>
        <v>-102.3</v>
      </c>
    </row>
    <row r="7" spans="1:10">
      <c r="A7" s="6">
        <v>45828</v>
      </c>
      <c r="B7" t="s">
        <v>88</v>
      </c>
      <c r="C7" t="s">
        <v>12</v>
      </c>
      <c r="D7">
        <v>1</v>
      </c>
      <c r="E7">
        <v>13.5</v>
      </c>
      <c r="F7" s="15">
        <v>1</v>
      </c>
      <c r="G7">
        <v>20</v>
      </c>
      <c r="H7">
        <f>14*2*1</f>
        <v>28</v>
      </c>
      <c r="I7" s="17">
        <f t="shared" si="0"/>
        <v>250</v>
      </c>
      <c r="J7" s="17">
        <f t="shared" si="1"/>
        <v>222</v>
      </c>
    </row>
    <row r="8" spans="1:10">
      <c r="A8" s="6">
        <v>45828</v>
      </c>
      <c r="B8" s="19" t="s">
        <v>87</v>
      </c>
      <c r="C8" t="s">
        <v>20</v>
      </c>
      <c r="D8">
        <v>1</v>
      </c>
      <c r="E8">
        <v>18.67</v>
      </c>
      <c r="F8" s="15">
        <v>31</v>
      </c>
      <c r="G8">
        <v>10</v>
      </c>
      <c r="H8">
        <f>2*1*2</f>
        <v>4</v>
      </c>
      <c r="I8" s="17">
        <f t="shared" si="0"/>
        <v>-123.3</v>
      </c>
      <c r="J8" s="17">
        <f t="shared" si="1"/>
        <v>-127.3</v>
      </c>
    </row>
    <row r="9" spans="1:10">
      <c r="A9" s="6">
        <v>45832</v>
      </c>
      <c r="B9" s="19" t="s">
        <v>74</v>
      </c>
      <c r="C9" t="s">
        <v>22</v>
      </c>
      <c r="D9">
        <v>2</v>
      </c>
      <c r="E9">
        <v>45.75</v>
      </c>
      <c r="F9" s="15">
        <v>57</v>
      </c>
      <c r="G9">
        <v>5</v>
      </c>
      <c r="H9">
        <f>2*2*2</f>
        <v>8</v>
      </c>
      <c r="I9" s="17">
        <f t="shared" ref="I9:I27" si="2">(E9-F9)*D9*G9</f>
        <v>-112.5</v>
      </c>
      <c r="J9" s="17">
        <f t="shared" ref="J9:J27" si="3">I9-H9</f>
        <v>-120.5</v>
      </c>
    </row>
    <row r="10" spans="1:10">
      <c r="A10" s="6">
        <v>45833</v>
      </c>
      <c r="B10" s="20" t="s">
        <v>89</v>
      </c>
      <c r="C10" s="13" t="s">
        <v>12</v>
      </c>
      <c r="D10">
        <v>2</v>
      </c>
      <c r="E10">
        <v>75</v>
      </c>
      <c r="F10" s="17">
        <f>(52+57)/2</f>
        <v>54.5</v>
      </c>
      <c r="G10">
        <v>15</v>
      </c>
      <c r="H10">
        <f>2*2*8</f>
        <v>32</v>
      </c>
      <c r="I10" s="17">
        <f t="shared" si="2"/>
        <v>615</v>
      </c>
      <c r="J10" s="17">
        <f t="shared" si="3"/>
        <v>583</v>
      </c>
    </row>
    <row r="11" spans="1:10">
      <c r="A11" s="6">
        <v>45833</v>
      </c>
      <c r="B11" s="13" t="s">
        <v>90</v>
      </c>
      <c r="C11" s="13" t="s">
        <v>12</v>
      </c>
      <c r="D11">
        <v>1</v>
      </c>
      <c r="E11">
        <v>65</v>
      </c>
      <c r="F11" s="15">
        <v>100</v>
      </c>
      <c r="G11">
        <v>15</v>
      </c>
      <c r="H11">
        <f>1*2*8</f>
        <v>16</v>
      </c>
      <c r="I11" s="17">
        <f t="shared" si="2"/>
        <v>-525</v>
      </c>
      <c r="J11" s="17">
        <f t="shared" si="3"/>
        <v>-541</v>
      </c>
    </row>
    <row r="12" spans="1:10">
      <c r="A12" s="6">
        <v>45833</v>
      </c>
      <c r="B12" s="20" t="s">
        <v>91</v>
      </c>
      <c r="C12" s="13" t="s">
        <v>12</v>
      </c>
      <c r="D12" s="13">
        <v>2</v>
      </c>
      <c r="E12" s="17">
        <f>(48+28)/2</f>
        <v>38</v>
      </c>
      <c r="F12" s="15">
        <v>0</v>
      </c>
      <c r="G12" s="13">
        <v>5</v>
      </c>
      <c r="H12" s="13">
        <v>40</v>
      </c>
      <c r="I12" s="17">
        <f t="shared" si="2"/>
        <v>380</v>
      </c>
      <c r="J12" s="17">
        <f t="shared" si="3"/>
        <v>340</v>
      </c>
    </row>
    <row r="13" spans="1:10">
      <c r="A13" s="6">
        <v>45833</v>
      </c>
      <c r="B13" s="20" t="s">
        <v>92</v>
      </c>
      <c r="C13" s="13" t="s">
        <v>12</v>
      </c>
      <c r="D13" s="13">
        <v>2</v>
      </c>
      <c r="E13" s="17">
        <v>86</v>
      </c>
      <c r="F13" s="15">
        <v>0</v>
      </c>
      <c r="G13" s="13">
        <v>1</v>
      </c>
      <c r="H13" s="13">
        <v>12</v>
      </c>
      <c r="I13" s="17">
        <f t="shared" si="2"/>
        <v>172</v>
      </c>
      <c r="J13" s="17">
        <f t="shared" si="3"/>
        <v>160</v>
      </c>
    </row>
    <row r="14" spans="1:10">
      <c r="A14" s="6">
        <v>45833</v>
      </c>
      <c r="B14" s="20" t="s">
        <v>93</v>
      </c>
      <c r="C14" s="13" t="s">
        <v>12</v>
      </c>
      <c r="D14" s="13">
        <v>1</v>
      </c>
      <c r="E14">
        <v>142</v>
      </c>
      <c r="F14" s="15">
        <v>0</v>
      </c>
      <c r="G14" s="13">
        <v>2</v>
      </c>
      <c r="H14" s="13">
        <v>12</v>
      </c>
      <c r="I14" s="17">
        <f t="shared" si="2"/>
        <v>284</v>
      </c>
      <c r="J14" s="17">
        <f t="shared" si="3"/>
        <v>272</v>
      </c>
    </row>
    <row r="15" spans="1:10">
      <c r="A15" s="6">
        <v>45834</v>
      </c>
      <c r="B15" s="20" t="s">
        <v>58</v>
      </c>
      <c r="C15" t="s">
        <v>22</v>
      </c>
      <c r="D15">
        <v>1</v>
      </c>
      <c r="E15">
        <v>27</v>
      </c>
      <c r="F15" s="15">
        <v>57</v>
      </c>
      <c r="G15">
        <v>10</v>
      </c>
      <c r="H15">
        <f>3.2*1*2</f>
        <v>6.4</v>
      </c>
      <c r="I15" s="17">
        <f t="shared" si="2"/>
        <v>-300</v>
      </c>
      <c r="J15" s="17">
        <f t="shared" si="3"/>
        <v>-306.4</v>
      </c>
    </row>
    <row r="16" spans="1:10">
      <c r="A16" s="6">
        <v>45834</v>
      </c>
      <c r="B16" s="20" t="s">
        <v>94</v>
      </c>
      <c r="C16" t="s">
        <v>12</v>
      </c>
      <c r="D16">
        <v>2</v>
      </c>
      <c r="E16">
        <v>63</v>
      </c>
      <c r="F16" s="15">
        <v>63</v>
      </c>
      <c r="G16">
        <v>5</v>
      </c>
      <c r="H16">
        <f>2*2*8</f>
        <v>32</v>
      </c>
      <c r="I16" s="17">
        <f t="shared" si="2"/>
        <v>0</v>
      </c>
      <c r="J16" s="17">
        <f t="shared" si="3"/>
        <v>-32</v>
      </c>
    </row>
    <row r="17" spans="1:10">
      <c r="A17" s="6">
        <v>45835</v>
      </c>
      <c r="B17" s="19" t="s">
        <v>18</v>
      </c>
      <c r="C17" t="s">
        <v>12</v>
      </c>
      <c r="D17">
        <v>1</v>
      </c>
      <c r="E17">
        <v>39</v>
      </c>
      <c r="F17" s="15">
        <v>35</v>
      </c>
      <c r="G17">
        <v>20</v>
      </c>
      <c r="H17">
        <f>2*1*14</f>
        <v>28</v>
      </c>
      <c r="I17" s="17">
        <f t="shared" si="2"/>
        <v>80</v>
      </c>
      <c r="J17" s="17">
        <f t="shared" si="3"/>
        <v>52</v>
      </c>
    </row>
    <row r="18" spans="1:10">
      <c r="A18" s="6">
        <v>45835</v>
      </c>
      <c r="B18" s="20" t="s">
        <v>95</v>
      </c>
      <c r="C18" t="s">
        <v>12</v>
      </c>
      <c r="D18">
        <v>1</v>
      </c>
      <c r="E18">
        <v>650</v>
      </c>
      <c r="F18" s="15">
        <v>1540</v>
      </c>
      <c r="G18">
        <v>1</v>
      </c>
      <c r="H18">
        <f>1*2*12</f>
        <v>24</v>
      </c>
      <c r="I18" s="17">
        <f t="shared" si="2"/>
        <v>-890</v>
      </c>
      <c r="J18" s="17">
        <f t="shared" si="3"/>
        <v>-914</v>
      </c>
    </row>
    <row r="19" s="13" customFormat="1" spans="1:10">
      <c r="A19" s="21">
        <v>45835</v>
      </c>
      <c r="B19" s="20" t="s">
        <v>58</v>
      </c>
      <c r="C19" s="13" t="s">
        <v>22</v>
      </c>
      <c r="D19" s="13">
        <v>1</v>
      </c>
      <c r="E19" s="13">
        <v>27</v>
      </c>
      <c r="F19" s="17">
        <v>54.5</v>
      </c>
      <c r="G19" s="13">
        <v>10</v>
      </c>
      <c r="H19" s="13">
        <f>2*1*3.2</f>
        <v>6.4</v>
      </c>
      <c r="I19" s="17">
        <f t="shared" si="2"/>
        <v>-275</v>
      </c>
      <c r="J19" s="17">
        <f t="shared" si="3"/>
        <v>-281.4</v>
      </c>
    </row>
    <row r="20" s="13" customFormat="1" spans="1:12">
      <c r="A20" s="21">
        <v>45838</v>
      </c>
      <c r="B20" s="20" t="s">
        <v>87</v>
      </c>
      <c r="C20" s="13" t="s">
        <v>20</v>
      </c>
      <c r="D20" s="13">
        <v>3</v>
      </c>
      <c r="E20" s="13">
        <v>18.67</v>
      </c>
      <c r="F20" s="17">
        <v>9</v>
      </c>
      <c r="G20" s="13">
        <v>10</v>
      </c>
      <c r="H20" s="13">
        <f>2*2*3</f>
        <v>12</v>
      </c>
      <c r="I20" s="17">
        <f t="shared" si="2"/>
        <v>290.1</v>
      </c>
      <c r="J20" s="17">
        <f t="shared" si="3"/>
        <v>278.1</v>
      </c>
      <c r="L20" s="17"/>
    </row>
    <row r="21" s="13" customFormat="1" spans="1:10">
      <c r="A21" s="21">
        <v>45839</v>
      </c>
      <c r="B21" s="20" t="s">
        <v>96</v>
      </c>
      <c r="C21" s="13" t="s">
        <v>12</v>
      </c>
      <c r="D21" s="13">
        <v>9</v>
      </c>
      <c r="E21" s="13">
        <v>48.33</v>
      </c>
      <c r="F21" s="17">
        <f>(42*2+43*7)/9</f>
        <v>42.7777777777778</v>
      </c>
      <c r="G21" s="13">
        <v>5</v>
      </c>
      <c r="H21" s="13">
        <f>2*8*9</f>
        <v>144</v>
      </c>
      <c r="I21" s="17">
        <f t="shared" si="2"/>
        <v>249.85</v>
      </c>
      <c r="J21" s="17">
        <f t="shared" si="3"/>
        <v>105.85</v>
      </c>
    </row>
    <row r="22" s="13" customFormat="1" spans="1:10">
      <c r="A22" s="21">
        <v>45839</v>
      </c>
      <c r="B22" s="20" t="s">
        <v>94</v>
      </c>
      <c r="C22" s="13" t="s">
        <v>12</v>
      </c>
      <c r="D22" s="13">
        <v>6</v>
      </c>
      <c r="E22" s="13">
        <v>58.33</v>
      </c>
      <c r="F22" s="17">
        <f>(57*3+55*3)/6</f>
        <v>56</v>
      </c>
      <c r="G22" s="13">
        <v>5</v>
      </c>
      <c r="H22" s="13">
        <f>2*6*8</f>
        <v>96</v>
      </c>
      <c r="I22" s="17">
        <f t="shared" si="2"/>
        <v>69.8999999999999</v>
      </c>
      <c r="J22" s="17">
        <f t="shared" si="3"/>
        <v>-26.1000000000001</v>
      </c>
    </row>
    <row r="23" s="13" customFormat="1" spans="1:10">
      <c r="A23" s="21">
        <v>45839</v>
      </c>
      <c r="B23" s="20" t="s">
        <v>97</v>
      </c>
      <c r="C23" s="13" t="s">
        <v>12</v>
      </c>
      <c r="D23" s="13">
        <v>7</v>
      </c>
      <c r="E23" s="13">
        <v>71.38</v>
      </c>
      <c r="F23" s="17">
        <f>(80*4+67+69*2)/7</f>
        <v>75</v>
      </c>
      <c r="G23" s="13">
        <v>5</v>
      </c>
      <c r="H23" s="13">
        <f>2*7*8</f>
        <v>112</v>
      </c>
      <c r="I23" s="17">
        <f t="shared" si="2"/>
        <v>-126.7</v>
      </c>
      <c r="J23" s="17">
        <f t="shared" si="3"/>
        <v>-238.7</v>
      </c>
    </row>
    <row r="24" s="13" customFormat="1" spans="1:10">
      <c r="A24" s="21">
        <v>45839</v>
      </c>
      <c r="B24" s="20" t="s">
        <v>35</v>
      </c>
      <c r="C24" s="13" t="s">
        <v>12</v>
      </c>
      <c r="D24" s="13">
        <v>1</v>
      </c>
      <c r="E24" s="13">
        <v>595</v>
      </c>
      <c r="F24" s="17">
        <v>470</v>
      </c>
      <c r="G24" s="13">
        <v>1</v>
      </c>
      <c r="H24" s="13">
        <f>2*1*12</f>
        <v>24</v>
      </c>
      <c r="I24" s="17">
        <f t="shared" si="2"/>
        <v>125</v>
      </c>
      <c r="J24" s="17">
        <f t="shared" si="3"/>
        <v>101</v>
      </c>
    </row>
    <row r="25" s="13" customFormat="1" spans="1:10">
      <c r="A25" s="21">
        <v>45839</v>
      </c>
      <c r="B25" s="20" t="s">
        <v>34</v>
      </c>
      <c r="C25" s="13" t="s">
        <v>12</v>
      </c>
      <c r="D25" s="13">
        <v>1</v>
      </c>
      <c r="E25" s="13">
        <v>450</v>
      </c>
      <c r="F25" s="17">
        <v>360</v>
      </c>
      <c r="G25" s="13">
        <v>1</v>
      </c>
      <c r="H25" s="13">
        <f>2*1*12</f>
        <v>24</v>
      </c>
      <c r="I25" s="17">
        <f t="shared" si="2"/>
        <v>90</v>
      </c>
      <c r="J25" s="17">
        <f t="shared" si="3"/>
        <v>66</v>
      </c>
    </row>
    <row r="26" s="13" customFormat="1" spans="1:10">
      <c r="A26" s="21">
        <v>45839</v>
      </c>
      <c r="B26" s="20" t="s">
        <v>28</v>
      </c>
      <c r="C26" s="13" t="s">
        <v>22</v>
      </c>
      <c r="D26" s="13">
        <v>2</v>
      </c>
      <c r="E26" s="13">
        <v>11.25</v>
      </c>
      <c r="F26" s="17">
        <v>18</v>
      </c>
      <c r="G26" s="13">
        <v>20</v>
      </c>
      <c r="H26" s="13">
        <f>2*2*2</f>
        <v>8</v>
      </c>
      <c r="I26" s="17">
        <f t="shared" si="2"/>
        <v>-270</v>
      </c>
      <c r="J26" s="17">
        <f t="shared" si="3"/>
        <v>-278</v>
      </c>
    </row>
    <row r="27" s="13" customFormat="1" spans="1:10">
      <c r="A27" s="21">
        <v>45839</v>
      </c>
      <c r="B27" s="20" t="s">
        <v>98</v>
      </c>
      <c r="C27" s="13" t="s">
        <v>20</v>
      </c>
      <c r="D27" s="13">
        <v>4</v>
      </c>
      <c r="E27" s="13">
        <v>37.63</v>
      </c>
      <c r="F27" s="17">
        <f>(65+67*3)/4</f>
        <v>66.5</v>
      </c>
      <c r="G27" s="13">
        <v>5</v>
      </c>
      <c r="H27" s="13">
        <f>2*2*4</f>
        <v>16</v>
      </c>
      <c r="I27" s="17">
        <f t="shared" si="2"/>
        <v>-577.4</v>
      </c>
      <c r="J27" s="17">
        <f t="shared" si="3"/>
        <v>-593.4</v>
      </c>
    </row>
    <row r="28" s="14" customFormat="1" spans="1:10">
      <c r="A28" s="22">
        <v>45840</v>
      </c>
      <c r="B28" s="23" t="s">
        <v>99</v>
      </c>
      <c r="C28" s="13" t="s">
        <v>12</v>
      </c>
      <c r="D28" s="14">
        <v>1</v>
      </c>
      <c r="E28" s="14">
        <v>26.5</v>
      </c>
      <c r="F28" s="24">
        <v>83</v>
      </c>
      <c r="G28" s="14">
        <v>20</v>
      </c>
      <c r="H28" s="14">
        <f>2*1*14</f>
        <v>28</v>
      </c>
      <c r="I28" s="17">
        <f>(E28-F28)*D28*G28</f>
        <v>-1130</v>
      </c>
      <c r="J28" s="17">
        <f>I28-H28</f>
        <v>-1158</v>
      </c>
    </row>
    <row r="29" s="14" customFormat="1" spans="1:10">
      <c r="A29" s="22">
        <v>45840</v>
      </c>
      <c r="B29" s="23" t="s">
        <v>16</v>
      </c>
      <c r="C29" s="13" t="s">
        <v>12</v>
      </c>
      <c r="D29" s="14">
        <v>6</v>
      </c>
      <c r="E29" s="14">
        <v>54.36</v>
      </c>
      <c r="F29" s="24">
        <f>(103+104+90.5+90+89*2)/6</f>
        <v>94.25</v>
      </c>
      <c r="G29" s="14">
        <v>20</v>
      </c>
      <c r="H29" s="14">
        <f>2*6*14</f>
        <v>168</v>
      </c>
      <c r="I29" s="17">
        <f>(E29-F29)*D29*G29</f>
        <v>-4786.8</v>
      </c>
      <c r="J29" s="17">
        <f>I29-H29</f>
        <v>-4954.8</v>
      </c>
    </row>
    <row r="30" s="14" customFormat="1" spans="1:10">
      <c r="A30" s="22">
        <v>45840</v>
      </c>
      <c r="B30" s="23" t="s">
        <v>100</v>
      </c>
      <c r="C30" s="13" t="s">
        <v>22</v>
      </c>
      <c r="D30" s="14">
        <v>4</v>
      </c>
      <c r="E30" s="14">
        <v>19.75</v>
      </c>
      <c r="F30" s="24">
        <f>(48+47+44*2)/4</f>
        <v>45.75</v>
      </c>
      <c r="G30" s="14">
        <v>20</v>
      </c>
      <c r="H30" s="14">
        <f>2*2*4</f>
        <v>16</v>
      </c>
      <c r="I30" s="17">
        <f>(E30-F30)*D30*G30</f>
        <v>-2080</v>
      </c>
      <c r="J30" s="17">
        <f>I30-H30</f>
        <v>-2096</v>
      </c>
    </row>
    <row r="31" s="14" customFormat="1" spans="1:10">
      <c r="A31" s="22">
        <v>45840</v>
      </c>
      <c r="B31" s="23" t="s">
        <v>40</v>
      </c>
      <c r="C31" s="13" t="s">
        <v>20</v>
      </c>
      <c r="D31" s="14">
        <v>1</v>
      </c>
      <c r="E31" s="14">
        <v>35</v>
      </c>
      <c r="F31" s="24">
        <v>30</v>
      </c>
      <c r="G31" s="14">
        <v>16</v>
      </c>
      <c r="H31" s="14">
        <f>2*1*6</f>
        <v>12</v>
      </c>
      <c r="I31" s="17">
        <f>(E31-F31)*D31*G31</f>
        <v>80</v>
      </c>
      <c r="J31" s="17">
        <f>I31-H31</f>
        <v>68</v>
      </c>
    </row>
    <row r="32" s="14" customFormat="1" spans="1:10">
      <c r="A32" s="22">
        <v>45840</v>
      </c>
      <c r="B32" s="20" t="s">
        <v>101</v>
      </c>
      <c r="C32" s="13" t="s">
        <v>12</v>
      </c>
      <c r="D32" s="14">
        <v>2</v>
      </c>
      <c r="E32" s="14">
        <v>206</v>
      </c>
      <c r="F32" s="24">
        <v>430</v>
      </c>
      <c r="G32" s="14">
        <v>3</v>
      </c>
      <c r="H32" s="14">
        <f>2*2*8</f>
        <v>32</v>
      </c>
      <c r="I32" s="17">
        <f>(E32-F32)*D32*G32</f>
        <v>-1344</v>
      </c>
      <c r="J32" s="17">
        <f>I32-H32</f>
        <v>-1376</v>
      </c>
    </row>
    <row r="33" s="14" customFormat="1" spans="1:10">
      <c r="A33" s="22">
        <v>45840</v>
      </c>
      <c r="B33" s="13" t="s">
        <v>102</v>
      </c>
      <c r="C33" s="13" t="s">
        <v>22</v>
      </c>
      <c r="D33" s="14">
        <v>1</v>
      </c>
      <c r="E33" s="14">
        <v>29.5</v>
      </c>
      <c r="F33" s="24">
        <v>48</v>
      </c>
      <c r="G33" s="14">
        <v>30</v>
      </c>
      <c r="H33" s="14">
        <f>2*1*8</f>
        <v>16</v>
      </c>
      <c r="I33" s="17">
        <f>(E33-F33)*D33*G33</f>
        <v>-555</v>
      </c>
      <c r="J33" s="17">
        <f>I33-H33</f>
        <v>-571</v>
      </c>
    </row>
    <row r="34" s="14" customFormat="1" spans="1:10">
      <c r="A34" s="22">
        <v>45840</v>
      </c>
      <c r="B34" s="23" t="s">
        <v>60</v>
      </c>
      <c r="C34" s="13" t="s">
        <v>22</v>
      </c>
      <c r="D34" s="14">
        <v>1</v>
      </c>
      <c r="E34" s="14">
        <v>27</v>
      </c>
      <c r="F34" s="24">
        <v>35</v>
      </c>
      <c r="G34" s="14">
        <v>30</v>
      </c>
      <c r="H34" s="14">
        <f>1*1*8</f>
        <v>8</v>
      </c>
      <c r="I34" s="17">
        <f>(E34-F34)*D34*G34</f>
        <v>-240</v>
      </c>
      <c r="J34" s="17">
        <f>I34-H34</f>
        <v>-248</v>
      </c>
    </row>
    <row r="35" s="14" customFormat="1" spans="1:10">
      <c r="A35" s="22">
        <v>45840</v>
      </c>
      <c r="B35" s="25" t="s">
        <v>97</v>
      </c>
      <c r="C35" s="13" t="s">
        <v>12</v>
      </c>
      <c r="D35" s="14">
        <v>1</v>
      </c>
      <c r="E35" s="14">
        <v>71.38</v>
      </c>
      <c r="F35" s="24">
        <v>55</v>
      </c>
      <c r="G35" s="14">
        <v>5</v>
      </c>
      <c r="H35" s="14">
        <f>2*1*8</f>
        <v>16</v>
      </c>
      <c r="I35" s="17">
        <f>(E35-F35)*D35*G35</f>
        <v>81.9</v>
      </c>
      <c r="J35" s="17">
        <f>I35-H35</f>
        <v>65.9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D26" sqref="D26"/>
    </sheetView>
  </sheetViews>
  <sheetFormatPr defaultColWidth="9" defaultRowHeight="13.5" outlineLevelCol="3"/>
  <cols>
    <col min="1" max="1" width="11.4666666666667" style="8" customWidth="1"/>
    <col min="2" max="2" width="12.2666666666667" style="9" customWidth="1"/>
    <col min="3" max="3" width="9.73333333333333" style="10" customWidth="1"/>
    <col min="4" max="4" width="13.1333333333333" style="1" customWidth="1"/>
  </cols>
  <sheetData>
    <row r="1" s="7" customFormat="1" spans="1:4">
      <c r="A1" s="2" t="s">
        <v>0</v>
      </c>
      <c r="B1" s="11" t="s">
        <v>103</v>
      </c>
      <c r="C1" s="12" t="s">
        <v>104</v>
      </c>
      <c r="D1" s="3" t="s">
        <v>105</v>
      </c>
    </row>
    <row r="2" spans="1:4">
      <c r="A2" s="8">
        <v>45812</v>
      </c>
      <c r="B2" s="9">
        <v>239.9999998</v>
      </c>
      <c r="C2" s="10">
        <f>B2/2000000+1</f>
        <v>1.0001199999999</v>
      </c>
      <c r="D2" s="1">
        <v>2000000</v>
      </c>
    </row>
    <row r="3" spans="1:3">
      <c r="A3" s="8">
        <v>45813</v>
      </c>
      <c r="B3" s="9">
        <v>262.49999999</v>
      </c>
      <c r="C3" s="10">
        <f>(B3-B2)/2000000+C2</f>
        <v>1.00013125</v>
      </c>
    </row>
    <row r="4" spans="1:3">
      <c r="A4" s="8">
        <v>45814</v>
      </c>
      <c r="B4" s="9">
        <v>239.9999998</v>
      </c>
      <c r="C4" s="10">
        <f t="shared" ref="C4:C16" si="0">(B4-B3)/(2000000)+C3</f>
        <v>1.0001199999999</v>
      </c>
    </row>
    <row r="5" spans="1:3">
      <c r="A5" s="8">
        <v>45817</v>
      </c>
      <c r="B5" s="9">
        <v>752.7989998</v>
      </c>
      <c r="C5" s="10">
        <f t="shared" si="0"/>
        <v>1.0003763994999</v>
      </c>
    </row>
    <row r="6" spans="1:3">
      <c r="A6" s="8">
        <v>45818</v>
      </c>
      <c r="B6" s="9">
        <v>1359.2999998</v>
      </c>
      <c r="C6" s="10">
        <f t="shared" si="0"/>
        <v>1.0006796499999</v>
      </c>
    </row>
    <row r="7" spans="1:3">
      <c r="A7" s="8">
        <v>45819</v>
      </c>
      <c r="B7" s="9">
        <v>1484.34</v>
      </c>
      <c r="C7" s="10">
        <f t="shared" si="0"/>
        <v>1.00074217</v>
      </c>
    </row>
    <row r="8" spans="1:3">
      <c r="A8" s="8">
        <v>45820</v>
      </c>
      <c r="B8" s="9">
        <v>2633.3429998</v>
      </c>
      <c r="C8" s="10">
        <f t="shared" si="0"/>
        <v>1.0013166714999</v>
      </c>
    </row>
    <row r="9" spans="1:3">
      <c r="A9" s="8">
        <v>45821</v>
      </c>
      <c r="B9" s="9">
        <v>-170</v>
      </c>
      <c r="C9" s="10">
        <f t="shared" si="0"/>
        <v>0.999915</v>
      </c>
    </row>
    <row r="10" spans="1:3">
      <c r="A10" s="8">
        <v>45824</v>
      </c>
      <c r="B10" s="9">
        <v>-128</v>
      </c>
      <c r="C10" s="10">
        <f t="shared" si="0"/>
        <v>0.999936</v>
      </c>
    </row>
    <row r="11" spans="1:3">
      <c r="A11" s="8">
        <v>45825</v>
      </c>
      <c r="B11" s="9">
        <v>-117.6</v>
      </c>
      <c r="C11" s="10">
        <f t="shared" si="0"/>
        <v>0.9999412</v>
      </c>
    </row>
    <row r="12" spans="1:3">
      <c r="A12" s="8">
        <v>45826</v>
      </c>
      <c r="B12" s="9">
        <v>-3945.51</v>
      </c>
      <c r="C12" s="10">
        <f t="shared" si="0"/>
        <v>0.998027245</v>
      </c>
    </row>
    <row r="13" spans="1:3">
      <c r="A13" s="8">
        <v>45827</v>
      </c>
      <c r="B13" s="9">
        <v>-1900.48</v>
      </c>
      <c r="C13" s="10">
        <f t="shared" si="0"/>
        <v>0.99904976</v>
      </c>
    </row>
    <row r="14" spans="1:3">
      <c r="A14" s="8">
        <v>45828</v>
      </c>
      <c r="B14" s="9">
        <v>-1472.95</v>
      </c>
      <c r="C14" s="10">
        <f t="shared" si="0"/>
        <v>0.999263525</v>
      </c>
    </row>
    <row r="15" spans="1:3">
      <c r="A15" s="8">
        <v>45831</v>
      </c>
      <c r="B15" s="9">
        <v>1643.05</v>
      </c>
      <c r="C15" s="10">
        <f t="shared" si="0"/>
        <v>1.000821525</v>
      </c>
    </row>
    <row r="16" spans="1:3">
      <c r="A16" s="8">
        <v>45832</v>
      </c>
      <c r="B16" s="9">
        <v>-634.45</v>
      </c>
      <c r="C16" s="10">
        <f t="shared" si="0"/>
        <v>0.999682775</v>
      </c>
    </row>
    <row r="17" spans="1:4">
      <c r="A17" s="8">
        <v>45833</v>
      </c>
      <c r="B17" s="9">
        <v>464</v>
      </c>
      <c r="C17" s="10">
        <f>(B17-B16)/(2000000+2320000)+C16</f>
        <v>0.999937045833333</v>
      </c>
      <c r="D17" s="1">
        <v>2280000</v>
      </c>
    </row>
    <row r="18" spans="1:3">
      <c r="A18" s="8">
        <v>45834</v>
      </c>
      <c r="B18" s="9">
        <v>842.75</v>
      </c>
      <c r="C18" s="10">
        <f>(B18-B17)/(4280000)+C17</f>
        <v>1.00002553882399</v>
      </c>
    </row>
    <row r="19" spans="1:3">
      <c r="A19" s="8">
        <v>45835</v>
      </c>
      <c r="B19" s="9">
        <v>-1139.17</v>
      </c>
      <c r="C19" s="10">
        <f>(B19-B18)/(4280000)+C18</f>
        <v>0.999562473403429</v>
      </c>
    </row>
    <row r="20" spans="1:4">
      <c r="A20" s="8">
        <v>45838</v>
      </c>
      <c r="B20" s="9">
        <v>5373.43</v>
      </c>
      <c r="C20" s="10">
        <f>(B20-B19)/(4280000+154243)+C19</f>
        <v>1.00103117956139</v>
      </c>
      <c r="D20" s="1">
        <v>154243</v>
      </c>
    </row>
    <row r="21" spans="1:3">
      <c r="A21" s="8">
        <v>45839</v>
      </c>
      <c r="B21" s="9">
        <v>9187.48</v>
      </c>
      <c r="C21" s="10">
        <f>(B21-B20)/(4280000+154243)+C20</f>
        <v>1.001891315102</v>
      </c>
    </row>
    <row r="22" spans="1:3">
      <c r="A22" s="8">
        <v>45840</v>
      </c>
      <c r="B22" s="9">
        <v>5384.54</v>
      </c>
      <c r="C22" s="10">
        <f>(B22-B21)/(4280000+154243)+C21</f>
        <v>1.00103368506233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3.5" outlineLevelRow="3" outlineLevelCol="1"/>
  <cols>
    <col min="1" max="1" width="13.1333333333333" customWidth="1"/>
    <col min="2" max="2" width="12.75" style="1" customWidth="1"/>
  </cols>
  <sheetData>
    <row r="1" spans="1:2">
      <c r="A1" s="2" t="s">
        <v>0</v>
      </c>
      <c r="B1" s="3" t="s">
        <v>106</v>
      </c>
    </row>
    <row r="2" spans="1:2">
      <c r="A2" s="4">
        <v>45812</v>
      </c>
      <c r="B2" s="5">
        <v>2000000</v>
      </c>
    </row>
    <row r="3" spans="1:2">
      <c r="A3" s="6">
        <v>45833</v>
      </c>
      <c r="B3" s="1">
        <v>2280000</v>
      </c>
    </row>
    <row r="4" spans="1:2">
      <c r="A4" s="6">
        <v>45838</v>
      </c>
      <c r="B4" s="1">
        <v>154243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持有</vt:lpstr>
      <vt:lpstr>已平仓</vt:lpstr>
      <vt:lpstr>总盈亏</vt:lpstr>
      <vt:lpstr>资金变动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2025-06-04T07:08:00Z</dcterms:created>
  <dcterms:modified xsi:type="dcterms:W3CDTF">2025-07-02T08:32:39Z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863C69D4CD2B41F58467AFEA7FCA8BCB</vt:lpwstr>
  </property>
  <property fmtid="{D5CDD505-2E9C-101B-9397-08002B2CF9AE}" pid="3" name="KSOProductBuildVer">
    <vt:lpwstr>2052-11.1.0.12173</vt:lpwstr>
  </property>
</Properties>
</file>