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持有" sheetId="1" r:id="rId1"/>
    <sheet name="已平仓" sheetId="3" r:id="rId2"/>
    <sheet name="总盈亏" sheetId="2" r:id="rId3"/>
    <sheet name="资金变动" sheetId="4" r:id="rId4"/>
  </sheets>
  <definedNames>
    <definedName name="_xlnm._FilterDatabase" localSheetId="0" hidden="1">持有!$A$1:$J$83</definedName>
  </definedNames>
  <calcPr calcId="144525"/>
</workbook>
</file>

<file path=xl/sharedStrings.xml><?xml version="1.0" encoding="utf-8"?>
<sst xmlns="http://schemas.openxmlformats.org/spreadsheetml/2006/main" count="335" uniqueCount="151">
  <si>
    <t>日期</t>
  </si>
  <si>
    <t>期权合约代码</t>
  </si>
  <si>
    <t>负责人</t>
  </si>
  <si>
    <t>手数</t>
  </si>
  <si>
    <t>平均开仓期权价</t>
  </si>
  <si>
    <t>期权收盘价（当日15:00)</t>
  </si>
  <si>
    <t>交易单位</t>
  </si>
  <si>
    <t>手续费（买入）</t>
  </si>
  <si>
    <t>净浮动盈亏</t>
  </si>
  <si>
    <t>浮动盈亏（包含手续费）</t>
  </si>
  <si>
    <t>ag2508P7800</t>
  </si>
  <si>
    <t>程</t>
  </si>
  <si>
    <t>ag2508P8100</t>
  </si>
  <si>
    <t>ag2508P8200</t>
  </si>
  <si>
    <t>陈</t>
  </si>
  <si>
    <t>ao2509P2750</t>
  </si>
  <si>
    <t>ao2509P2800</t>
  </si>
  <si>
    <t>CF509P12400</t>
  </si>
  <si>
    <t>梁</t>
  </si>
  <si>
    <t>CF509P12800</t>
  </si>
  <si>
    <t>CJ509P8900</t>
  </si>
  <si>
    <t>CJ509P9000</t>
  </si>
  <si>
    <t>CJ509P9100</t>
  </si>
  <si>
    <t>eb2508-C-7600</t>
  </si>
  <si>
    <t>叶</t>
  </si>
  <si>
    <t>FG509P1000</t>
  </si>
  <si>
    <t>FG509P940</t>
  </si>
  <si>
    <t>i2509-P-640</t>
  </si>
  <si>
    <t>i2509-P-660</t>
  </si>
  <si>
    <t>i2509-P-670</t>
  </si>
  <si>
    <t>i2509-P-690</t>
  </si>
  <si>
    <t>i2509-P-700</t>
  </si>
  <si>
    <t>jd2508-C-3500</t>
  </si>
  <si>
    <t>jd2508-C-3550</t>
  </si>
  <si>
    <t>jd2509-C-3900</t>
  </si>
  <si>
    <t>jd2509-P-3400</t>
  </si>
  <si>
    <t>jd2509-P-3450</t>
  </si>
  <si>
    <t>jd2509-P-3500</t>
  </si>
  <si>
    <t>jd2509-P-3550</t>
  </si>
  <si>
    <t>lc2509-P-57000</t>
  </si>
  <si>
    <t>lc2509-P-58000</t>
  </si>
  <si>
    <t>lc2509-P-60000</t>
  </si>
  <si>
    <t>lc2511-P-60000</t>
  </si>
  <si>
    <t>lg2509-P-750</t>
  </si>
  <si>
    <t>lg2509-P-775</t>
  </si>
  <si>
    <t>lh2509-P-13200</t>
  </si>
  <si>
    <t>lh2509-P-13400</t>
  </si>
  <si>
    <t>lh2509-P-13600</t>
  </si>
  <si>
    <t>m2509-C-3050</t>
  </si>
  <si>
    <t>m2509-C-3150</t>
  </si>
  <si>
    <t>m2509-P-2800</t>
  </si>
  <si>
    <t>m2601-P-2900</t>
  </si>
  <si>
    <t>MA509P2200</t>
  </si>
  <si>
    <t>MA509P2325</t>
  </si>
  <si>
    <t>MA509P2350</t>
  </si>
  <si>
    <t>OI509P8800</t>
  </si>
  <si>
    <t>pb2508P16400</t>
  </si>
  <si>
    <t>PK510C8700</t>
  </si>
  <si>
    <t>PK510C8800</t>
  </si>
  <si>
    <t>ps2509-C-46000</t>
  </si>
  <si>
    <t>ps2509-C-47000</t>
  </si>
  <si>
    <t>ps2509-C-48000</t>
  </si>
  <si>
    <t>ps2509-C-49000</t>
  </si>
  <si>
    <t>ps2509-C-50000</t>
  </si>
  <si>
    <t>ps2509-P-32000</t>
  </si>
  <si>
    <t>ps2509-P-33500</t>
  </si>
  <si>
    <t>ps2509-P-34000</t>
  </si>
  <si>
    <t>ps2509-P-35000</t>
  </si>
  <si>
    <t>ps2509-P-35500</t>
  </si>
  <si>
    <t>ps2509-P-36000</t>
  </si>
  <si>
    <t>ps2509-P-37000</t>
  </si>
  <si>
    <t>ps2509-P-38000</t>
  </si>
  <si>
    <t>rb2510P2850</t>
  </si>
  <si>
    <t>rb2510P2900</t>
  </si>
  <si>
    <t>RM509P2450</t>
  </si>
  <si>
    <t>RM509P2500</t>
  </si>
  <si>
    <t>SF509P5000</t>
  </si>
  <si>
    <t>SH509P2240</t>
  </si>
  <si>
    <t>SH509P2280</t>
  </si>
  <si>
    <t>SH509P2320</t>
  </si>
  <si>
    <t>SH509P2360</t>
  </si>
  <si>
    <t>SM509P5300</t>
  </si>
  <si>
    <t>sn2508P245000</t>
  </si>
  <si>
    <t>SR509C6200</t>
  </si>
  <si>
    <t>TA509C5100</t>
  </si>
  <si>
    <t>TA509C5200</t>
  </si>
  <si>
    <t>TA509C5300</t>
  </si>
  <si>
    <t>TA509C5400</t>
  </si>
  <si>
    <t>TA509C5500</t>
  </si>
  <si>
    <t>TA509P4400</t>
  </si>
  <si>
    <t>TA509P4500</t>
  </si>
  <si>
    <t>TA509P4550</t>
  </si>
  <si>
    <t>TA509P4600</t>
  </si>
  <si>
    <t>UR509C1800</t>
  </si>
  <si>
    <t>UR509P1640</t>
  </si>
  <si>
    <t>UR509P1660</t>
  </si>
  <si>
    <t>v2509-P-4750</t>
  </si>
  <si>
    <t>今日总盈亏</t>
  </si>
  <si>
    <t>平仓日期</t>
  </si>
  <si>
    <t>期权平仓价格</t>
  </si>
  <si>
    <t>手续费</t>
  </si>
  <si>
    <t>净盈亏</t>
  </si>
  <si>
    <t>盈亏（包含手续费）</t>
  </si>
  <si>
    <t>a2509-C-4450</t>
  </si>
  <si>
    <t>TA509C5000</t>
  </si>
  <si>
    <t>jd2508-C-3800</t>
  </si>
  <si>
    <t>ao2507P2800</t>
  </si>
  <si>
    <t>ag2508P8000</t>
  </si>
  <si>
    <t>ag2508P8300</t>
  </si>
  <si>
    <t>cu2507P73000</t>
  </si>
  <si>
    <t>ni2507C128000</t>
  </si>
  <si>
    <t>sn2507P240000</t>
  </si>
  <si>
    <t>si2509-P-7100</t>
  </si>
  <si>
    <t>lc2509-C-64000</t>
  </si>
  <si>
    <t>si2509-P-7000</t>
  </si>
  <si>
    <t>si2509-P-7200</t>
  </si>
  <si>
    <t>ao2508C3100</t>
  </si>
  <si>
    <t>ao2509C3100</t>
  </si>
  <si>
    <t>FG509C1040</t>
  </si>
  <si>
    <t>ps2508-C-36000</t>
  </si>
  <si>
    <t>SH509C2440</t>
  </si>
  <si>
    <t>SH509C2480</t>
  </si>
  <si>
    <t>ps2508-C-37000</t>
  </si>
  <si>
    <t>RM509C2600</t>
  </si>
  <si>
    <t>RM509C2650</t>
  </si>
  <si>
    <t>RM509C2700</t>
  </si>
  <si>
    <t>RM509C2750</t>
  </si>
  <si>
    <t>jd2508-P-3500</t>
  </si>
  <si>
    <t>ps2509-C-40000</t>
  </si>
  <si>
    <t>ps2508-P-33000</t>
  </si>
  <si>
    <t>ps2508-P-33500</t>
  </si>
  <si>
    <t>ps2508-P-34000</t>
  </si>
  <si>
    <t>c2509-P-2300</t>
  </si>
  <si>
    <t>ps2509-C-39000</t>
  </si>
  <si>
    <t>ag2508C9300</t>
  </si>
  <si>
    <t>ps2509-C-42000</t>
  </si>
  <si>
    <t>ps2509-C-41000</t>
  </si>
  <si>
    <t>SH509P2160</t>
  </si>
  <si>
    <t>SH509C2560</t>
  </si>
  <si>
    <t>ag2508C9100</t>
  </si>
  <si>
    <t>ag2508C9200</t>
  </si>
  <si>
    <t>eb2508-P-7100</t>
  </si>
  <si>
    <t>lc2511</t>
  </si>
  <si>
    <t>eb2508-P-7200</t>
  </si>
  <si>
    <t>jd2508-C-3600</t>
  </si>
  <si>
    <t>jd2508-P-3400</t>
  </si>
  <si>
    <t>m2601-P-2800</t>
  </si>
  <si>
    <t>总盈亏</t>
  </si>
  <si>
    <t>净值</t>
  </si>
  <si>
    <t>当日出/入金</t>
  </si>
  <si>
    <t>变动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</si>
</sst>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yyyy/m/d;@"/>
    <numFmt numFmtId="178" formatCode="0_ "/>
    <numFmt numFmtId="179" formatCode="0.000000_ "/>
    <numFmt numFmtId="180" formatCode="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0" fillId="0" borderId="0" xfId="0" applyFont="1">
      <alignment vertical="center"/>
    </xf>
    <xf numFmtId="180" fontId="0" fillId="0" borderId="0" xfId="0" applyNumberFormat="1">
      <alignment vertical="center"/>
    </xf>
    <xf numFmtId="180" fontId="1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180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Font="1" applyFill="1" applyAlignment="1">
      <alignment vertical="center"/>
    </xf>
    <xf numFmtId="180" fontId="0" fillId="0" borderId="0" xfId="0" applyNumberFormat="1" applyFont="1">
      <alignment vertical="center"/>
    </xf>
    <xf numFmtId="0" fontId="1" fillId="0" borderId="0" xfId="0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8"/>
  <sheetViews>
    <sheetView tabSelected="1" workbookViewId="0">
      <pane ySplit="1" topLeftCell="A2" activePane="bottomLeft" state="frozen"/>
      <selection/>
      <selection pane="bottomLeft" activeCell="A59" sqref="$A59:$XFD59"/>
    </sheetView>
  </sheetViews>
  <sheetFormatPr defaultColWidth="9" defaultRowHeight="13.5"/>
  <cols>
    <col min="1" max="1" width="11.375" style="22" customWidth="1"/>
    <col min="2" max="2" width="17.25" customWidth="1"/>
    <col min="3" max="3" width="7.25" customWidth="1"/>
    <col min="4" max="4" width="5.625" customWidth="1"/>
    <col min="5" max="5" width="15.25" style="12" customWidth="1"/>
    <col min="6" max="6" width="13.5" style="12" customWidth="1"/>
    <col min="7" max="7" width="9" customWidth="1"/>
    <col min="8" max="8" width="13.625" customWidth="1"/>
    <col min="9" max="9" width="11.5" style="12" customWidth="1"/>
    <col min="10" max="10" width="21.25" style="12" customWidth="1"/>
  </cols>
  <sheetData>
    <row r="1" s="6" customFormat="1" ht="12" customHeight="1" spans="1:10">
      <c r="A1" s="2" t="s">
        <v>0</v>
      </c>
      <c r="B1" s="6" t="s">
        <v>1</v>
      </c>
      <c r="C1" s="6" t="s">
        <v>2</v>
      </c>
      <c r="D1" s="6" t="s">
        <v>3</v>
      </c>
      <c r="E1" s="13" t="s">
        <v>4</v>
      </c>
      <c r="F1" s="13" t="s">
        <v>5</v>
      </c>
      <c r="G1" s="6" t="s">
        <v>6</v>
      </c>
      <c r="H1" s="6" t="s">
        <v>7</v>
      </c>
      <c r="I1" s="13" t="s">
        <v>8</v>
      </c>
      <c r="J1" s="13" t="s">
        <v>9</v>
      </c>
    </row>
    <row r="2" spans="1:10">
      <c r="A2" s="2">
        <v>45853</v>
      </c>
      <c r="B2" t="s">
        <v>10</v>
      </c>
      <c r="C2" t="s">
        <v>11</v>
      </c>
      <c r="D2">
        <v>1</v>
      </c>
      <c r="E2" s="12">
        <v>70.5</v>
      </c>
      <c r="F2" s="23">
        <v>3</v>
      </c>
      <c r="G2">
        <v>15</v>
      </c>
      <c r="H2">
        <v>8</v>
      </c>
      <c r="I2" s="12">
        <f t="shared" ref="I2:I12" si="0">(E2-F2)*D2*G2</f>
        <v>1012.5</v>
      </c>
      <c r="J2" s="12">
        <f t="shared" ref="J2:J12" si="1">I2-H2</f>
        <v>1004.5</v>
      </c>
    </row>
    <row r="3" spans="2:10">
      <c r="B3" t="s">
        <v>12</v>
      </c>
      <c r="C3" t="s">
        <v>11</v>
      </c>
      <c r="D3">
        <v>4</v>
      </c>
      <c r="E3" s="12">
        <f>(34+34+33+33)/4</f>
        <v>33.5</v>
      </c>
      <c r="F3" s="23">
        <v>4.5</v>
      </c>
      <c r="G3">
        <v>15</v>
      </c>
      <c r="H3">
        <f>4*8</f>
        <v>32</v>
      </c>
      <c r="I3" s="12">
        <f t="shared" si="0"/>
        <v>1740</v>
      </c>
      <c r="J3" s="12">
        <f t="shared" si="1"/>
        <v>1708</v>
      </c>
    </row>
    <row r="4" spans="2:10">
      <c r="B4" t="s">
        <v>13</v>
      </c>
      <c r="C4" s="15" t="s">
        <v>14</v>
      </c>
      <c r="D4">
        <v>1</v>
      </c>
      <c r="E4" s="12">
        <v>22</v>
      </c>
      <c r="F4" s="23">
        <v>5</v>
      </c>
      <c r="G4">
        <v>15</v>
      </c>
      <c r="H4">
        <v>8</v>
      </c>
      <c r="I4" s="12">
        <f t="shared" si="0"/>
        <v>255</v>
      </c>
      <c r="J4" s="12">
        <f t="shared" si="1"/>
        <v>247</v>
      </c>
    </row>
    <row r="5" s="15" customFormat="1" spans="1:10">
      <c r="A5" s="22"/>
      <c r="B5" s="15" t="s">
        <v>15</v>
      </c>
      <c r="C5" s="15" t="s">
        <v>11</v>
      </c>
      <c r="D5" s="15">
        <v>1</v>
      </c>
      <c r="E5" s="17">
        <f>(27.5*2+28)/3</f>
        <v>27.6666666666667</v>
      </c>
      <c r="F5" s="23">
        <v>11.5</v>
      </c>
      <c r="G5" s="15">
        <v>20</v>
      </c>
      <c r="H5" s="15">
        <f>1*14</f>
        <v>14</v>
      </c>
      <c r="I5" s="17">
        <f t="shared" si="0"/>
        <v>323.333333333334</v>
      </c>
      <c r="J5" s="17">
        <f t="shared" si="1"/>
        <v>309.333333333334</v>
      </c>
    </row>
    <row r="6" s="15" customFormat="1" spans="1:10">
      <c r="A6" s="22"/>
      <c r="B6" s="15" t="s">
        <v>16</v>
      </c>
      <c r="C6" s="15" t="s">
        <v>11</v>
      </c>
      <c r="D6" s="15">
        <v>1</v>
      </c>
      <c r="E6" s="17">
        <f>(65+39+38*6+37+37.5*2+35+38.5+37+41+40+39.5+39)/18</f>
        <v>39.6666666666667</v>
      </c>
      <c r="F6" s="23">
        <v>15</v>
      </c>
      <c r="G6" s="15">
        <v>20</v>
      </c>
      <c r="H6" s="15">
        <f>1*18</f>
        <v>18</v>
      </c>
      <c r="I6" s="17">
        <f t="shared" si="0"/>
        <v>493.333333333334</v>
      </c>
      <c r="J6" s="17">
        <f t="shared" si="1"/>
        <v>475.333333333334</v>
      </c>
    </row>
    <row r="7" spans="2:10">
      <c r="B7" t="s">
        <v>17</v>
      </c>
      <c r="C7" t="s">
        <v>18</v>
      </c>
      <c r="D7">
        <v>6</v>
      </c>
      <c r="E7" s="12">
        <f>(28.5*4+12*2)/6</f>
        <v>23</v>
      </c>
      <c r="F7" s="23">
        <v>8</v>
      </c>
      <c r="G7">
        <v>5</v>
      </c>
      <c r="H7">
        <f>6*6</f>
        <v>36</v>
      </c>
      <c r="I7" s="12">
        <f t="shared" si="0"/>
        <v>450</v>
      </c>
      <c r="J7" s="12">
        <f t="shared" si="1"/>
        <v>414</v>
      </c>
    </row>
    <row r="8" spans="2:10">
      <c r="B8" t="s">
        <v>19</v>
      </c>
      <c r="C8" t="s">
        <v>18</v>
      </c>
      <c r="D8">
        <v>4</v>
      </c>
      <c r="E8" s="12">
        <f>(21*2+20*2)/4</f>
        <v>20.5</v>
      </c>
      <c r="F8" s="23">
        <v>11</v>
      </c>
      <c r="G8">
        <v>5</v>
      </c>
      <c r="H8">
        <f>4*6</f>
        <v>24</v>
      </c>
      <c r="I8" s="12">
        <f t="shared" si="0"/>
        <v>190</v>
      </c>
      <c r="J8" s="12">
        <f t="shared" si="1"/>
        <v>166</v>
      </c>
    </row>
    <row r="9" spans="2:10">
      <c r="B9" t="s">
        <v>20</v>
      </c>
      <c r="C9" t="s">
        <v>18</v>
      </c>
      <c r="D9">
        <v>1</v>
      </c>
      <c r="E9" s="12">
        <v>48</v>
      </c>
      <c r="F9" s="23">
        <v>27</v>
      </c>
      <c r="G9">
        <v>5</v>
      </c>
      <c r="H9">
        <v>4</v>
      </c>
      <c r="I9" s="12">
        <f t="shared" si="0"/>
        <v>105</v>
      </c>
      <c r="J9" s="12">
        <f t="shared" si="1"/>
        <v>101</v>
      </c>
    </row>
    <row r="10" spans="2:10">
      <c r="B10" t="s">
        <v>21</v>
      </c>
      <c r="C10" t="s">
        <v>18</v>
      </c>
      <c r="D10">
        <v>8</v>
      </c>
      <c r="E10" s="12">
        <f>(65*4+64*2+63*2)/8</f>
        <v>64.25</v>
      </c>
      <c r="F10" s="23">
        <v>54</v>
      </c>
      <c r="G10">
        <v>5</v>
      </c>
      <c r="H10">
        <f>4*8</f>
        <v>32</v>
      </c>
      <c r="I10" s="12">
        <f t="shared" si="0"/>
        <v>410</v>
      </c>
      <c r="J10" s="12">
        <f t="shared" si="1"/>
        <v>378</v>
      </c>
    </row>
    <row r="11" spans="2:10">
      <c r="B11" t="s">
        <v>22</v>
      </c>
      <c r="C11" t="s">
        <v>18</v>
      </c>
      <c r="D11">
        <v>1</v>
      </c>
      <c r="E11" s="12">
        <v>70</v>
      </c>
      <c r="F11" s="23">
        <v>79</v>
      </c>
      <c r="G11">
        <v>5</v>
      </c>
      <c r="H11">
        <v>4</v>
      </c>
      <c r="I11" s="12">
        <f t="shared" si="0"/>
        <v>-45</v>
      </c>
      <c r="J11" s="12">
        <f t="shared" si="1"/>
        <v>-49</v>
      </c>
    </row>
    <row r="12" spans="2:10">
      <c r="B12" t="s">
        <v>23</v>
      </c>
      <c r="C12" t="s">
        <v>24</v>
      </c>
      <c r="D12">
        <v>1</v>
      </c>
      <c r="E12" s="12">
        <v>41</v>
      </c>
      <c r="F12" s="23">
        <v>1.5</v>
      </c>
      <c r="G12">
        <v>5</v>
      </c>
      <c r="H12">
        <f>2*1</f>
        <v>2</v>
      </c>
      <c r="I12" s="12">
        <f t="shared" si="0"/>
        <v>197.5</v>
      </c>
      <c r="J12" s="12">
        <f t="shared" si="1"/>
        <v>195.5</v>
      </c>
    </row>
    <row r="13" spans="2:10">
      <c r="B13" t="s">
        <v>25</v>
      </c>
      <c r="C13" t="s">
        <v>18</v>
      </c>
      <c r="D13">
        <v>10</v>
      </c>
      <c r="E13" s="12">
        <f>(22.5*4+23*2+24.5*2+25*2)/10</f>
        <v>23.5</v>
      </c>
      <c r="F13" s="23">
        <v>8.5</v>
      </c>
      <c r="G13">
        <v>20</v>
      </c>
      <c r="H13">
        <f>2*10</f>
        <v>20</v>
      </c>
      <c r="I13" s="12">
        <f>(E13-F13)*D13*G13</f>
        <v>3000</v>
      </c>
      <c r="J13" s="12">
        <f>I13-H13</f>
        <v>2980</v>
      </c>
    </row>
    <row r="14" spans="2:10">
      <c r="B14" t="s">
        <v>26</v>
      </c>
      <c r="C14" t="s">
        <v>18</v>
      </c>
      <c r="D14">
        <v>8</v>
      </c>
      <c r="E14" s="12">
        <f>(11.25*6+15.5*2)/8</f>
        <v>12.3125</v>
      </c>
      <c r="F14" s="23">
        <v>2</v>
      </c>
      <c r="G14">
        <v>20</v>
      </c>
      <c r="H14">
        <f>2*6</f>
        <v>12</v>
      </c>
      <c r="I14" s="12">
        <f>(E14-F14)*D14*G14</f>
        <v>1650</v>
      </c>
      <c r="J14" s="12">
        <f>I14-H14</f>
        <v>1638</v>
      </c>
    </row>
    <row r="15" spans="2:10">
      <c r="B15" t="s">
        <v>27</v>
      </c>
      <c r="C15" t="s">
        <v>24</v>
      </c>
      <c r="D15">
        <v>5</v>
      </c>
      <c r="E15" s="12">
        <v>5.4</v>
      </c>
      <c r="F15" s="23">
        <v>0.5</v>
      </c>
      <c r="G15">
        <v>100</v>
      </c>
      <c r="H15">
        <v>40</v>
      </c>
      <c r="I15" s="12">
        <f>(E15-F15)*D15*G15</f>
        <v>2450</v>
      </c>
      <c r="J15" s="12">
        <f>I15-H15</f>
        <v>2410</v>
      </c>
    </row>
    <row r="16" spans="2:10">
      <c r="B16" t="s">
        <v>28</v>
      </c>
      <c r="C16" t="s">
        <v>24</v>
      </c>
      <c r="D16">
        <v>2</v>
      </c>
      <c r="E16" s="12">
        <v>4.5</v>
      </c>
      <c r="F16" s="23">
        <v>0.7</v>
      </c>
      <c r="G16">
        <v>100</v>
      </c>
      <c r="H16">
        <f>2*8</f>
        <v>16</v>
      </c>
      <c r="I16" s="12">
        <f>(E16-F16)*D16*G16</f>
        <v>760</v>
      </c>
      <c r="J16" s="12">
        <f>I16-H16</f>
        <v>744</v>
      </c>
    </row>
    <row r="17" spans="2:10">
      <c r="B17" t="s">
        <v>29</v>
      </c>
      <c r="C17" t="s">
        <v>24</v>
      </c>
      <c r="D17">
        <v>1</v>
      </c>
      <c r="E17" s="12">
        <v>5.6</v>
      </c>
      <c r="F17" s="23">
        <v>1</v>
      </c>
      <c r="G17">
        <v>100</v>
      </c>
      <c r="H17">
        <v>8</v>
      </c>
      <c r="I17" s="12">
        <f>(E17-F17)*D17*G17</f>
        <v>460</v>
      </c>
      <c r="J17" s="12">
        <f>I17-H17</f>
        <v>452</v>
      </c>
    </row>
    <row r="18" spans="2:10">
      <c r="B18" t="s">
        <v>30</v>
      </c>
      <c r="C18" t="s">
        <v>24</v>
      </c>
      <c r="D18">
        <v>1</v>
      </c>
      <c r="E18" s="12">
        <v>7.2</v>
      </c>
      <c r="F18" s="23">
        <v>1.5</v>
      </c>
      <c r="G18">
        <v>100</v>
      </c>
      <c r="H18">
        <v>8</v>
      </c>
      <c r="I18" s="12">
        <f>(E18-F18)*D18*G18</f>
        <v>570</v>
      </c>
      <c r="J18" s="12">
        <f>I18-H18</f>
        <v>562</v>
      </c>
    </row>
    <row r="19" spans="2:10">
      <c r="B19" t="s">
        <v>31</v>
      </c>
      <c r="C19" t="s">
        <v>24</v>
      </c>
      <c r="D19">
        <v>6</v>
      </c>
      <c r="E19" s="12">
        <f>(6.2+4.5+4.3*4)/6</f>
        <v>4.65</v>
      </c>
      <c r="F19" s="23">
        <v>2.3</v>
      </c>
      <c r="G19">
        <v>100</v>
      </c>
      <c r="H19">
        <f>6*8</f>
        <v>48</v>
      </c>
      <c r="I19" s="12">
        <f>(E19-F19)*D19*G19</f>
        <v>1410</v>
      </c>
      <c r="J19" s="12">
        <f>I19-H19</f>
        <v>1362</v>
      </c>
    </row>
    <row r="20" s="11" customFormat="1" spans="1:10">
      <c r="A20" s="22"/>
      <c r="B20" s="19" t="s">
        <v>32</v>
      </c>
      <c r="C20" s="15" t="s">
        <v>24</v>
      </c>
      <c r="D20" s="11">
        <v>5</v>
      </c>
      <c r="E20" s="20">
        <v>4</v>
      </c>
      <c r="F20" s="23">
        <v>4</v>
      </c>
      <c r="G20" s="11">
        <v>10</v>
      </c>
      <c r="H20" s="11">
        <v>2.58</v>
      </c>
      <c r="I20" s="20">
        <f>(E20-F20)*D20*G20</f>
        <v>0</v>
      </c>
      <c r="J20" s="20">
        <f>I20-H20</f>
        <v>-2.58</v>
      </c>
    </row>
    <row r="21" spans="2:10">
      <c r="B21" t="s">
        <v>33</v>
      </c>
      <c r="C21" t="s">
        <v>24</v>
      </c>
      <c r="D21">
        <v>8</v>
      </c>
      <c r="E21" s="12">
        <f>(27.5+27*5+26.5*2)/8</f>
        <v>26.9375</v>
      </c>
      <c r="F21" s="23">
        <v>1.5</v>
      </c>
      <c r="G21">
        <v>10</v>
      </c>
      <c r="H21">
        <f>2*8</f>
        <v>16</v>
      </c>
      <c r="I21" s="12">
        <f>(E21-F21)*D21*G21</f>
        <v>2035</v>
      </c>
      <c r="J21" s="12">
        <f>I21-H21</f>
        <v>2019</v>
      </c>
    </row>
    <row r="22" spans="2:10">
      <c r="B22" t="s">
        <v>34</v>
      </c>
      <c r="C22" t="s">
        <v>24</v>
      </c>
      <c r="D22">
        <v>1</v>
      </c>
      <c r="E22" s="12">
        <v>40</v>
      </c>
      <c r="F22" s="23">
        <v>17.5</v>
      </c>
      <c r="G22">
        <v>10</v>
      </c>
      <c r="H22">
        <f>2*1</f>
        <v>2</v>
      </c>
      <c r="I22" s="12">
        <f>(E22-F22)*D22*G22</f>
        <v>225</v>
      </c>
      <c r="J22" s="12">
        <f>I22-H22</f>
        <v>223</v>
      </c>
    </row>
    <row r="23" spans="2:10">
      <c r="B23" t="s">
        <v>35</v>
      </c>
      <c r="C23" s="15" t="s">
        <v>24</v>
      </c>
      <c r="D23">
        <v>21</v>
      </c>
      <c r="E23" s="12">
        <v>25.2857142857143</v>
      </c>
      <c r="F23" s="23">
        <v>13.5</v>
      </c>
      <c r="G23">
        <v>10</v>
      </c>
      <c r="H23">
        <v>42</v>
      </c>
      <c r="I23" s="12">
        <f>(E23-F23)*D23*G23</f>
        <v>2475</v>
      </c>
      <c r="J23" s="12">
        <f>I23-H23</f>
        <v>2433</v>
      </c>
    </row>
    <row r="24" spans="2:10">
      <c r="B24" t="s">
        <v>36</v>
      </c>
      <c r="C24" s="15" t="s">
        <v>24</v>
      </c>
      <c r="D24">
        <v>18</v>
      </c>
      <c r="E24" s="12">
        <v>39.3333333333333</v>
      </c>
      <c r="F24" s="23">
        <v>20</v>
      </c>
      <c r="G24">
        <v>10</v>
      </c>
      <c r="H24">
        <v>192</v>
      </c>
      <c r="I24" s="12">
        <f>(E24-F24)*D24*G24</f>
        <v>3479.99999999999</v>
      </c>
      <c r="J24" s="12">
        <f>I24-H24</f>
        <v>3287.99999999999</v>
      </c>
    </row>
    <row r="25" spans="2:10">
      <c r="B25" t="s">
        <v>37</v>
      </c>
      <c r="C25" t="s">
        <v>24</v>
      </c>
      <c r="D25">
        <v>8</v>
      </c>
      <c r="E25" s="12">
        <f>(46*5+45*2+44.5)/8</f>
        <v>45.5625</v>
      </c>
      <c r="F25" s="23">
        <v>30.5</v>
      </c>
      <c r="G25">
        <v>10</v>
      </c>
      <c r="H25">
        <f>2*8</f>
        <v>16</v>
      </c>
      <c r="I25" s="12">
        <f>(E25-F25)*D25*G25</f>
        <v>1205</v>
      </c>
      <c r="J25" s="12">
        <f>I25-H25</f>
        <v>1189</v>
      </c>
    </row>
    <row r="26" spans="2:10">
      <c r="B26" t="s">
        <v>38</v>
      </c>
      <c r="C26" t="s">
        <v>24</v>
      </c>
      <c r="D26">
        <v>4</v>
      </c>
      <c r="E26" s="12">
        <v>35</v>
      </c>
      <c r="F26" s="23">
        <v>47</v>
      </c>
      <c r="G26">
        <v>10</v>
      </c>
      <c r="H26">
        <f>2*4</f>
        <v>8</v>
      </c>
      <c r="I26" s="12">
        <f>(E26-F26)*D26*G26</f>
        <v>-480</v>
      </c>
      <c r="J26" s="12">
        <f>I26-H26</f>
        <v>-488</v>
      </c>
    </row>
    <row r="27" s="15" customFormat="1" spans="1:10">
      <c r="A27" s="22"/>
      <c r="B27" t="s">
        <v>39</v>
      </c>
      <c r="C27" t="s">
        <v>11</v>
      </c>
      <c r="D27">
        <v>2</v>
      </c>
      <c r="E27" s="12">
        <f>(450+240)/2</f>
        <v>345</v>
      </c>
      <c r="F27" s="23">
        <v>50</v>
      </c>
      <c r="G27">
        <v>1</v>
      </c>
      <c r="H27">
        <f>2*12</f>
        <v>24</v>
      </c>
      <c r="I27" s="12">
        <f>(E27-F27)*D27*G27</f>
        <v>590</v>
      </c>
      <c r="J27" s="12">
        <f>I27-H27</f>
        <v>566</v>
      </c>
    </row>
    <row r="28" s="15" customFormat="1" spans="1:10">
      <c r="A28" s="22"/>
      <c r="B28" s="15" t="s">
        <v>40</v>
      </c>
      <c r="C28" s="15" t="s">
        <v>11</v>
      </c>
      <c r="D28" s="15">
        <v>4</v>
      </c>
      <c r="E28" s="17">
        <f>(595+340+90*2)/4</f>
        <v>278.75</v>
      </c>
      <c r="F28" s="23">
        <v>80</v>
      </c>
      <c r="G28" s="15">
        <v>1</v>
      </c>
      <c r="H28" s="15">
        <f>4*12</f>
        <v>48</v>
      </c>
      <c r="I28" s="17">
        <f>(E28-F28)*D28*G28</f>
        <v>795</v>
      </c>
      <c r="J28" s="17">
        <f>I28-H28</f>
        <v>747</v>
      </c>
    </row>
    <row r="29" s="15" customFormat="1" spans="1:10">
      <c r="A29" s="22"/>
      <c r="B29" s="15" t="s">
        <v>41</v>
      </c>
      <c r="C29" s="15" t="s">
        <v>14</v>
      </c>
      <c r="D29" s="15">
        <v>4</v>
      </c>
      <c r="E29" s="17">
        <f>(330+310+210*2)/4</f>
        <v>265</v>
      </c>
      <c r="F29" s="23">
        <v>150</v>
      </c>
      <c r="G29" s="15">
        <v>1</v>
      </c>
      <c r="H29" s="15">
        <f>4*12</f>
        <v>48</v>
      </c>
      <c r="I29" s="17">
        <f>(E29-F29)*D29*G29</f>
        <v>460</v>
      </c>
      <c r="J29" s="17">
        <f>I29-H29</f>
        <v>412</v>
      </c>
    </row>
    <row r="30" spans="2:10">
      <c r="B30" s="15" t="s">
        <v>42</v>
      </c>
      <c r="C30" s="15" t="s">
        <v>11</v>
      </c>
      <c r="D30" s="15">
        <v>3</v>
      </c>
      <c r="E30" s="17">
        <f>(1620+850+880)/3</f>
        <v>1116.66666666667</v>
      </c>
      <c r="F30" s="23">
        <v>750</v>
      </c>
      <c r="G30" s="15">
        <v>1</v>
      </c>
      <c r="H30" s="15">
        <v>12</v>
      </c>
      <c r="I30" s="17">
        <f>(E30-F30)*D30*G30</f>
        <v>1100</v>
      </c>
      <c r="J30" s="17">
        <f>I30-H30</f>
        <v>1088</v>
      </c>
    </row>
    <row r="31" spans="2:10">
      <c r="B31" t="s">
        <v>43</v>
      </c>
      <c r="C31" t="s">
        <v>24</v>
      </c>
      <c r="D31">
        <v>3</v>
      </c>
      <c r="E31" s="12">
        <v>7.25</v>
      </c>
      <c r="F31" s="23">
        <v>5</v>
      </c>
      <c r="G31">
        <v>90</v>
      </c>
      <c r="H31">
        <v>12</v>
      </c>
      <c r="I31" s="12">
        <f>(E31-F31)*D31*G31</f>
        <v>607.5</v>
      </c>
      <c r="J31" s="12">
        <f>I31-H31</f>
        <v>595.5</v>
      </c>
    </row>
    <row r="32" spans="2:10">
      <c r="B32" t="s">
        <v>44</v>
      </c>
      <c r="C32" t="s">
        <v>24</v>
      </c>
      <c r="D32">
        <v>1</v>
      </c>
      <c r="E32" s="12">
        <v>11.75</v>
      </c>
      <c r="F32" s="24">
        <v>12</v>
      </c>
      <c r="G32">
        <v>90</v>
      </c>
      <c r="H32">
        <v>4</v>
      </c>
      <c r="I32" s="12">
        <f>(E32-F32)*D32*G32</f>
        <v>-22.5</v>
      </c>
      <c r="J32" s="12">
        <f>I32-H32</f>
        <v>-26.5</v>
      </c>
    </row>
    <row r="33" spans="2:10">
      <c r="B33" t="s">
        <v>45</v>
      </c>
      <c r="C33" t="s">
        <v>24</v>
      </c>
      <c r="D33">
        <v>1</v>
      </c>
      <c r="E33" s="12">
        <v>35</v>
      </c>
      <c r="F33" s="23">
        <v>15</v>
      </c>
      <c r="G33">
        <v>16</v>
      </c>
      <c r="H33">
        <v>6</v>
      </c>
      <c r="I33" s="12">
        <f>(E33-F33)*D33*G33</f>
        <v>320</v>
      </c>
      <c r="J33" s="12">
        <f>I33-H33</f>
        <v>314</v>
      </c>
    </row>
    <row r="34" spans="2:10">
      <c r="B34" t="s">
        <v>46</v>
      </c>
      <c r="C34" t="s">
        <v>24</v>
      </c>
      <c r="D34">
        <v>1</v>
      </c>
      <c r="E34" s="12">
        <v>60</v>
      </c>
      <c r="F34" s="23">
        <v>27.5</v>
      </c>
      <c r="G34">
        <v>16</v>
      </c>
      <c r="H34">
        <v>6</v>
      </c>
      <c r="I34" s="12">
        <f>(E34-F34)*D34*G34</f>
        <v>520</v>
      </c>
      <c r="J34" s="12">
        <f>I34-H34</f>
        <v>514</v>
      </c>
    </row>
    <row r="35" spans="2:10">
      <c r="B35" t="s">
        <v>47</v>
      </c>
      <c r="C35" t="s">
        <v>24</v>
      </c>
      <c r="D35">
        <v>1</v>
      </c>
      <c r="E35" s="12">
        <v>62.5</v>
      </c>
      <c r="F35" s="23">
        <v>47.5</v>
      </c>
      <c r="G35">
        <v>16</v>
      </c>
      <c r="H35">
        <v>6</v>
      </c>
      <c r="I35" s="12">
        <f>(E35-F35)*D35*G35</f>
        <v>240</v>
      </c>
      <c r="J35" s="12">
        <f>I35-H35</f>
        <v>234</v>
      </c>
    </row>
    <row r="36" spans="2:10">
      <c r="B36" t="s">
        <v>48</v>
      </c>
      <c r="C36" t="s">
        <v>24</v>
      </c>
      <c r="D36">
        <v>4</v>
      </c>
      <c r="E36" s="12">
        <f>(29.5*2+29*2)/4</f>
        <v>29.25</v>
      </c>
      <c r="F36" s="23">
        <v>22.5</v>
      </c>
      <c r="G36">
        <v>10</v>
      </c>
      <c r="H36">
        <f>3*4</f>
        <v>12</v>
      </c>
      <c r="I36" s="12">
        <f>(E36-F36)*D36*G36</f>
        <v>270</v>
      </c>
      <c r="J36" s="12">
        <f>I36-H36</f>
        <v>258</v>
      </c>
    </row>
    <row r="37" spans="2:10">
      <c r="B37" t="s">
        <v>49</v>
      </c>
      <c r="C37" t="s">
        <v>24</v>
      </c>
      <c r="D37">
        <v>2</v>
      </c>
      <c r="E37" s="12">
        <v>18.5</v>
      </c>
      <c r="F37" s="23">
        <v>11</v>
      </c>
      <c r="G37">
        <v>10</v>
      </c>
      <c r="H37">
        <f>2*3</f>
        <v>6</v>
      </c>
      <c r="I37" s="12">
        <f>(E37-F37)*D37*G37</f>
        <v>150</v>
      </c>
      <c r="J37" s="12">
        <f>I37-H37</f>
        <v>144</v>
      </c>
    </row>
    <row r="38" spans="2:10">
      <c r="B38" t="s">
        <v>50</v>
      </c>
      <c r="C38" t="s">
        <v>24</v>
      </c>
      <c r="D38">
        <v>1</v>
      </c>
      <c r="E38" s="12">
        <v>10.5</v>
      </c>
      <c r="F38" s="23">
        <v>5.5</v>
      </c>
      <c r="G38">
        <v>10</v>
      </c>
      <c r="H38">
        <v>3</v>
      </c>
      <c r="I38" s="12">
        <f>(E38-F38)*D38*G38</f>
        <v>50</v>
      </c>
      <c r="J38" s="12">
        <f>I38-H38</f>
        <v>47</v>
      </c>
    </row>
    <row r="39" spans="2:10">
      <c r="B39" t="s">
        <v>51</v>
      </c>
      <c r="C39" t="s">
        <v>24</v>
      </c>
      <c r="D39">
        <v>2</v>
      </c>
      <c r="E39" s="12">
        <v>47.5</v>
      </c>
      <c r="F39" s="23">
        <v>43.5</v>
      </c>
      <c r="G39">
        <v>10</v>
      </c>
      <c r="H39">
        <f>2*3</f>
        <v>6</v>
      </c>
      <c r="I39" s="12">
        <f>(E39-F39)*D39*G39</f>
        <v>80</v>
      </c>
      <c r="J39" s="12">
        <f>I39-H39</f>
        <v>74</v>
      </c>
    </row>
    <row r="40" spans="2:10">
      <c r="B40" t="s">
        <v>52</v>
      </c>
      <c r="C40" t="s">
        <v>18</v>
      </c>
      <c r="D40">
        <v>8</v>
      </c>
      <c r="E40" s="12">
        <f>(17.75*4+15+15.5*2+16)/8</f>
        <v>16.625</v>
      </c>
      <c r="F40" s="23">
        <v>3.5</v>
      </c>
      <c r="G40">
        <v>10</v>
      </c>
      <c r="H40">
        <f>2*8</f>
        <v>16</v>
      </c>
      <c r="I40" s="12">
        <f>(E40-F40)*D40*G40</f>
        <v>1050</v>
      </c>
      <c r="J40" s="12">
        <f>I40-H40</f>
        <v>1034</v>
      </c>
    </row>
    <row r="41" spans="2:10">
      <c r="B41" t="s">
        <v>53</v>
      </c>
      <c r="C41" s="15" t="s">
        <v>18</v>
      </c>
      <c r="D41">
        <v>6</v>
      </c>
      <c r="E41" s="12">
        <v>21.8333333333333</v>
      </c>
      <c r="F41" s="23">
        <v>21</v>
      </c>
      <c r="G41">
        <v>10</v>
      </c>
      <c r="H41">
        <v>12</v>
      </c>
      <c r="I41" s="12">
        <f>(E41-F41)*D41*G41</f>
        <v>49.999999999998</v>
      </c>
      <c r="J41" s="12">
        <f>I41-H41</f>
        <v>37.999999999998</v>
      </c>
    </row>
    <row r="42" spans="2:10">
      <c r="B42" t="s">
        <v>54</v>
      </c>
      <c r="C42" t="s">
        <v>18</v>
      </c>
      <c r="D42">
        <v>12</v>
      </c>
      <c r="E42" s="12">
        <f>(37*2+37.5*2+32*4+32.5*4)/12</f>
        <v>33.9166666666667</v>
      </c>
      <c r="F42" s="23">
        <v>29.5</v>
      </c>
      <c r="G42">
        <v>10</v>
      </c>
      <c r="H42">
        <f>2*12</f>
        <v>24</v>
      </c>
      <c r="I42" s="12">
        <f>(E42-F42)*D42*G42</f>
        <v>530</v>
      </c>
      <c r="J42" s="12">
        <f>I42-H42</f>
        <v>506</v>
      </c>
    </row>
    <row r="43" spans="2:10">
      <c r="B43" t="s">
        <v>55</v>
      </c>
      <c r="C43" t="s">
        <v>18</v>
      </c>
      <c r="D43">
        <v>2</v>
      </c>
      <c r="E43" s="12">
        <v>41.75</v>
      </c>
      <c r="F43" s="23">
        <v>19.5</v>
      </c>
      <c r="G43">
        <v>10</v>
      </c>
      <c r="H43">
        <f>2*6</f>
        <v>12</v>
      </c>
      <c r="I43" s="12">
        <f>(E43-F43)*D43*G43</f>
        <v>445</v>
      </c>
      <c r="J43" s="12">
        <f>I43-H43</f>
        <v>433</v>
      </c>
    </row>
    <row r="44" spans="2:10">
      <c r="B44" t="s">
        <v>56</v>
      </c>
      <c r="C44" t="s">
        <v>11</v>
      </c>
      <c r="D44">
        <v>1</v>
      </c>
      <c r="E44" s="12">
        <v>34</v>
      </c>
      <c r="F44" s="23">
        <v>23</v>
      </c>
      <c r="G44">
        <v>5</v>
      </c>
      <c r="H44">
        <v>8</v>
      </c>
      <c r="I44" s="12">
        <f>(E44-F44)*D44*G44</f>
        <v>55</v>
      </c>
      <c r="J44" s="12">
        <f>I44-H44</f>
        <v>47</v>
      </c>
    </row>
    <row r="45" spans="2:10">
      <c r="B45" t="s">
        <v>57</v>
      </c>
      <c r="C45" t="s">
        <v>18</v>
      </c>
      <c r="D45">
        <v>2</v>
      </c>
      <c r="E45" s="12">
        <v>37.5</v>
      </c>
      <c r="F45" s="23">
        <v>35</v>
      </c>
      <c r="G45">
        <v>5</v>
      </c>
      <c r="H45">
        <f>2*3.2</f>
        <v>6.4</v>
      </c>
      <c r="I45" s="12">
        <f>(E45-F45)*D45*G45</f>
        <v>25</v>
      </c>
      <c r="J45" s="12">
        <f>I45-H45</f>
        <v>18.6</v>
      </c>
    </row>
    <row r="46" s="15" customFormat="1" spans="1:10">
      <c r="A46" s="22"/>
      <c r="B46" t="s">
        <v>58</v>
      </c>
      <c r="C46" t="s">
        <v>18</v>
      </c>
      <c r="D46">
        <v>3</v>
      </c>
      <c r="E46" s="12">
        <f>(31.5*2+30.5)/3</f>
        <v>31.1666666666667</v>
      </c>
      <c r="F46" s="23">
        <v>28</v>
      </c>
      <c r="G46">
        <v>5</v>
      </c>
      <c r="H46">
        <f>3.2*3</f>
        <v>9.6</v>
      </c>
      <c r="I46" s="12">
        <f>(E46-F46)*D46*G46</f>
        <v>47.5</v>
      </c>
      <c r="J46" s="12">
        <f>I46-H46</f>
        <v>37.9</v>
      </c>
    </row>
    <row r="47" spans="2:10">
      <c r="B47" s="15" t="s">
        <v>59</v>
      </c>
      <c r="C47" s="15" t="s">
        <v>14</v>
      </c>
      <c r="D47" s="15">
        <v>7</v>
      </c>
      <c r="E47" s="17">
        <v>422</v>
      </c>
      <c r="F47" s="23">
        <v>481</v>
      </c>
      <c r="G47" s="15">
        <v>3</v>
      </c>
      <c r="H47" s="15">
        <v>56</v>
      </c>
      <c r="I47" s="17">
        <f>(E47-F47)*D47*G47</f>
        <v>-1239</v>
      </c>
      <c r="J47" s="17">
        <f>I47-H47</f>
        <v>-1295</v>
      </c>
    </row>
    <row r="48" spans="2:10">
      <c r="B48" t="s">
        <v>60</v>
      </c>
      <c r="C48" s="15" t="s">
        <v>14</v>
      </c>
      <c r="D48">
        <v>9</v>
      </c>
      <c r="E48" s="12">
        <v>343</v>
      </c>
      <c r="F48" s="23">
        <v>353</v>
      </c>
      <c r="G48">
        <v>3</v>
      </c>
      <c r="H48">
        <v>72</v>
      </c>
      <c r="I48" s="12">
        <f>(E48-F48)*D48*G48</f>
        <v>-270</v>
      </c>
      <c r="J48" s="12">
        <f>I48-H48</f>
        <v>-342</v>
      </c>
    </row>
    <row r="49" s="21" customFormat="1" spans="1:10">
      <c r="A49" s="22"/>
      <c r="B49" t="s">
        <v>61</v>
      </c>
      <c r="C49" s="15" t="s">
        <v>14</v>
      </c>
      <c r="D49">
        <v>11</v>
      </c>
      <c r="E49" s="12">
        <v>248.090909090909</v>
      </c>
      <c r="F49" s="23">
        <v>234</v>
      </c>
      <c r="G49">
        <v>3</v>
      </c>
      <c r="H49">
        <v>88</v>
      </c>
      <c r="I49" s="12">
        <f>(E49-F49)*D49*G49</f>
        <v>464.999999999997</v>
      </c>
      <c r="J49" s="12">
        <f>I49-H49</f>
        <v>376.999999999997</v>
      </c>
    </row>
    <row r="50" s="15" customFormat="1" spans="1:10">
      <c r="A50" s="22"/>
      <c r="B50" s="15" t="s">
        <v>62</v>
      </c>
      <c r="C50" s="15" t="s">
        <v>14</v>
      </c>
      <c r="D50" s="11">
        <v>27</v>
      </c>
      <c r="E50" s="20">
        <f>(183.43*21+175*4+185*2)/27</f>
        <v>182.297407407407</v>
      </c>
      <c r="F50" s="25">
        <v>175</v>
      </c>
      <c r="G50" s="11">
        <v>3</v>
      </c>
      <c r="H50" s="11">
        <f>27*8</f>
        <v>216</v>
      </c>
      <c r="I50" s="20">
        <f>(E50-F50)*D50*G50</f>
        <v>591.090000000002</v>
      </c>
      <c r="J50" s="20">
        <f>I50-H50</f>
        <v>375.090000000002</v>
      </c>
    </row>
    <row r="51" s="11" customFormat="1" spans="1:10">
      <c r="A51" s="22"/>
      <c r="B51" s="15" t="s">
        <v>63</v>
      </c>
      <c r="C51" s="15" t="s">
        <v>14</v>
      </c>
      <c r="D51" s="15">
        <v>48</v>
      </c>
      <c r="E51" s="17">
        <f>(138*23+140*6+132*5+138*2+135*2+136*2+175*2+145*2+140*2+139*2)/48</f>
        <v>139.375</v>
      </c>
      <c r="F51" s="25">
        <v>120</v>
      </c>
      <c r="G51" s="15">
        <v>3</v>
      </c>
      <c r="H51" s="15">
        <f>8*40</f>
        <v>320</v>
      </c>
      <c r="I51" s="17">
        <f>(E51-F51)*D51*G51</f>
        <v>2790</v>
      </c>
      <c r="J51" s="17">
        <f>I51-H51</f>
        <v>2470</v>
      </c>
    </row>
    <row r="52" s="15" customFormat="1" spans="1:10">
      <c r="A52" s="11"/>
      <c r="B52" s="11" t="s">
        <v>64</v>
      </c>
      <c r="C52" s="11" t="s">
        <v>11</v>
      </c>
      <c r="D52" s="11">
        <v>1</v>
      </c>
      <c r="E52" s="20">
        <v>445</v>
      </c>
      <c r="F52" s="23">
        <v>53</v>
      </c>
      <c r="G52" s="11">
        <v>3</v>
      </c>
      <c r="H52" s="11">
        <f>1*8</f>
        <v>8</v>
      </c>
      <c r="I52" s="20">
        <f>(E52-F52)*D52*G52</f>
        <v>1176</v>
      </c>
      <c r="J52" s="20">
        <f>I52-H52</f>
        <v>1168</v>
      </c>
    </row>
    <row r="53" s="11" customFormat="1" spans="1:10">
      <c r="A53" s="22"/>
      <c r="B53" s="16" t="s">
        <v>65</v>
      </c>
      <c r="C53" s="15" t="s">
        <v>18</v>
      </c>
      <c r="D53" s="15">
        <v>1</v>
      </c>
      <c r="E53" s="17">
        <v>130</v>
      </c>
      <c r="F53" s="23">
        <v>99</v>
      </c>
      <c r="G53" s="15">
        <v>3</v>
      </c>
      <c r="H53" s="15">
        <v>8</v>
      </c>
      <c r="I53" s="20">
        <f>(E53-F53)*D53*G53</f>
        <v>93</v>
      </c>
      <c r="J53" s="20">
        <f>I53-H53</f>
        <v>85</v>
      </c>
    </row>
    <row r="54" s="21" customFormat="1" spans="1:10">
      <c r="A54" s="22"/>
      <c r="B54" s="15" t="s">
        <v>66</v>
      </c>
      <c r="C54" s="15" t="s">
        <v>14</v>
      </c>
      <c r="D54" s="15">
        <v>46</v>
      </c>
      <c r="E54" s="17">
        <f>(180.272727272727*33+151*12+150)/46</f>
        <v>171.978260869565</v>
      </c>
      <c r="F54" s="23">
        <v>117</v>
      </c>
      <c r="G54" s="15">
        <v>3</v>
      </c>
      <c r="H54" s="15">
        <f>46*8</f>
        <v>368</v>
      </c>
      <c r="I54" s="17">
        <f>(E54-F54)*D54*G54</f>
        <v>7586.99999999997</v>
      </c>
      <c r="J54" s="17">
        <f>I54-H54</f>
        <v>7218.99999999997</v>
      </c>
    </row>
    <row r="55" s="11" customFormat="1" spans="1:10">
      <c r="A55" s="22"/>
      <c r="B55" s="15" t="s">
        <v>67</v>
      </c>
      <c r="C55" s="15" t="s">
        <v>14</v>
      </c>
      <c r="D55" s="11">
        <v>86</v>
      </c>
      <c r="E55" s="20">
        <f>(331.875*24+232.5*4+182.069*58)/86</f>
        <v>226.220953488372</v>
      </c>
      <c r="F55" s="25">
        <v>177</v>
      </c>
      <c r="G55" s="11">
        <v>3</v>
      </c>
      <c r="H55" s="11">
        <f>8*86</f>
        <v>688</v>
      </c>
      <c r="I55" s="20">
        <f>(E55-F55)*D55*G55</f>
        <v>12699.006</v>
      </c>
      <c r="J55" s="20">
        <f>I55-H55</f>
        <v>12011.006</v>
      </c>
    </row>
    <row r="56" s="21" customFormat="1" spans="1:10">
      <c r="A56" s="22"/>
      <c r="B56" s="15" t="s">
        <v>68</v>
      </c>
      <c r="C56" s="15" t="s">
        <v>14</v>
      </c>
      <c r="D56">
        <v>24</v>
      </c>
      <c r="E56" s="12">
        <v>378.291666666667</v>
      </c>
      <c r="F56" s="23">
        <v>223</v>
      </c>
      <c r="G56">
        <v>3</v>
      </c>
      <c r="H56">
        <v>192</v>
      </c>
      <c r="I56" s="12">
        <f>(E56-F56)*D56*G56</f>
        <v>11181</v>
      </c>
      <c r="J56" s="12">
        <f>I56-H56</f>
        <v>10989</v>
      </c>
    </row>
    <row r="57" s="11" customFormat="1" spans="1:10">
      <c r="A57" s="22"/>
      <c r="B57" s="15" t="s">
        <v>69</v>
      </c>
      <c r="C57" s="15" t="s">
        <v>14</v>
      </c>
      <c r="D57" s="11">
        <v>17</v>
      </c>
      <c r="E57" s="20">
        <f>(481.4*8+2360+247*2)/17</f>
        <v>394.423529411765</v>
      </c>
      <c r="F57" s="25">
        <v>249</v>
      </c>
      <c r="G57" s="11">
        <v>3</v>
      </c>
      <c r="H57" s="15">
        <f>8*17</f>
        <v>136</v>
      </c>
      <c r="I57" s="20">
        <f>(E57-F57)*D57*G57</f>
        <v>7416.6</v>
      </c>
      <c r="J57" s="20">
        <f>I57-H57</f>
        <v>7280.6</v>
      </c>
    </row>
    <row r="58" s="21" customFormat="1" spans="1:10">
      <c r="A58" s="22"/>
      <c r="B58" t="s">
        <v>70</v>
      </c>
      <c r="C58" s="15" t="s">
        <v>14</v>
      </c>
      <c r="D58">
        <v>11</v>
      </c>
      <c r="E58" s="12">
        <v>497.3636364</v>
      </c>
      <c r="F58" s="23">
        <v>356</v>
      </c>
      <c r="G58">
        <v>3</v>
      </c>
      <c r="H58" s="15">
        <v>88</v>
      </c>
      <c r="I58" s="12">
        <f>(E58-F58)*D58*G58</f>
        <v>4665.0000012</v>
      </c>
      <c r="J58" s="12">
        <f>I58-H58</f>
        <v>4577.0000012</v>
      </c>
    </row>
    <row r="59" s="11" customFormat="1" spans="1:10">
      <c r="A59" s="22"/>
      <c r="B59" s="15" t="s">
        <v>71</v>
      </c>
      <c r="C59" s="15" t="s">
        <v>14</v>
      </c>
      <c r="D59" s="11">
        <v>4</v>
      </c>
      <c r="E59" s="20">
        <f>(707*2+540*2)/4</f>
        <v>623.5</v>
      </c>
      <c r="F59" s="25">
        <v>503</v>
      </c>
      <c r="G59" s="11">
        <v>3</v>
      </c>
      <c r="H59" s="15">
        <f>4*8</f>
        <v>32</v>
      </c>
      <c r="I59" s="20">
        <f>(E59-F59)*D59*G59</f>
        <v>1446</v>
      </c>
      <c r="J59" s="20">
        <f>I59-H59</f>
        <v>1414</v>
      </c>
    </row>
    <row r="60" spans="2:10">
      <c r="B60" t="s">
        <v>72</v>
      </c>
      <c r="C60" t="s">
        <v>11</v>
      </c>
      <c r="D60">
        <v>8</v>
      </c>
      <c r="E60" s="12">
        <f>(40*3+28*3+27*2)/8</f>
        <v>32.25</v>
      </c>
      <c r="F60" s="23">
        <v>8</v>
      </c>
      <c r="G60">
        <v>10</v>
      </c>
      <c r="H60">
        <f>8*8</f>
        <v>64</v>
      </c>
      <c r="I60" s="12">
        <f>(E60-F60)*D60*G60</f>
        <v>1940</v>
      </c>
      <c r="J60" s="12">
        <f>I60-H60</f>
        <v>1876</v>
      </c>
    </row>
    <row r="61" spans="2:10">
      <c r="B61" t="s">
        <v>73</v>
      </c>
      <c r="C61" t="s">
        <v>11</v>
      </c>
      <c r="D61">
        <v>8</v>
      </c>
      <c r="E61" s="12">
        <f>(54.5+31*3+29.5*3+22)/8</f>
        <v>32.25</v>
      </c>
      <c r="F61" s="23">
        <v>12</v>
      </c>
      <c r="G61">
        <v>10</v>
      </c>
      <c r="H61">
        <f>7*8</f>
        <v>56</v>
      </c>
      <c r="I61" s="12">
        <f>(E61-F61)*D61*G61</f>
        <v>1620</v>
      </c>
      <c r="J61" s="12">
        <f>I61-H61</f>
        <v>1564</v>
      </c>
    </row>
    <row r="62" spans="2:10">
      <c r="B62" t="s">
        <v>74</v>
      </c>
      <c r="C62" t="s">
        <v>18</v>
      </c>
      <c r="D62">
        <v>1</v>
      </c>
      <c r="E62" s="12">
        <v>39</v>
      </c>
      <c r="F62" s="23">
        <v>8.5</v>
      </c>
      <c r="G62">
        <v>10</v>
      </c>
      <c r="H62">
        <v>3.2</v>
      </c>
      <c r="I62" s="12">
        <f>(E62-F62)*D62*G62</f>
        <v>305</v>
      </c>
      <c r="J62" s="12">
        <f>I62-H62</f>
        <v>301.8</v>
      </c>
    </row>
    <row r="63" spans="2:10">
      <c r="B63" t="s">
        <v>75</v>
      </c>
      <c r="C63" t="s">
        <v>18</v>
      </c>
      <c r="D63">
        <v>3</v>
      </c>
      <c r="E63" s="12">
        <f>(27+26.5+26.5)/3</f>
        <v>26.6666666666667</v>
      </c>
      <c r="F63" s="23">
        <v>13.5</v>
      </c>
      <c r="G63">
        <v>10</v>
      </c>
      <c r="H63">
        <f>3.2*3</f>
        <v>9.6</v>
      </c>
      <c r="I63" s="12">
        <f>(E63-F63)*D63*G63</f>
        <v>395</v>
      </c>
      <c r="J63" s="12">
        <f>I63-H63</f>
        <v>385.4</v>
      </c>
    </row>
    <row r="64" spans="2:10">
      <c r="B64" t="s">
        <v>76</v>
      </c>
      <c r="C64" t="s">
        <v>18</v>
      </c>
      <c r="D64">
        <v>4</v>
      </c>
      <c r="E64" s="12">
        <f>(21*2+20*2)/4</f>
        <v>20.5</v>
      </c>
      <c r="F64" s="23">
        <v>6</v>
      </c>
      <c r="G64">
        <v>5</v>
      </c>
      <c r="H64">
        <f>2*4</f>
        <v>8</v>
      </c>
      <c r="I64" s="12">
        <f>(E64-F64)*D64*G64</f>
        <v>290</v>
      </c>
      <c r="J64" s="12">
        <f>I64-H64</f>
        <v>282</v>
      </c>
    </row>
    <row r="65" spans="2:10">
      <c r="B65" t="s">
        <v>77</v>
      </c>
      <c r="C65" t="s">
        <v>18</v>
      </c>
      <c r="D65">
        <v>7</v>
      </c>
      <c r="E65" s="12">
        <f>(23+22.5+29+28+27.5+16.5*2)/7</f>
        <v>23.2857142857143</v>
      </c>
      <c r="F65" s="23">
        <v>7</v>
      </c>
      <c r="G65">
        <v>30</v>
      </c>
      <c r="H65">
        <f>7*8</f>
        <v>56</v>
      </c>
      <c r="I65" s="12">
        <f>(E65-F65)*D65*G65</f>
        <v>3420</v>
      </c>
      <c r="J65" s="12">
        <f>I65-H65</f>
        <v>3364</v>
      </c>
    </row>
    <row r="66" spans="2:10">
      <c r="B66" t="s">
        <v>78</v>
      </c>
      <c r="C66" t="s">
        <v>18</v>
      </c>
      <c r="D66">
        <v>5</v>
      </c>
      <c r="E66" s="12">
        <f>(24+22.5*4)/5</f>
        <v>22.8</v>
      </c>
      <c r="F66" s="23">
        <v>11</v>
      </c>
      <c r="G66">
        <v>30</v>
      </c>
      <c r="H66">
        <f>5*8</f>
        <v>40</v>
      </c>
      <c r="I66" s="12">
        <f>(E66-F66)*D66*G66</f>
        <v>1770</v>
      </c>
      <c r="J66" s="12">
        <f>I66-H66</f>
        <v>1730</v>
      </c>
    </row>
    <row r="67" spans="2:10">
      <c r="B67" t="s">
        <v>79</v>
      </c>
      <c r="C67" t="s">
        <v>18</v>
      </c>
      <c r="D67">
        <v>2</v>
      </c>
      <c r="E67" s="12">
        <v>27.5</v>
      </c>
      <c r="F67" s="23">
        <v>16</v>
      </c>
      <c r="G67">
        <v>30</v>
      </c>
      <c r="H67">
        <f>2*8</f>
        <v>16</v>
      </c>
      <c r="I67" s="12">
        <f>(E67-F67)*D67*G67</f>
        <v>690</v>
      </c>
      <c r="J67" s="12">
        <f>I67-H67</f>
        <v>674</v>
      </c>
    </row>
    <row r="68" spans="2:10">
      <c r="B68" t="s">
        <v>80</v>
      </c>
      <c r="C68" s="15" t="s">
        <v>18</v>
      </c>
      <c r="D68">
        <v>2</v>
      </c>
      <c r="E68" s="12">
        <v>23.25</v>
      </c>
      <c r="F68" s="23">
        <v>22.5</v>
      </c>
      <c r="G68">
        <v>30</v>
      </c>
      <c r="H68">
        <v>32</v>
      </c>
      <c r="I68" s="12">
        <f>(E68-F68)*D68*G68</f>
        <v>45</v>
      </c>
      <c r="J68" s="12">
        <f>I68-H68</f>
        <v>13</v>
      </c>
    </row>
    <row r="69" spans="2:10">
      <c r="B69" t="s">
        <v>81</v>
      </c>
      <c r="C69" t="s">
        <v>18</v>
      </c>
      <c r="D69">
        <v>4</v>
      </c>
      <c r="E69" s="12">
        <f>(28*2+29*2)/4</f>
        <v>28.5</v>
      </c>
      <c r="F69" s="23">
        <v>7</v>
      </c>
      <c r="G69">
        <v>5</v>
      </c>
      <c r="H69">
        <f>2*4</f>
        <v>8</v>
      </c>
      <c r="I69" s="12">
        <f>(E69-F69)*D69*G69</f>
        <v>430</v>
      </c>
      <c r="J69" s="12">
        <f>I69-H69</f>
        <v>422</v>
      </c>
    </row>
    <row r="70" spans="2:10">
      <c r="B70" t="s">
        <v>82</v>
      </c>
      <c r="C70" t="s">
        <v>11</v>
      </c>
      <c r="D70">
        <v>1</v>
      </c>
      <c r="E70" s="12">
        <v>620</v>
      </c>
      <c r="F70" s="23">
        <v>352</v>
      </c>
      <c r="G70">
        <v>1</v>
      </c>
      <c r="H70">
        <v>6</v>
      </c>
      <c r="I70" s="12">
        <f>(E70-F70)*D70*G70</f>
        <v>268</v>
      </c>
      <c r="J70" s="12">
        <f>I70-H70</f>
        <v>262</v>
      </c>
    </row>
    <row r="71" spans="2:10">
      <c r="B71" t="s">
        <v>83</v>
      </c>
      <c r="C71" t="s">
        <v>18</v>
      </c>
      <c r="D71">
        <v>6</v>
      </c>
      <c r="E71" s="12">
        <v>8.58333333</v>
      </c>
      <c r="F71" s="23">
        <v>5</v>
      </c>
      <c r="G71">
        <v>10</v>
      </c>
      <c r="H71">
        <f>18+18</f>
        <v>36</v>
      </c>
      <c r="I71" s="12">
        <f>(E71-F71)*D71*G71</f>
        <v>214.9999998</v>
      </c>
      <c r="J71" s="12">
        <f>I71-H71</f>
        <v>178.9999998</v>
      </c>
    </row>
    <row r="72" spans="2:10">
      <c r="B72" t="s">
        <v>84</v>
      </c>
      <c r="C72" t="s">
        <v>18</v>
      </c>
      <c r="D72">
        <v>1</v>
      </c>
      <c r="E72" s="12">
        <v>42.5</v>
      </c>
      <c r="F72" s="23">
        <v>19</v>
      </c>
      <c r="G72">
        <v>5</v>
      </c>
      <c r="H72">
        <v>2</v>
      </c>
      <c r="I72" s="12">
        <f>(E72-F72)*D72*G72</f>
        <v>117.5</v>
      </c>
      <c r="J72" s="12">
        <f>I72-H72</f>
        <v>115.5</v>
      </c>
    </row>
    <row r="73" spans="2:10">
      <c r="B73" t="s">
        <v>85</v>
      </c>
      <c r="C73" t="s">
        <v>18</v>
      </c>
      <c r="D73">
        <v>2</v>
      </c>
      <c r="E73" s="12">
        <f>(32.5+32)/2</f>
        <v>32.25</v>
      </c>
      <c r="F73" s="23">
        <v>13.5</v>
      </c>
      <c r="G73">
        <v>5</v>
      </c>
      <c r="H73">
        <f>2*2</f>
        <v>4</v>
      </c>
      <c r="I73" s="12">
        <f>(E73-F73)*D73*G73</f>
        <v>187.5</v>
      </c>
      <c r="J73" s="12">
        <f>I73-H73</f>
        <v>183.5</v>
      </c>
    </row>
    <row r="74" spans="2:10">
      <c r="B74" t="s">
        <v>86</v>
      </c>
      <c r="C74" t="s">
        <v>18</v>
      </c>
      <c r="D74">
        <v>3</v>
      </c>
      <c r="E74" s="12">
        <f>(88+24.5+24)/3</f>
        <v>45.5</v>
      </c>
      <c r="F74" s="23">
        <v>10</v>
      </c>
      <c r="G74">
        <v>5</v>
      </c>
      <c r="H74">
        <f>2*3</f>
        <v>6</v>
      </c>
      <c r="I74" s="12">
        <f>(E74-F74)*D74*G74</f>
        <v>532.5</v>
      </c>
      <c r="J74" s="12">
        <f>I74-H74</f>
        <v>526.5</v>
      </c>
    </row>
    <row r="75" spans="2:10">
      <c r="B75" t="s">
        <v>87</v>
      </c>
      <c r="C75" t="s">
        <v>18</v>
      </c>
      <c r="D75">
        <v>3</v>
      </c>
      <c r="E75" s="12">
        <f>(20+19.5+13.5)/3</f>
        <v>17.6666666666667</v>
      </c>
      <c r="F75" s="23">
        <v>7</v>
      </c>
      <c r="G75">
        <v>5</v>
      </c>
      <c r="H75">
        <f>2*3</f>
        <v>6</v>
      </c>
      <c r="I75" s="12">
        <f>(E75-F75)*D75*G75</f>
        <v>160</v>
      </c>
      <c r="J75" s="12">
        <f>I75-H75</f>
        <v>154</v>
      </c>
    </row>
    <row r="76" spans="2:10">
      <c r="B76" t="s">
        <v>88</v>
      </c>
      <c r="C76" t="s">
        <v>18</v>
      </c>
      <c r="D76">
        <v>2</v>
      </c>
      <c r="E76" s="12">
        <f>(16+11)/2</f>
        <v>13.5</v>
      </c>
      <c r="F76" s="23">
        <v>6.5</v>
      </c>
      <c r="G76">
        <v>5</v>
      </c>
      <c r="H76">
        <f>2*2</f>
        <v>4</v>
      </c>
      <c r="I76" s="12">
        <f>(E76-F76)*D76*G76</f>
        <v>70</v>
      </c>
      <c r="J76" s="12">
        <f>I76-H76</f>
        <v>66</v>
      </c>
    </row>
    <row r="77" spans="2:10">
      <c r="B77" t="s">
        <v>89</v>
      </c>
      <c r="C77" t="s">
        <v>18</v>
      </c>
      <c r="D77">
        <v>2</v>
      </c>
      <c r="E77" s="12">
        <v>41</v>
      </c>
      <c r="F77" s="23">
        <v>16</v>
      </c>
      <c r="G77">
        <v>5</v>
      </c>
      <c r="H77">
        <v>4</v>
      </c>
      <c r="I77" s="12">
        <f>(E77-F77)*D77*G77</f>
        <v>250</v>
      </c>
      <c r="J77" s="12">
        <f>I77-H77</f>
        <v>246</v>
      </c>
    </row>
    <row r="78" spans="2:10">
      <c r="B78" t="s">
        <v>90</v>
      </c>
      <c r="C78" t="s">
        <v>18</v>
      </c>
      <c r="D78">
        <v>9</v>
      </c>
      <c r="E78" s="12">
        <f>(56.5+56+41+40+39.5+39+38.5*2+39.5)/9</f>
        <v>43.1666666666667</v>
      </c>
      <c r="F78" s="23">
        <v>30.5</v>
      </c>
      <c r="G78">
        <v>5</v>
      </c>
      <c r="H78">
        <f>2*9</f>
        <v>18</v>
      </c>
      <c r="I78" s="12">
        <f>(E78-F78)*D78*G78</f>
        <v>570</v>
      </c>
      <c r="J78" s="12">
        <f>I78-H78</f>
        <v>552</v>
      </c>
    </row>
    <row r="79" spans="2:10">
      <c r="B79" t="s">
        <v>91</v>
      </c>
      <c r="C79" t="s">
        <v>18</v>
      </c>
      <c r="D79">
        <v>2</v>
      </c>
      <c r="E79" s="12">
        <f>(45+45.5+46+46.5)/4</f>
        <v>45.75</v>
      </c>
      <c r="F79" s="23">
        <v>42</v>
      </c>
      <c r="G79">
        <v>5</v>
      </c>
      <c r="H79">
        <f>2*2</f>
        <v>4</v>
      </c>
      <c r="I79" s="12">
        <f>(E79-F79)*D79*G79</f>
        <v>37.5</v>
      </c>
      <c r="J79" s="12">
        <f>I79-H79</f>
        <v>33.5</v>
      </c>
    </row>
    <row r="80" spans="2:10">
      <c r="B80" t="s">
        <v>92</v>
      </c>
      <c r="C80" t="s">
        <v>18</v>
      </c>
      <c r="D80">
        <v>1</v>
      </c>
      <c r="E80" s="12">
        <v>86.5</v>
      </c>
      <c r="F80" s="23">
        <v>57</v>
      </c>
      <c r="G80">
        <v>5</v>
      </c>
      <c r="H80">
        <v>2</v>
      </c>
      <c r="I80" s="12">
        <f>(E80-F80)*D80*G80</f>
        <v>147.5</v>
      </c>
      <c r="J80" s="12">
        <f>I80-H80</f>
        <v>145.5</v>
      </c>
    </row>
    <row r="81" spans="2:10">
      <c r="B81" t="s">
        <v>93</v>
      </c>
      <c r="C81" t="s">
        <v>18</v>
      </c>
      <c r="D81">
        <v>2</v>
      </c>
      <c r="E81" s="12">
        <v>35</v>
      </c>
      <c r="F81" s="23">
        <v>23</v>
      </c>
      <c r="G81">
        <v>20</v>
      </c>
      <c r="H81">
        <v>8</v>
      </c>
      <c r="I81" s="12">
        <f>(E81-F81)*D81*G81</f>
        <v>480</v>
      </c>
      <c r="J81" s="12">
        <f>I81-H81</f>
        <v>472</v>
      </c>
    </row>
    <row r="82" spans="2:10">
      <c r="B82" t="s">
        <v>94</v>
      </c>
      <c r="C82" t="s">
        <v>18</v>
      </c>
      <c r="D82">
        <v>1</v>
      </c>
      <c r="E82" s="12">
        <v>26.5</v>
      </c>
      <c r="F82" s="23">
        <v>9</v>
      </c>
      <c r="G82">
        <v>20</v>
      </c>
      <c r="H82">
        <v>4</v>
      </c>
      <c r="I82" s="12">
        <f>(E82-F82)*D82*G82</f>
        <v>350</v>
      </c>
      <c r="J82" s="12">
        <f>I82-H82</f>
        <v>346</v>
      </c>
    </row>
    <row r="83" s="6" customFormat="1" spans="1:10">
      <c r="A83" s="22"/>
      <c r="B83" t="s">
        <v>95</v>
      </c>
      <c r="C83" t="s">
        <v>18</v>
      </c>
      <c r="D83">
        <v>1</v>
      </c>
      <c r="E83" s="12">
        <v>33</v>
      </c>
      <c r="F83" s="23">
        <v>14</v>
      </c>
      <c r="G83">
        <v>20</v>
      </c>
      <c r="H83">
        <v>4</v>
      </c>
      <c r="I83" s="12">
        <f>(E83-F83)*D83*G83</f>
        <v>380</v>
      </c>
      <c r="J83" s="12">
        <f>I83-H83</f>
        <v>376</v>
      </c>
    </row>
    <row r="84" s="21" customFormat="1" spans="1:10">
      <c r="A84" s="22"/>
      <c r="B84" t="s">
        <v>96</v>
      </c>
      <c r="C84" t="s">
        <v>24</v>
      </c>
      <c r="D84">
        <v>10</v>
      </c>
      <c r="E84" s="12">
        <v>27.5</v>
      </c>
      <c r="F84" s="23">
        <v>14</v>
      </c>
      <c r="G84">
        <v>5</v>
      </c>
      <c r="H84">
        <f>2*10</f>
        <v>20</v>
      </c>
      <c r="I84" s="12">
        <f>(E84-F84)*D84*G84</f>
        <v>675</v>
      </c>
      <c r="J84" s="12">
        <f>I84-H84</f>
        <v>655</v>
      </c>
    </row>
    <row r="87" spans="1:6">
      <c r="A87" s="22" t="s">
        <v>97</v>
      </c>
      <c r="B87" s="17">
        <f>SUM(J:J)+SUM(已平仓!J:J)</f>
        <v>55218.2526676667</v>
      </c>
      <c r="E87"/>
      <c r="F87"/>
    </row>
    <row r="88" spans="5:6">
      <c r="E88"/>
      <c r="F88"/>
    </row>
  </sheetData>
  <autoFilter ref="A1:J83">
    <extLst/>
  </autoFilter>
  <sortState ref="A2:J85">
    <sortCondition ref="B2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pane ySplit="1" topLeftCell="A35" activePane="bottomLeft" state="frozen"/>
      <selection/>
      <selection pane="bottomLeft" activeCell="B73" sqref="B73"/>
    </sheetView>
  </sheetViews>
  <sheetFormatPr defaultColWidth="9" defaultRowHeight="13.5"/>
  <cols>
    <col min="1" max="1" width="13.75" customWidth="1"/>
    <col min="2" max="2" width="18.125" customWidth="1"/>
    <col min="5" max="5" width="15.25" customWidth="1"/>
    <col min="6" max="6" width="13.75" style="12" customWidth="1"/>
    <col min="7" max="7" width="14.5" customWidth="1"/>
    <col min="8" max="8" width="12.875" customWidth="1"/>
    <col min="9" max="9" width="14.75" customWidth="1"/>
    <col min="10" max="10" width="22.375" customWidth="1"/>
  </cols>
  <sheetData>
    <row r="1" s="6" customFormat="1" ht="12" customHeight="1" spans="1:10">
      <c r="A1" s="2" t="s">
        <v>98</v>
      </c>
      <c r="B1" s="6" t="s">
        <v>1</v>
      </c>
      <c r="C1" s="6" t="s">
        <v>2</v>
      </c>
      <c r="D1" s="6" t="s">
        <v>3</v>
      </c>
      <c r="E1" s="13" t="s">
        <v>4</v>
      </c>
      <c r="F1" s="13" t="s">
        <v>99</v>
      </c>
      <c r="G1" s="6" t="s">
        <v>6</v>
      </c>
      <c r="H1" s="6" t="s">
        <v>100</v>
      </c>
      <c r="I1" s="13" t="s">
        <v>101</v>
      </c>
      <c r="J1" s="13" t="s">
        <v>102</v>
      </c>
    </row>
    <row r="2" spans="1:10">
      <c r="A2" s="4">
        <v>45818</v>
      </c>
      <c r="B2" t="s">
        <v>103</v>
      </c>
      <c r="C2" t="s">
        <v>24</v>
      </c>
      <c r="D2">
        <v>1</v>
      </c>
      <c r="E2">
        <v>14.5</v>
      </c>
      <c r="F2" s="12">
        <v>18</v>
      </c>
      <c r="G2">
        <v>10</v>
      </c>
      <c r="H2">
        <f>2*2</f>
        <v>4</v>
      </c>
      <c r="I2" s="12">
        <f t="shared" ref="I2:I8" si="0">(E2-F2)*D2*G2</f>
        <v>-35</v>
      </c>
      <c r="J2" s="12">
        <f t="shared" ref="J2:J8" si="1">I2-H2</f>
        <v>-39</v>
      </c>
    </row>
    <row r="3" spans="1:10">
      <c r="A3" s="5">
        <v>45821</v>
      </c>
      <c r="B3" t="s">
        <v>104</v>
      </c>
      <c r="C3" t="s">
        <v>18</v>
      </c>
      <c r="D3">
        <v>4</v>
      </c>
      <c r="E3">
        <v>33.55</v>
      </c>
      <c r="F3" s="12">
        <v>109</v>
      </c>
      <c r="G3">
        <v>5</v>
      </c>
      <c r="H3">
        <f>2*4*2</f>
        <v>16</v>
      </c>
      <c r="I3" s="12">
        <f t="shared" si="0"/>
        <v>-1509</v>
      </c>
      <c r="J3" s="12">
        <f t="shared" si="1"/>
        <v>-1525</v>
      </c>
    </row>
    <row r="4" spans="1:10">
      <c r="A4" s="5">
        <v>45826</v>
      </c>
      <c r="B4" t="s">
        <v>104</v>
      </c>
      <c r="C4" t="s">
        <v>18</v>
      </c>
      <c r="D4">
        <v>5</v>
      </c>
      <c r="E4">
        <v>33.55</v>
      </c>
      <c r="F4" s="12">
        <v>151.7</v>
      </c>
      <c r="G4">
        <v>5</v>
      </c>
      <c r="H4">
        <f>2*5+2*5</f>
        <v>20</v>
      </c>
      <c r="I4" s="12">
        <f t="shared" si="0"/>
        <v>-2953.75</v>
      </c>
      <c r="J4" s="12">
        <f t="shared" si="1"/>
        <v>-2973.75</v>
      </c>
    </row>
    <row r="5" spans="1:10">
      <c r="A5" s="5">
        <v>45826</v>
      </c>
      <c r="B5" t="s">
        <v>105</v>
      </c>
      <c r="C5" t="s">
        <v>24</v>
      </c>
      <c r="D5">
        <v>1</v>
      </c>
      <c r="E5">
        <v>18.67</v>
      </c>
      <c r="F5" s="12">
        <v>32</v>
      </c>
      <c r="G5">
        <v>10</v>
      </c>
      <c r="H5">
        <f>2*1*2</f>
        <v>4</v>
      </c>
      <c r="I5" s="12">
        <f t="shared" si="0"/>
        <v>-133.3</v>
      </c>
      <c r="J5" s="12">
        <f t="shared" si="1"/>
        <v>-137.3</v>
      </c>
    </row>
    <row r="6" spans="1:10">
      <c r="A6" s="5">
        <v>45827</v>
      </c>
      <c r="B6" t="s">
        <v>105</v>
      </c>
      <c r="C6" t="s">
        <v>24</v>
      </c>
      <c r="D6">
        <v>1</v>
      </c>
      <c r="E6">
        <v>18.67</v>
      </c>
      <c r="F6" s="12">
        <v>28.5</v>
      </c>
      <c r="G6">
        <v>10</v>
      </c>
      <c r="H6">
        <f>2*1*2</f>
        <v>4</v>
      </c>
      <c r="I6" s="12">
        <f t="shared" si="0"/>
        <v>-98.3</v>
      </c>
      <c r="J6" s="12">
        <f t="shared" si="1"/>
        <v>-102.3</v>
      </c>
    </row>
    <row r="7" spans="1:10">
      <c r="A7" s="5">
        <v>45828</v>
      </c>
      <c r="B7" t="s">
        <v>106</v>
      </c>
      <c r="C7" t="s">
        <v>11</v>
      </c>
      <c r="D7">
        <v>1</v>
      </c>
      <c r="E7">
        <v>13.5</v>
      </c>
      <c r="F7" s="12">
        <v>1</v>
      </c>
      <c r="G7">
        <v>20</v>
      </c>
      <c r="H7">
        <f>14*2*1</f>
        <v>28</v>
      </c>
      <c r="I7" s="12">
        <f t="shared" si="0"/>
        <v>250</v>
      </c>
      <c r="J7" s="12">
        <f t="shared" si="1"/>
        <v>222</v>
      </c>
    </row>
    <row r="8" spans="1:10">
      <c r="A8" s="5">
        <v>45828</v>
      </c>
      <c r="B8" t="s">
        <v>105</v>
      </c>
      <c r="C8" t="s">
        <v>24</v>
      </c>
      <c r="D8">
        <v>1</v>
      </c>
      <c r="E8">
        <v>18.67</v>
      </c>
      <c r="F8" s="12">
        <v>31</v>
      </c>
      <c r="G8">
        <v>10</v>
      </c>
      <c r="H8">
        <f>2*1*2</f>
        <v>4</v>
      </c>
      <c r="I8" s="12">
        <f t="shared" si="0"/>
        <v>-123.3</v>
      </c>
      <c r="J8" s="12">
        <f t="shared" si="1"/>
        <v>-127.3</v>
      </c>
    </row>
    <row r="9" spans="1:10">
      <c r="A9" s="5">
        <v>45832</v>
      </c>
      <c r="B9" t="s">
        <v>91</v>
      </c>
      <c r="C9" t="s">
        <v>18</v>
      </c>
      <c r="D9">
        <v>2</v>
      </c>
      <c r="E9">
        <v>45.75</v>
      </c>
      <c r="F9" s="12">
        <v>57</v>
      </c>
      <c r="G9">
        <v>5</v>
      </c>
      <c r="H9">
        <f>2*2*2</f>
        <v>8</v>
      </c>
      <c r="I9" s="12">
        <f t="shared" ref="I9:I53" si="2">(E9-F9)*D9*G9</f>
        <v>-112.5</v>
      </c>
      <c r="J9" s="12">
        <f t="shared" ref="J9:J53" si="3">I9-H9</f>
        <v>-120.5</v>
      </c>
    </row>
    <row r="10" spans="1:10">
      <c r="A10" s="5">
        <v>45833</v>
      </c>
      <c r="B10" t="s">
        <v>107</v>
      </c>
      <c r="C10" t="s">
        <v>11</v>
      </c>
      <c r="D10">
        <v>2</v>
      </c>
      <c r="E10">
        <v>75</v>
      </c>
      <c r="F10" s="12">
        <f>(52+57)/2</f>
        <v>54.5</v>
      </c>
      <c r="G10">
        <v>15</v>
      </c>
      <c r="H10">
        <f>2*2*8</f>
        <v>32</v>
      </c>
      <c r="I10" s="12">
        <f t="shared" si="2"/>
        <v>615</v>
      </c>
      <c r="J10" s="12">
        <f t="shared" si="3"/>
        <v>583</v>
      </c>
    </row>
    <row r="11" spans="1:10">
      <c r="A11" s="5">
        <v>45833</v>
      </c>
      <c r="B11" t="s">
        <v>108</v>
      </c>
      <c r="C11" t="s">
        <v>11</v>
      </c>
      <c r="D11">
        <v>1</v>
      </c>
      <c r="E11">
        <v>65</v>
      </c>
      <c r="F11" s="12">
        <v>100</v>
      </c>
      <c r="G11">
        <v>15</v>
      </c>
      <c r="H11">
        <f>1*2*8</f>
        <v>16</v>
      </c>
      <c r="I11" s="12">
        <f t="shared" si="2"/>
        <v>-525</v>
      </c>
      <c r="J11" s="12">
        <f t="shared" si="3"/>
        <v>-541</v>
      </c>
    </row>
    <row r="12" spans="1:10">
      <c r="A12" s="5">
        <v>45833</v>
      </c>
      <c r="B12" t="s">
        <v>109</v>
      </c>
      <c r="C12" t="s">
        <v>11</v>
      </c>
      <c r="D12">
        <v>2</v>
      </c>
      <c r="E12">
        <f>(48+28)/2</f>
        <v>38</v>
      </c>
      <c r="F12" s="12">
        <v>0</v>
      </c>
      <c r="G12">
        <v>5</v>
      </c>
      <c r="H12">
        <v>40</v>
      </c>
      <c r="I12" s="12">
        <f t="shared" si="2"/>
        <v>380</v>
      </c>
      <c r="J12" s="12">
        <f t="shared" si="3"/>
        <v>340</v>
      </c>
    </row>
    <row r="13" spans="1:10">
      <c r="A13" s="5">
        <v>45833</v>
      </c>
      <c r="B13" t="s">
        <v>110</v>
      </c>
      <c r="C13" t="s">
        <v>11</v>
      </c>
      <c r="D13">
        <v>2</v>
      </c>
      <c r="E13">
        <v>86</v>
      </c>
      <c r="F13" s="12">
        <v>0</v>
      </c>
      <c r="G13">
        <v>1</v>
      </c>
      <c r="H13">
        <v>12</v>
      </c>
      <c r="I13" s="12">
        <f t="shared" si="2"/>
        <v>172</v>
      </c>
      <c r="J13" s="12">
        <f t="shared" si="3"/>
        <v>160</v>
      </c>
    </row>
    <row r="14" spans="1:10">
      <c r="A14" s="5">
        <v>45833</v>
      </c>
      <c r="B14" t="s">
        <v>111</v>
      </c>
      <c r="C14" t="s">
        <v>11</v>
      </c>
      <c r="D14">
        <v>1</v>
      </c>
      <c r="E14">
        <v>142</v>
      </c>
      <c r="F14" s="12">
        <v>0</v>
      </c>
      <c r="G14">
        <v>2</v>
      </c>
      <c r="H14">
        <v>12</v>
      </c>
      <c r="I14" s="12">
        <f t="shared" si="2"/>
        <v>284</v>
      </c>
      <c r="J14" s="12">
        <f t="shared" si="3"/>
        <v>272</v>
      </c>
    </row>
    <row r="15" spans="1:10">
      <c r="A15" s="5">
        <v>45834</v>
      </c>
      <c r="B15" t="s">
        <v>75</v>
      </c>
      <c r="C15" t="s">
        <v>18</v>
      </c>
      <c r="D15">
        <v>1</v>
      </c>
      <c r="E15">
        <v>27</v>
      </c>
      <c r="F15" s="12">
        <v>57</v>
      </c>
      <c r="G15">
        <v>10</v>
      </c>
      <c r="H15">
        <f>3.2*1*2</f>
        <v>6.4</v>
      </c>
      <c r="I15" s="12">
        <f t="shared" si="2"/>
        <v>-300</v>
      </c>
      <c r="J15" s="12">
        <f t="shared" si="3"/>
        <v>-306.4</v>
      </c>
    </row>
    <row r="16" spans="1:10">
      <c r="A16" s="5">
        <v>45834</v>
      </c>
      <c r="B16" t="s">
        <v>112</v>
      </c>
      <c r="C16" t="s">
        <v>11</v>
      </c>
      <c r="D16">
        <v>2</v>
      </c>
      <c r="E16">
        <v>63</v>
      </c>
      <c r="F16" s="12">
        <v>63</v>
      </c>
      <c r="G16">
        <v>5</v>
      </c>
      <c r="H16">
        <f>2*2*8</f>
        <v>32</v>
      </c>
      <c r="I16" s="12">
        <f t="shared" si="2"/>
        <v>0</v>
      </c>
      <c r="J16" s="12">
        <f t="shared" si="3"/>
        <v>-32</v>
      </c>
    </row>
    <row r="17" spans="1:10">
      <c r="A17" s="5">
        <v>45835</v>
      </c>
      <c r="B17" t="s">
        <v>16</v>
      </c>
      <c r="C17" t="s">
        <v>11</v>
      </c>
      <c r="D17">
        <v>1</v>
      </c>
      <c r="E17">
        <v>39</v>
      </c>
      <c r="F17" s="12">
        <v>35</v>
      </c>
      <c r="G17">
        <v>20</v>
      </c>
      <c r="H17">
        <f>2*1*14</f>
        <v>28</v>
      </c>
      <c r="I17" s="12">
        <f t="shared" si="2"/>
        <v>80</v>
      </c>
      <c r="J17" s="12">
        <f t="shared" si="3"/>
        <v>52</v>
      </c>
    </row>
    <row r="18" spans="1:10">
      <c r="A18" s="5">
        <v>45835</v>
      </c>
      <c r="B18" t="s">
        <v>113</v>
      </c>
      <c r="C18" t="s">
        <v>11</v>
      </c>
      <c r="D18">
        <v>1</v>
      </c>
      <c r="E18">
        <v>650</v>
      </c>
      <c r="F18" s="12">
        <v>1540</v>
      </c>
      <c r="G18">
        <v>1</v>
      </c>
      <c r="H18">
        <f>1*2*12</f>
        <v>24</v>
      </c>
      <c r="I18" s="12">
        <f t="shared" si="2"/>
        <v>-890</v>
      </c>
      <c r="J18" s="12">
        <f t="shared" si="3"/>
        <v>-914</v>
      </c>
    </row>
    <row r="19" spans="1:10">
      <c r="A19" s="5">
        <v>45835</v>
      </c>
      <c r="B19" t="s">
        <v>75</v>
      </c>
      <c r="C19" t="s">
        <v>18</v>
      </c>
      <c r="D19">
        <v>1</v>
      </c>
      <c r="E19">
        <v>27</v>
      </c>
      <c r="F19" s="12">
        <v>54.5</v>
      </c>
      <c r="G19">
        <v>10</v>
      </c>
      <c r="H19">
        <f>2*1*3.2</f>
        <v>6.4</v>
      </c>
      <c r="I19" s="12">
        <f t="shared" si="2"/>
        <v>-275</v>
      </c>
      <c r="J19" s="12">
        <f t="shared" si="3"/>
        <v>-281.4</v>
      </c>
    </row>
    <row r="20" spans="1:10">
      <c r="A20" s="5">
        <v>45838</v>
      </c>
      <c r="B20" t="s">
        <v>105</v>
      </c>
      <c r="C20" t="s">
        <v>24</v>
      </c>
      <c r="D20">
        <v>3</v>
      </c>
      <c r="E20">
        <v>18.67</v>
      </c>
      <c r="F20" s="12">
        <v>9</v>
      </c>
      <c r="G20">
        <v>10</v>
      </c>
      <c r="H20">
        <f>2*2*3</f>
        <v>12</v>
      </c>
      <c r="I20" s="12">
        <f t="shared" si="2"/>
        <v>290.1</v>
      </c>
      <c r="J20" s="12">
        <f t="shared" si="3"/>
        <v>278.1</v>
      </c>
    </row>
    <row r="21" spans="1:10">
      <c r="A21" s="5">
        <v>45839</v>
      </c>
      <c r="B21" t="s">
        <v>114</v>
      </c>
      <c r="C21" t="s">
        <v>11</v>
      </c>
      <c r="D21">
        <v>9</v>
      </c>
      <c r="E21">
        <v>48.33</v>
      </c>
      <c r="F21" s="12">
        <f>(42*2+43*7)/9</f>
        <v>42.7777777777778</v>
      </c>
      <c r="G21">
        <v>5</v>
      </c>
      <c r="H21">
        <f>2*8*9</f>
        <v>144</v>
      </c>
      <c r="I21" s="12">
        <f t="shared" si="2"/>
        <v>249.85</v>
      </c>
      <c r="J21" s="12">
        <f t="shared" si="3"/>
        <v>105.85</v>
      </c>
    </row>
    <row r="22" spans="1:10">
      <c r="A22" s="5">
        <v>45839</v>
      </c>
      <c r="B22" t="s">
        <v>112</v>
      </c>
      <c r="C22" t="s">
        <v>11</v>
      </c>
      <c r="D22">
        <v>6</v>
      </c>
      <c r="E22">
        <v>58.33</v>
      </c>
      <c r="F22" s="12">
        <f>(57*3+55*3)/6</f>
        <v>56</v>
      </c>
      <c r="G22">
        <v>5</v>
      </c>
      <c r="H22">
        <f>2*6*8</f>
        <v>96</v>
      </c>
      <c r="I22" s="12">
        <f t="shared" si="2"/>
        <v>69.8999999999999</v>
      </c>
      <c r="J22" s="12">
        <f t="shared" si="3"/>
        <v>-26.1000000000001</v>
      </c>
    </row>
    <row r="23" spans="1:10">
      <c r="A23" s="5">
        <v>45839</v>
      </c>
      <c r="B23" t="s">
        <v>115</v>
      </c>
      <c r="C23" t="s">
        <v>11</v>
      </c>
      <c r="D23">
        <v>7</v>
      </c>
      <c r="E23">
        <v>71.38</v>
      </c>
      <c r="F23" s="12">
        <f>(80*4+67+69*2)/7</f>
        <v>75</v>
      </c>
      <c r="G23">
        <v>5</v>
      </c>
      <c r="H23">
        <f>2*7*8</f>
        <v>112</v>
      </c>
      <c r="I23" s="12">
        <f t="shared" si="2"/>
        <v>-126.7</v>
      </c>
      <c r="J23" s="12">
        <f t="shared" si="3"/>
        <v>-238.7</v>
      </c>
    </row>
    <row r="24" spans="1:10">
      <c r="A24" s="5">
        <v>45839</v>
      </c>
      <c r="B24" t="s">
        <v>40</v>
      </c>
      <c r="C24" t="s">
        <v>11</v>
      </c>
      <c r="D24">
        <v>1</v>
      </c>
      <c r="E24">
        <v>595</v>
      </c>
      <c r="F24" s="12">
        <v>470</v>
      </c>
      <c r="G24">
        <v>1</v>
      </c>
      <c r="H24">
        <f>2*1*12</f>
        <v>24</v>
      </c>
      <c r="I24" s="12">
        <f t="shared" si="2"/>
        <v>125</v>
      </c>
      <c r="J24" s="12">
        <f t="shared" si="3"/>
        <v>101</v>
      </c>
    </row>
    <row r="25" spans="1:10">
      <c r="A25" s="5">
        <v>45839</v>
      </c>
      <c r="B25" t="s">
        <v>39</v>
      </c>
      <c r="C25" t="s">
        <v>11</v>
      </c>
      <c r="D25">
        <v>1</v>
      </c>
      <c r="E25">
        <v>450</v>
      </c>
      <c r="F25" s="12">
        <v>360</v>
      </c>
      <c r="G25">
        <v>1</v>
      </c>
      <c r="H25">
        <f>2*1*12</f>
        <v>24</v>
      </c>
      <c r="I25" s="12">
        <f t="shared" si="2"/>
        <v>90</v>
      </c>
      <c r="J25" s="12">
        <f t="shared" si="3"/>
        <v>66</v>
      </c>
    </row>
    <row r="26" spans="1:10">
      <c r="A26" s="5">
        <v>45839</v>
      </c>
      <c r="B26" t="s">
        <v>26</v>
      </c>
      <c r="C26" t="s">
        <v>18</v>
      </c>
      <c r="D26">
        <v>2</v>
      </c>
      <c r="E26">
        <v>11.25</v>
      </c>
      <c r="F26" s="12">
        <v>18</v>
      </c>
      <c r="G26">
        <v>20</v>
      </c>
      <c r="H26">
        <f>2*2*2</f>
        <v>8</v>
      </c>
      <c r="I26" s="12">
        <f t="shared" si="2"/>
        <v>-270</v>
      </c>
      <c r="J26" s="12">
        <f t="shared" si="3"/>
        <v>-278</v>
      </c>
    </row>
    <row r="27" spans="1:10">
      <c r="A27" s="5">
        <v>45839</v>
      </c>
      <c r="B27" t="s">
        <v>96</v>
      </c>
      <c r="C27" t="s">
        <v>24</v>
      </c>
      <c r="D27">
        <v>4</v>
      </c>
      <c r="E27">
        <v>37.63</v>
      </c>
      <c r="F27" s="12">
        <f>(65+67*3)/4</f>
        <v>66.5</v>
      </c>
      <c r="G27">
        <v>5</v>
      </c>
      <c r="H27">
        <f>2*2*4</f>
        <v>16</v>
      </c>
      <c r="I27" s="12">
        <f t="shared" si="2"/>
        <v>-577.4</v>
      </c>
      <c r="J27" s="12">
        <f t="shared" si="3"/>
        <v>-593.4</v>
      </c>
    </row>
    <row r="28" spans="1:10">
      <c r="A28" s="5">
        <v>45840</v>
      </c>
      <c r="B28" t="s">
        <v>116</v>
      </c>
      <c r="C28" t="s">
        <v>11</v>
      </c>
      <c r="D28">
        <v>1</v>
      </c>
      <c r="E28">
        <v>26.5</v>
      </c>
      <c r="F28" s="12">
        <v>83</v>
      </c>
      <c r="G28">
        <v>20</v>
      </c>
      <c r="H28">
        <f>2*1*14</f>
        <v>28</v>
      </c>
      <c r="I28" s="12">
        <f t="shared" si="2"/>
        <v>-1130</v>
      </c>
      <c r="J28" s="12">
        <f t="shared" si="3"/>
        <v>-1158</v>
      </c>
    </row>
    <row r="29" spans="1:10">
      <c r="A29" s="5">
        <v>45840</v>
      </c>
      <c r="B29" t="s">
        <v>117</v>
      </c>
      <c r="C29" t="s">
        <v>11</v>
      </c>
      <c r="D29">
        <v>6</v>
      </c>
      <c r="E29">
        <v>54.36</v>
      </c>
      <c r="F29" s="12">
        <f>(103+104+90.5+90+89*2)/6</f>
        <v>94.25</v>
      </c>
      <c r="G29">
        <v>20</v>
      </c>
      <c r="H29">
        <f>2*6*14</f>
        <v>168</v>
      </c>
      <c r="I29" s="12">
        <f t="shared" si="2"/>
        <v>-4786.8</v>
      </c>
      <c r="J29" s="12">
        <f t="shared" si="3"/>
        <v>-4954.8</v>
      </c>
    </row>
    <row r="30" spans="1:10">
      <c r="A30" s="5">
        <v>45840</v>
      </c>
      <c r="B30" t="s">
        <v>118</v>
      </c>
      <c r="C30" t="s">
        <v>18</v>
      </c>
      <c r="D30">
        <v>4</v>
      </c>
      <c r="E30">
        <v>19.75</v>
      </c>
      <c r="F30" s="12">
        <f>(48+47+44*2)/4</f>
        <v>45.75</v>
      </c>
      <c r="G30">
        <v>20</v>
      </c>
      <c r="H30">
        <f>2*2*4</f>
        <v>16</v>
      </c>
      <c r="I30" s="12">
        <f t="shared" si="2"/>
        <v>-2080</v>
      </c>
      <c r="J30" s="12">
        <f t="shared" si="3"/>
        <v>-2096</v>
      </c>
    </row>
    <row r="31" spans="1:10">
      <c r="A31" s="5">
        <v>45840</v>
      </c>
      <c r="B31" t="s">
        <v>45</v>
      </c>
      <c r="C31" t="s">
        <v>24</v>
      </c>
      <c r="D31">
        <v>1</v>
      </c>
      <c r="E31">
        <v>35</v>
      </c>
      <c r="F31" s="12">
        <v>30</v>
      </c>
      <c r="G31">
        <v>16</v>
      </c>
      <c r="H31">
        <f>2*1*6</f>
        <v>12</v>
      </c>
      <c r="I31" s="12">
        <f t="shared" si="2"/>
        <v>80</v>
      </c>
      <c r="J31" s="12">
        <f t="shared" si="3"/>
        <v>68</v>
      </c>
    </row>
    <row r="32" spans="1:10">
      <c r="A32" s="5">
        <v>45840</v>
      </c>
      <c r="B32" t="s">
        <v>119</v>
      </c>
      <c r="C32" t="s">
        <v>11</v>
      </c>
      <c r="D32">
        <v>2</v>
      </c>
      <c r="E32">
        <v>206</v>
      </c>
      <c r="F32" s="12">
        <v>430</v>
      </c>
      <c r="G32">
        <v>3</v>
      </c>
      <c r="H32">
        <f>2*2*8</f>
        <v>32</v>
      </c>
      <c r="I32" s="12">
        <f t="shared" si="2"/>
        <v>-1344</v>
      </c>
      <c r="J32" s="12">
        <f t="shared" si="3"/>
        <v>-1376</v>
      </c>
    </row>
    <row r="33" spans="1:10">
      <c r="A33" s="5">
        <v>45840</v>
      </c>
      <c r="B33" t="s">
        <v>120</v>
      </c>
      <c r="C33" t="s">
        <v>18</v>
      </c>
      <c r="D33">
        <v>1</v>
      </c>
      <c r="E33">
        <v>29.5</v>
      </c>
      <c r="F33" s="12">
        <v>48</v>
      </c>
      <c r="G33">
        <v>30</v>
      </c>
      <c r="H33">
        <f>2*1*8</f>
        <v>16</v>
      </c>
      <c r="I33" s="12">
        <f t="shared" si="2"/>
        <v>-555</v>
      </c>
      <c r="J33" s="12">
        <f t="shared" si="3"/>
        <v>-571</v>
      </c>
    </row>
    <row r="34" spans="1:10">
      <c r="A34" s="5">
        <v>45840</v>
      </c>
      <c r="B34" t="s">
        <v>121</v>
      </c>
      <c r="C34" t="s">
        <v>18</v>
      </c>
      <c r="D34">
        <v>1</v>
      </c>
      <c r="E34">
        <v>27</v>
      </c>
      <c r="F34" s="12">
        <v>35</v>
      </c>
      <c r="G34">
        <v>30</v>
      </c>
      <c r="H34">
        <f>1*1*8</f>
        <v>8</v>
      </c>
      <c r="I34" s="12">
        <f t="shared" si="2"/>
        <v>-240</v>
      </c>
      <c r="J34" s="12">
        <f t="shared" si="3"/>
        <v>-248</v>
      </c>
    </row>
    <row r="35" spans="1:10">
      <c r="A35" s="5">
        <v>45840</v>
      </c>
      <c r="B35" s="14" t="s">
        <v>115</v>
      </c>
      <c r="C35" t="s">
        <v>11</v>
      </c>
      <c r="D35">
        <v>1</v>
      </c>
      <c r="E35">
        <v>71.38</v>
      </c>
      <c r="F35" s="12">
        <v>55</v>
      </c>
      <c r="G35">
        <v>5</v>
      </c>
      <c r="H35">
        <f>2*1*8</f>
        <v>16</v>
      </c>
      <c r="I35" s="12">
        <f t="shared" si="2"/>
        <v>81.9</v>
      </c>
      <c r="J35" s="12">
        <f t="shared" si="3"/>
        <v>65.9</v>
      </c>
    </row>
    <row r="36" spans="1:10">
      <c r="A36" s="5">
        <v>45841</v>
      </c>
      <c r="B36" t="s">
        <v>117</v>
      </c>
      <c r="C36" t="s">
        <v>11</v>
      </c>
      <c r="D36">
        <v>5</v>
      </c>
      <c r="E36">
        <v>54.36</v>
      </c>
      <c r="F36" s="12">
        <f>(91+95+96+97+98.5)/5</f>
        <v>95.5</v>
      </c>
      <c r="G36">
        <v>20</v>
      </c>
      <c r="H36">
        <f>2*14*5</f>
        <v>140</v>
      </c>
      <c r="I36" s="12">
        <f t="shared" si="2"/>
        <v>-4114</v>
      </c>
      <c r="J36" s="12">
        <f t="shared" si="3"/>
        <v>-4254</v>
      </c>
    </row>
    <row r="37" spans="1:10">
      <c r="A37" s="5">
        <v>45841</v>
      </c>
      <c r="B37" t="s">
        <v>122</v>
      </c>
      <c r="C37" t="s">
        <v>11</v>
      </c>
      <c r="D37">
        <v>4</v>
      </c>
      <c r="E37">
        <f>(170+145+130+144)/4</f>
        <v>147.25</v>
      </c>
      <c r="F37" s="12">
        <f>(190+195+210+160)/4</f>
        <v>188.75</v>
      </c>
      <c r="G37">
        <v>3</v>
      </c>
      <c r="H37">
        <f>2*4*8</f>
        <v>64</v>
      </c>
      <c r="I37" s="12">
        <f t="shared" si="2"/>
        <v>-498</v>
      </c>
      <c r="J37" s="12">
        <f t="shared" si="3"/>
        <v>-562</v>
      </c>
    </row>
    <row r="38" spans="1:10">
      <c r="A38" s="5">
        <v>45841</v>
      </c>
      <c r="B38" t="s">
        <v>123</v>
      </c>
      <c r="C38" t="s">
        <v>18</v>
      </c>
      <c r="D38">
        <v>4</v>
      </c>
      <c r="E38">
        <v>48.38</v>
      </c>
      <c r="F38" s="12">
        <f>(61*2+60.5*2)/4</f>
        <v>60.75</v>
      </c>
      <c r="G38">
        <v>10</v>
      </c>
      <c r="H38">
        <f>3.2*2*4</f>
        <v>25.6</v>
      </c>
      <c r="I38" s="12">
        <f t="shared" si="2"/>
        <v>-494.8</v>
      </c>
      <c r="J38" s="12">
        <f t="shared" si="3"/>
        <v>-520.4</v>
      </c>
    </row>
    <row r="39" spans="1:10">
      <c r="A39" s="5">
        <v>45841</v>
      </c>
      <c r="B39" t="s">
        <v>124</v>
      </c>
      <c r="C39" t="s">
        <v>18</v>
      </c>
      <c r="D39">
        <v>2</v>
      </c>
      <c r="E39">
        <v>34.75</v>
      </c>
      <c r="F39" s="12">
        <v>42.5</v>
      </c>
      <c r="G39">
        <v>10</v>
      </c>
      <c r="H39">
        <f>2*2*3.2</f>
        <v>12.8</v>
      </c>
      <c r="I39" s="12">
        <f t="shared" si="2"/>
        <v>-155</v>
      </c>
      <c r="J39" s="12">
        <f t="shared" si="3"/>
        <v>-167.8</v>
      </c>
    </row>
    <row r="40" spans="1:10">
      <c r="A40" s="5">
        <v>45841</v>
      </c>
      <c r="B40" t="s">
        <v>125</v>
      </c>
      <c r="C40" t="s">
        <v>18</v>
      </c>
      <c r="D40">
        <v>1</v>
      </c>
      <c r="E40">
        <v>24</v>
      </c>
      <c r="F40" s="12">
        <v>29</v>
      </c>
      <c r="G40">
        <v>10</v>
      </c>
      <c r="H40">
        <f>2*1*3.2</f>
        <v>6.4</v>
      </c>
      <c r="I40" s="12">
        <f t="shared" si="2"/>
        <v>-50</v>
      </c>
      <c r="J40" s="12">
        <f t="shared" si="3"/>
        <v>-56.4</v>
      </c>
    </row>
    <row r="41" spans="1:10">
      <c r="A41" s="5">
        <v>45841</v>
      </c>
      <c r="B41" t="s">
        <v>126</v>
      </c>
      <c r="C41" t="s">
        <v>18</v>
      </c>
      <c r="D41">
        <v>2</v>
      </c>
      <c r="E41">
        <v>21</v>
      </c>
      <c r="F41" s="12">
        <v>20</v>
      </c>
      <c r="G41">
        <v>10</v>
      </c>
      <c r="H41">
        <f>2*2*3.2</f>
        <v>12.8</v>
      </c>
      <c r="I41" s="12">
        <f t="shared" si="2"/>
        <v>20</v>
      </c>
      <c r="J41" s="12">
        <f t="shared" si="3"/>
        <v>7.2</v>
      </c>
    </row>
    <row r="42" spans="1:10">
      <c r="A42" s="5">
        <v>45842</v>
      </c>
      <c r="B42" t="s">
        <v>127</v>
      </c>
      <c r="C42" t="s">
        <v>24</v>
      </c>
      <c r="D42">
        <v>5</v>
      </c>
      <c r="E42">
        <v>56.36</v>
      </c>
      <c r="F42" s="12">
        <v>25</v>
      </c>
      <c r="G42">
        <v>10</v>
      </c>
      <c r="H42">
        <f>2*5*2</f>
        <v>20</v>
      </c>
      <c r="I42" s="12">
        <f t="shared" si="2"/>
        <v>1568</v>
      </c>
      <c r="J42" s="12">
        <f t="shared" si="3"/>
        <v>1548</v>
      </c>
    </row>
    <row r="43" spans="1:10">
      <c r="A43" s="5">
        <v>45842</v>
      </c>
      <c r="B43" t="s">
        <v>124</v>
      </c>
      <c r="C43" t="s">
        <v>18</v>
      </c>
      <c r="D43">
        <v>2</v>
      </c>
      <c r="E43">
        <v>34.75</v>
      </c>
      <c r="F43" s="12">
        <f>(45+46.5)/2</f>
        <v>45.75</v>
      </c>
      <c r="G43">
        <v>10</v>
      </c>
      <c r="H43">
        <f>3.2*2*2</f>
        <v>12.8</v>
      </c>
      <c r="I43" s="12">
        <f t="shared" si="2"/>
        <v>-220</v>
      </c>
      <c r="J43" s="12">
        <f t="shared" si="3"/>
        <v>-232.8</v>
      </c>
    </row>
    <row r="44" spans="1:10">
      <c r="A44" s="5">
        <v>45842</v>
      </c>
      <c r="B44" t="s">
        <v>125</v>
      </c>
      <c r="C44" t="s">
        <v>18</v>
      </c>
      <c r="D44">
        <v>1</v>
      </c>
      <c r="E44">
        <v>24</v>
      </c>
      <c r="F44" s="12">
        <v>32</v>
      </c>
      <c r="G44">
        <v>10</v>
      </c>
      <c r="H44">
        <f>2*1*3.2</f>
        <v>6.4</v>
      </c>
      <c r="I44" s="12">
        <f t="shared" si="2"/>
        <v>-80</v>
      </c>
      <c r="J44" s="12">
        <f t="shared" si="3"/>
        <v>-86.4</v>
      </c>
    </row>
    <row r="45" spans="1:10">
      <c r="A45" s="5">
        <v>45842</v>
      </c>
      <c r="B45" t="s">
        <v>121</v>
      </c>
      <c r="C45" t="s">
        <v>18</v>
      </c>
      <c r="D45">
        <v>2</v>
      </c>
      <c r="E45">
        <v>27</v>
      </c>
      <c r="F45" s="12">
        <f>(47+45.5)/2</f>
        <v>46.25</v>
      </c>
      <c r="G45">
        <v>30</v>
      </c>
      <c r="H45">
        <f>2*2*12</f>
        <v>48</v>
      </c>
      <c r="I45" s="12">
        <f t="shared" si="2"/>
        <v>-1155</v>
      </c>
      <c r="J45" s="12">
        <f t="shared" si="3"/>
        <v>-1203</v>
      </c>
    </row>
    <row r="46" spans="1:10">
      <c r="A46" s="5">
        <v>45845</v>
      </c>
      <c r="B46" t="s">
        <v>127</v>
      </c>
      <c r="C46" t="s">
        <v>24</v>
      </c>
      <c r="D46">
        <v>30</v>
      </c>
      <c r="E46">
        <v>56.36</v>
      </c>
      <c r="F46" s="12">
        <f>(72*10+68*5+73.5*15)/30</f>
        <v>72.0833333333333</v>
      </c>
      <c r="G46">
        <v>10</v>
      </c>
      <c r="H46">
        <f>2*2*30</f>
        <v>120</v>
      </c>
      <c r="I46" s="12">
        <f t="shared" si="2"/>
        <v>-4717</v>
      </c>
      <c r="J46" s="12">
        <f t="shared" si="3"/>
        <v>-4837</v>
      </c>
    </row>
    <row r="47" spans="1:10">
      <c r="A47" s="5">
        <v>45846</v>
      </c>
      <c r="B47" t="s">
        <v>128</v>
      </c>
      <c r="C47" t="s">
        <v>14</v>
      </c>
      <c r="D47">
        <v>4</v>
      </c>
      <c r="E47">
        <v>290</v>
      </c>
      <c r="F47" s="12">
        <f>(960+920+930+827)/4</f>
        <v>909.25</v>
      </c>
      <c r="G47">
        <v>3</v>
      </c>
      <c r="H47">
        <f>2*4*8</f>
        <v>64</v>
      </c>
      <c r="I47" s="12">
        <f t="shared" si="2"/>
        <v>-7431</v>
      </c>
      <c r="J47" s="12">
        <f t="shared" si="3"/>
        <v>-7495</v>
      </c>
    </row>
    <row r="48" spans="1:10">
      <c r="A48" s="5">
        <v>45846</v>
      </c>
      <c r="B48" t="s">
        <v>122</v>
      </c>
      <c r="C48" t="s">
        <v>11</v>
      </c>
      <c r="D48">
        <v>1</v>
      </c>
      <c r="E48">
        <v>250</v>
      </c>
      <c r="F48" s="12">
        <v>0</v>
      </c>
      <c r="G48">
        <v>3</v>
      </c>
      <c r="H48">
        <f>2*8</f>
        <v>16</v>
      </c>
      <c r="I48" s="12">
        <f t="shared" si="2"/>
        <v>750</v>
      </c>
      <c r="J48" s="12">
        <f t="shared" si="3"/>
        <v>734</v>
      </c>
    </row>
    <row r="49" spans="1:10">
      <c r="A49" s="5">
        <v>45846</v>
      </c>
      <c r="B49" t="s">
        <v>129</v>
      </c>
      <c r="C49" t="s">
        <v>11</v>
      </c>
      <c r="D49">
        <v>8</v>
      </c>
      <c r="E49">
        <f>(80+78+70*2+72+75+85+101)/8</f>
        <v>78.875</v>
      </c>
      <c r="F49" s="12">
        <v>0</v>
      </c>
      <c r="G49">
        <v>3</v>
      </c>
      <c r="H49">
        <f>2*8*8</f>
        <v>128</v>
      </c>
      <c r="I49" s="12">
        <f t="shared" si="2"/>
        <v>1893</v>
      </c>
      <c r="J49" s="12">
        <f t="shared" si="3"/>
        <v>1765</v>
      </c>
    </row>
    <row r="50" spans="1:10">
      <c r="A50" s="5">
        <v>45846</v>
      </c>
      <c r="B50" t="s">
        <v>130</v>
      </c>
      <c r="C50" t="s">
        <v>11</v>
      </c>
      <c r="D50">
        <v>4</v>
      </c>
      <c r="E50">
        <f>(130+115+110*2)/4</f>
        <v>116.25</v>
      </c>
      <c r="F50" s="12">
        <v>0</v>
      </c>
      <c r="G50">
        <v>3</v>
      </c>
      <c r="H50">
        <f>2*4*8</f>
        <v>64</v>
      </c>
      <c r="I50" s="12">
        <f t="shared" si="2"/>
        <v>1395</v>
      </c>
      <c r="J50" s="12">
        <f t="shared" si="3"/>
        <v>1331</v>
      </c>
    </row>
    <row r="51" spans="1:10">
      <c r="A51" s="5">
        <v>45846</v>
      </c>
      <c r="B51" t="s">
        <v>131</v>
      </c>
      <c r="C51" t="s">
        <v>11</v>
      </c>
      <c r="D51">
        <v>1</v>
      </c>
      <c r="E51">
        <v>180</v>
      </c>
      <c r="F51" s="12">
        <v>0</v>
      </c>
      <c r="G51">
        <v>3</v>
      </c>
      <c r="H51">
        <f>2*8</f>
        <v>16</v>
      </c>
      <c r="I51" s="12">
        <f t="shared" si="2"/>
        <v>540</v>
      </c>
      <c r="J51" s="12">
        <f t="shared" si="3"/>
        <v>524</v>
      </c>
    </row>
    <row r="52" spans="1:10">
      <c r="A52" s="5">
        <v>45847</v>
      </c>
      <c r="B52" t="s">
        <v>132</v>
      </c>
      <c r="C52" t="s">
        <v>24</v>
      </c>
      <c r="D52">
        <v>8</v>
      </c>
      <c r="E52">
        <v>7.19</v>
      </c>
      <c r="F52" s="12">
        <v>15</v>
      </c>
      <c r="G52">
        <v>10</v>
      </c>
      <c r="H52">
        <f>2*2.4*8</f>
        <v>38.4</v>
      </c>
      <c r="I52" s="12">
        <f t="shared" si="2"/>
        <v>-624.8</v>
      </c>
      <c r="J52" s="12">
        <f t="shared" si="3"/>
        <v>-663.2</v>
      </c>
    </row>
    <row r="53" spans="1:10">
      <c r="A53" s="5">
        <v>45847</v>
      </c>
      <c r="B53" t="s">
        <v>133</v>
      </c>
      <c r="C53" t="s">
        <v>14</v>
      </c>
      <c r="D53">
        <v>2</v>
      </c>
      <c r="E53">
        <v>1140</v>
      </c>
      <c r="F53" s="12">
        <v>1750</v>
      </c>
      <c r="G53">
        <v>3</v>
      </c>
      <c r="H53">
        <f>2*2*8</f>
        <v>32</v>
      </c>
      <c r="I53" s="12">
        <f t="shared" si="2"/>
        <v>-3660</v>
      </c>
      <c r="J53" s="12">
        <f t="shared" si="3"/>
        <v>-3692</v>
      </c>
    </row>
    <row r="54" spans="1:10">
      <c r="A54" s="5">
        <v>45848</v>
      </c>
      <c r="B54" t="s">
        <v>134</v>
      </c>
      <c r="C54" t="s">
        <v>11</v>
      </c>
      <c r="D54">
        <v>1</v>
      </c>
      <c r="E54">
        <v>52</v>
      </c>
      <c r="F54" s="12">
        <v>49</v>
      </c>
      <c r="G54">
        <v>15</v>
      </c>
      <c r="H54">
        <v>16</v>
      </c>
      <c r="I54" s="12">
        <f t="shared" ref="I54" si="4">(E54-F54)*D54*G54</f>
        <v>45</v>
      </c>
      <c r="J54" s="12">
        <f t="shared" ref="J54" si="5">I54-H54</f>
        <v>29</v>
      </c>
    </row>
    <row r="55" spans="1:10">
      <c r="A55" s="5">
        <v>45848</v>
      </c>
      <c r="B55" t="s">
        <v>66</v>
      </c>
      <c r="C55" s="15" t="s">
        <v>14</v>
      </c>
      <c r="D55">
        <v>12</v>
      </c>
      <c r="E55">
        <v>205.5</v>
      </c>
      <c r="F55" s="12">
        <v>210</v>
      </c>
      <c r="G55">
        <v>3</v>
      </c>
      <c r="H55">
        <v>192</v>
      </c>
      <c r="I55" s="12">
        <f t="shared" ref="I55:I61" si="6">(E55-F55)*D55*G55</f>
        <v>-162</v>
      </c>
      <c r="J55" s="12">
        <f t="shared" ref="J55:J61" si="7">I55-H55</f>
        <v>-354</v>
      </c>
    </row>
    <row r="56" spans="1:10">
      <c r="A56" s="5">
        <v>45848</v>
      </c>
      <c r="B56" t="s">
        <v>63</v>
      </c>
      <c r="C56" s="15" t="s">
        <v>14</v>
      </c>
      <c r="D56">
        <v>1</v>
      </c>
      <c r="E56">
        <v>138</v>
      </c>
      <c r="F56" s="12">
        <v>129</v>
      </c>
      <c r="G56">
        <v>3</v>
      </c>
      <c r="H56">
        <f>192/24+8</f>
        <v>16</v>
      </c>
      <c r="I56" s="12">
        <f t="shared" si="6"/>
        <v>27</v>
      </c>
      <c r="J56" s="12">
        <f t="shared" si="7"/>
        <v>11</v>
      </c>
    </row>
    <row r="57" spans="1:10">
      <c r="A57" s="5">
        <v>45848</v>
      </c>
      <c r="B57" t="s">
        <v>135</v>
      </c>
      <c r="C57" s="15" t="s">
        <v>14</v>
      </c>
      <c r="D57">
        <v>8</v>
      </c>
      <c r="E57" s="12">
        <f>(496*2+615*2+502+560+475+495)/8</f>
        <v>531.75</v>
      </c>
      <c r="F57" s="12">
        <v>1312</v>
      </c>
      <c r="G57">
        <v>3</v>
      </c>
      <c r="H57" s="15">
        <f>64*2</f>
        <v>128</v>
      </c>
      <c r="I57" s="12">
        <f t="shared" si="6"/>
        <v>-18726</v>
      </c>
      <c r="J57" s="12">
        <f t="shared" si="7"/>
        <v>-18854</v>
      </c>
    </row>
    <row r="58" spans="1:10">
      <c r="A58" s="5">
        <v>45848</v>
      </c>
      <c r="B58" t="s">
        <v>136</v>
      </c>
      <c r="C58" s="15" t="s">
        <v>14</v>
      </c>
      <c r="D58">
        <v>-2</v>
      </c>
      <c r="E58" s="12">
        <f>(781+965)/2</f>
        <v>873</v>
      </c>
      <c r="F58">
        <v>1790</v>
      </c>
      <c r="G58">
        <v>3</v>
      </c>
      <c r="H58">
        <v>32</v>
      </c>
      <c r="I58" s="12">
        <f t="shared" si="6"/>
        <v>5502</v>
      </c>
      <c r="J58" s="12">
        <f t="shared" si="7"/>
        <v>5470</v>
      </c>
    </row>
    <row r="59" spans="1:10">
      <c r="A59" s="5">
        <v>45848</v>
      </c>
      <c r="B59" t="s">
        <v>128</v>
      </c>
      <c r="C59" s="15" t="s">
        <v>14</v>
      </c>
      <c r="D59">
        <v>-2</v>
      </c>
      <c r="E59" s="12">
        <f>(1060+1364)/2</f>
        <v>1212</v>
      </c>
      <c r="F59" s="12">
        <v>1250</v>
      </c>
      <c r="G59">
        <v>3</v>
      </c>
      <c r="H59">
        <v>32</v>
      </c>
      <c r="I59" s="12">
        <f t="shared" si="6"/>
        <v>228</v>
      </c>
      <c r="J59" s="12">
        <f t="shared" si="7"/>
        <v>196</v>
      </c>
    </row>
    <row r="60" spans="1:10">
      <c r="A60" s="5">
        <v>45848</v>
      </c>
      <c r="B60" t="s">
        <v>137</v>
      </c>
      <c r="C60" t="s">
        <v>18</v>
      </c>
      <c r="D60">
        <v>8</v>
      </c>
      <c r="E60" s="12">
        <f>(35+35.5+35.5+36+36.5+28+27.5+27)/8</f>
        <v>32.625</v>
      </c>
      <c r="F60" s="12">
        <v>3.25</v>
      </c>
      <c r="G60">
        <v>30</v>
      </c>
      <c r="H60">
        <v>128</v>
      </c>
      <c r="I60" s="12">
        <f t="shared" si="6"/>
        <v>7050</v>
      </c>
      <c r="J60" s="12">
        <f t="shared" si="7"/>
        <v>6922</v>
      </c>
    </row>
    <row r="61" spans="1:10">
      <c r="A61" s="5">
        <v>45848</v>
      </c>
      <c r="B61" t="s">
        <v>138</v>
      </c>
      <c r="C61" t="s">
        <v>18</v>
      </c>
      <c r="D61">
        <v>2</v>
      </c>
      <c r="E61" s="12">
        <v>31.25</v>
      </c>
      <c r="F61" s="12">
        <v>48.5</v>
      </c>
      <c r="G61">
        <v>30</v>
      </c>
      <c r="H61">
        <v>32</v>
      </c>
      <c r="I61" s="12">
        <f t="shared" si="6"/>
        <v>-1035</v>
      </c>
      <c r="J61" s="12">
        <f t="shared" si="7"/>
        <v>-1067</v>
      </c>
    </row>
    <row r="62" spans="1:10">
      <c r="A62" s="5">
        <v>45849</v>
      </c>
      <c r="B62" t="s">
        <v>139</v>
      </c>
      <c r="C62" t="s">
        <v>11</v>
      </c>
      <c r="D62">
        <v>1</v>
      </c>
      <c r="E62" s="12">
        <v>75</v>
      </c>
      <c r="F62">
        <v>145</v>
      </c>
      <c r="G62">
        <v>15</v>
      </c>
      <c r="H62">
        <v>16</v>
      </c>
      <c r="I62" s="12">
        <f t="shared" ref="I62:I68" si="8">(E62-F62)*D62*G62</f>
        <v>-1050</v>
      </c>
      <c r="J62" s="12">
        <f t="shared" ref="J62:J68" si="9">I62-H62</f>
        <v>-1066</v>
      </c>
    </row>
    <row r="63" spans="1:10">
      <c r="A63" s="5">
        <v>45849</v>
      </c>
      <c r="B63" t="s">
        <v>69</v>
      </c>
      <c r="C63" s="15" t="s">
        <v>14</v>
      </c>
      <c r="D63">
        <v>2</v>
      </c>
      <c r="E63" s="12">
        <v>481.4</v>
      </c>
      <c r="F63" s="12">
        <v>349.5</v>
      </c>
      <c r="G63">
        <v>3</v>
      </c>
      <c r="H63">
        <v>32</v>
      </c>
      <c r="I63" s="12">
        <f t="shared" si="8"/>
        <v>791.4</v>
      </c>
      <c r="J63" s="12">
        <f t="shared" si="9"/>
        <v>759.4</v>
      </c>
    </row>
    <row r="64" spans="1:10">
      <c r="A64" s="5">
        <v>45852</v>
      </c>
      <c r="B64" s="16" t="s">
        <v>140</v>
      </c>
      <c r="C64" t="s">
        <v>11</v>
      </c>
      <c r="D64">
        <v>1</v>
      </c>
      <c r="E64">
        <v>105</v>
      </c>
      <c r="F64" s="12">
        <v>169</v>
      </c>
      <c r="G64">
        <v>15</v>
      </c>
      <c r="H64">
        <f>1*2*8</f>
        <v>16</v>
      </c>
      <c r="I64" s="12">
        <f t="shared" si="8"/>
        <v>-960</v>
      </c>
      <c r="J64" s="12">
        <f t="shared" si="9"/>
        <v>-976</v>
      </c>
    </row>
    <row r="65" spans="1:10">
      <c r="A65" s="5">
        <v>45852</v>
      </c>
      <c r="B65" s="16" t="s">
        <v>15</v>
      </c>
      <c r="C65" t="s">
        <v>11</v>
      </c>
      <c r="D65">
        <v>2</v>
      </c>
      <c r="E65">
        <v>27.67</v>
      </c>
      <c r="F65" s="12">
        <f>(14.5+14)/2</f>
        <v>14.25</v>
      </c>
      <c r="G65">
        <v>20</v>
      </c>
      <c r="H65">
        <f>2*2*14</f>
        <v>56</v>
      </c>
      <c r="I65" s="12">
        <f t="shared" si="8"/>
        <v>536.8</v>
      </c>
      <c r="J65" s="12">
        <f t="shared" si="9"/>
        <v>480.8</v>
      </c>
    </row>
    <row r="66" spans="1:10">
      <c r="A66" s="5">
        <v>45852</v>
      </c>
      <c r="B66" s="16" t="s">
        <v>16</v>
      </c>
      <c r="C66" t="s">
        <v>11</v>
      </c>
      <c r="D66">
        <v>17</v>
      </c>
      <c r="E66">
        <v>39.67</v>
      </c>
      <c r="F66">
        <f>(18.5+20*3+19.5+19*2+18.5*2+18*2+17*2+16.5*2+15*2)/17</f>
        <v>18</v>
      </c>
      <c r="G66">
        <v>20</v>
      </c>
      <c r="H66">
        <f>2*17*14</f>
        <v>476</v>
      </c>
      <c r="I66" s="12">
        <f t="shared" si="8"/>
        <v>7367.8</v>
      </c>
      <c r="J66" s="12">
        <f t="shared" si="9"/>
        <v>6891.8</v>
      </c>
    </row>
    <row r="67" spans="1:10">
      <c r="A67" s="5">
        <v>45852</v>
      </c>
      <c r="B67" s="15" t="s">
        <v>141</v>
      </c>
      <c r="C67" t="s">
        <v>24</v>
      </c>
      <c r="D67">
        <v>3</v>
      </c>
      <c r="E67" s="17">
        <v>25.17</v>
      </c>
      <c r="F67" s="12">
        <v>0.5</v>
      </c>
      <c r="G67">
        <v>5</v>
      </c>
      <c r="H67">
        <f>2*2*3</f>
        <v>12</v>
      </c>
      <c r="I67" s="12">
        <f t="shared" si="8"/>
        <v>370.05</v>
      </c>
      <c r="J67" s="12">
        <f t="shared" si="9"/>
        <v>358.05</v>
      </c>
    </row>
    <row r="68" spans="1:10">
      <c r="A68" s="5">
        <v>45852</v>
      </c>
      <c r="B68" s="16" t="s">
        <v>142</v>
      </c>
      <c r="C68" t="s">
        <v>11</v>
      </c>
      <c r="D68">
        <v>1</v>
      </c>
      <c r="E68">
        <v>62500</v>
      </c>
      <c r="F68" s="12">
        <v>66700</v>
      </c>
      <c r="G68">
        <v>1</v>
      </c>
      <c r="H68">
        <f>5.02+5.36</f>
        <v>10.38</v>
      </c>
      <c r="I68" s="12">
        <f t="shared" si="8"/>
        <v>-4200</v>
      </c>
      <c r="J68" s="12">
        <f t="shared" si="9"/>
        <v>-4210.38</v>
      </c>
    </row>
    <row r="69" s="11" customFormat="1" spans="1:10">
      <c r="A69" s="18">
        <v>45853</v>
      </c>
      <c r="B69" s="19" t="s">
        <v>143</v>
      </c>
      <c r="C69" s="15" t="s">
        <v>24</v>
      </c>
      <c r="D69" s="11">
        <v>1</v>
      </c>
      <c r="E69" s="11">
        <v>44.5</v>
      </c>
      <c r="F69" s="20">
        <v>4</v>
      </c>
      <c r="G69" s="11">
        <v>5</v>
      </c>
      <c r="H69" s="11">
        <f>2*1*2</f>
        <v>4</v>
      </c>
      <c r="I69" s="20">
        <f>(E69-F69)*D69*G69</f>
        <v>202.5</v>
      </c>
      <c r="J69" s="20">
        <f>I69-H69</f>
        <v>198.5</v>
      </c>
    </row>
    <row r="70" s="11" customFormat="1" spans="1:10">
      <c r="A70" s="18">
        <v>45853</v>
      </c>
      <c r="B70" s="19" t="s">
        <v>144</v>
      </c>
      <c r="C70" s="15" t="s">
        <v>24</v>
      </c>
      <c r="D70" s="11">
        <v>5</v>
      </c>
      <c r="E70" s="11">
        <v>24</v>
      </c>
      <c r="F70" s="20">
        <v>0.5</v>
      </c>
      <c r="G70" s="11">
        <v>10</v>
      </c>
      <c r="H70" s="11">
        <f>2*2*5</f>
        <v>20</v>
      </c>
      <c r="I70" s="20">
        <f>(E70-F70)*D70*G70</f>
        <v>1175</v>
      </c>
      <c r="J70" s="20">
        <f>I70-H70</f>
        <v>1155</v>
      </c>
    </row>
    <row r="71" s="11" customFormat="1" spans="1:10">
      <c r="A71" s="18">
        <v>45853</v>
      </c>
      <c r="B71" s="19" t="s">
        <v>145</v>
      </c>
      <c r="C71" s="15" t="s">
        <v>24</v>
      </c>
      <c r="D71" s="11">
        <v>6</v>
      </c>
      <c r="E71" s="11">
        <v>23</v>
      </c>
      <c r="F71" s="20">
        <f>(7+7.5)/2</f>
        <v>7.25</v>
      </c>
      <c r="G71" s="11">
        <v>10</v>
      </c>
      <c r="H71" s="11">
        <f>2*2*6</f>
        <v>24</v>
      </c>
      <c r="I71" s="20">
        <f>(E71-F71)*D71*G71</f>
        <v>945</v>
      </c>
      <c r="J71" s="20">
        <f>I71-H71</f>
        <v>921</v>
      </c>
    </row>
    <row r="72" s="11" customFormat="1" spans="1:10">
      <c r="A72" s="18">
        <v>45853</v>
      </c>
      <c r="B72" s="15" t="s">
        <v>146</v>
      </c>
      <c r="C72" s="15" t="s">
        <v>24</v>
      </c>
      <c r="D72" s="11">
        <v>4</v>
      </c>
      <c r="E72" s="11">
        <v>31.75</v>
      </c>
      <c r="F72" s="20">
        <v>20</v>
      </c>
      <c r="G72" s="11">
        <v>10</v>
      </c>
      <c r="H72" s="11">
        <f>2*4*3</f>
        <v>24</v>
      </c>
      <c r="I72" s="20">
        <f>(E72-F72)*D72*G72</f>
        <v>470</v>
      </c>
      <c r="J72" s="20">
        <f>I72-H72</f>
        <v>446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selection activeCell="C32" sqref="C32"/>
    </sheetView>
  </sheetViews>
  <sheetFormatPr defaultColWidth="9" defaultRowHeight="13.5" outlineLevelCol="3"/>
  <cols>
    <col min="1" max="1" width="11.5" style="4" customWidth="1"/>
    <col min="2" max="2" width="12.25" style="7" customWidth="1"/>
    <col min="3" max="3" width="9.75" style="8" customWidth="1"/>
    <col min="4" max="4" width="13.125" style="1" customWidth="1"/>
  </cols>
  <sheetData>
    <row r="1" s="6" customFormat="1" spans="1:4">
      <c r="A1" s="2" t="s">
        <v>0</v>
      </c>
      <c r="B1" s="9" t="s">
        <v>147</v>
      </c>
      <c r="C1" s="10" t="s">
        <v>148</v>
      </c>
      <c r="D1" s="3" t="s">
        <v>149</v>
      </c>
    </row>
    <row r="2" spans="1:4">
      <c r="A2" s="4">
        <v>45812</v>
      </c>
      <c r="B2" s="7">
        <v>239.9999998</v>
      </c>
      <c r="C2" s="8">
        <f>B2/2000000+1</f>
        <v>1.0001199999999</v>
      </c>
      <c r="D2" s="1">
        <v>2000000</v>
      </c>
    </row>
    <row r="3" spans="1:3">
      <c r="A3" s="4">
        <v>45813</v>
      </c>
      <c r="B3" s="7">
        <v>262.49999999</v>
      </c>
      <c r="C3" s="8">
        <f>(B3-B2)/2000000+C2</f>
        <v>1.00013125</v>
      </c>
    </row>
    <row r="4" spans="1:3">
      <c r="A4" s="4">
        <v>45814</v>
      </c>
      <c r="B4" s="7">
        <v>239.9999998</v>
      </c>
      <c r="C4" s="8">
        <f t="shared" ref="C4:C16" si="0">(B4-B3)/(2000000)+C3</f>
        <v>1.0001199999999</v>
      </c>
    </row>
    <row r="5" spans="1:3">
      <c r="A5" s="4">
        <v>45817</v>
      </c>
      <c r="B5" s="7">
        <v>752.7989998</v>
      </c>
      <c r="C5" s="8">
        <f t="shared" si="0"/>
        <v>1.0003763994999</v>
      </c>
    </row>
    <row r="6" spans="1:3">
      <c r="A6" s="4">
        <v>45818</v>
      </c>
      <c r="B6" s="7">
        <v>1359.2999998</v>
      </c>
      <c r="C6" s="8">
        <f t="shared" si="0"/>
        <v>1.0006796499999</v>
      </c>
    </row>
    <row r="7" spans="1:3">
      <c r="A7" s="4">
        <v>45819</v>
      </c>
      <c r="B7" s="7">
        <v>1484.34</v>
      </c>
      <c r="C7" s="8">
        <f t="shared" si="0"/>
        <v>1.00074217</v>
      </c>
    </row>
    <row r="8" spans="1:3">
      <c r="A8" s="4">
        <v>45820</v>
      </c>
      <c r="B8" s="7">
        <v>2633.3429998</v>
      </c>
      <c r="C8" s="8">
        <f t="shared" si="0"/>
        <v>1.0013166714999</v>
      </c>
    </row>
    <row r="9" spans="1:3">
      <c r="A9" s="4">
        <v>45821</v>
      </c>
      <c r="B9" s="7">
        <v>-170</v>
      </c>
      <c r="C9" s="8">
        <f t="shared" si="0"/>
        <v>0.999915</v>
      </c>
    </row>
    <row r="10" spans="1:3">
      <c r="A10" s="4">
        <v>45824</v>
      </c>
      <c r="B10" s="7">
        <v>-128</v>
      </c>
      <c r="C10" s="8">
        <f t="shared" si="0"/>
        <v>0.999936</v>
      </c>
    </row>
    <row r="11" spans="1:3">
      <c r="A11" s="4">
        <v>45825</v>
      </c>
      <c r="B11" s="7">
        <v>-117.6</v>
      </c>
      <c r="C11" s="8">
        <f t="shared" si="0"/>
        <v>0.9999412</v>
      </c>
    </row>
    <row r="12" spans="1:3">
      <c r="A12" s="4">
        <v>45826</v>
      </c>
      <c r="B12" s="7">
        <v>-3945.51</v>
      </c>
      <c r="C12" s="8">
        <f t="shared" si="0"/>
        <v>0.998027245</v>
      </c>
    </row>
    <row r="13" spans="1:3">
      <c r="A13" s="4">
        <v>45827</v>
      </c>
      <c r="B13" s="7">
        <v>-1900.48</v>
      </c>
      <c r="C13" s="8">
        <f t="shared" si="0"/>
        <v>0.99904976</v>
      </c>
    </row>
    <row r="14" spans="1:3">
      <c r="A14" s="4">
        <v>45828</v>
      </c>
      <c r="B14" s="7">
        <v>-1472.95</v>
      </c>
      <c r="C14" s="8">
        <f t="shared" si="0"/>
        <v>0.999263525</v>
      </c>
    </row>
    <row r="15" spans="1:3">
      <c r="A15" s="4">
        <v>45831</v>
      </c>
      <c r="B15" s="7">
        <v>1643.05</v>
      </c>
      <c r="C15" s="8">
        <f t="shared" si="0"/>
        <v>1.000821525</v>
      </c>
    </row>
    <row r="16" spans="1:3">
      <c r="A16" s="4">
        <v>45832</v>
      </c>
      <c r="B16" s="7">
        <v>-634.45</v>
      </c>
      <c r="C16" s="8">
        <f t="shared" si="0"/>
        <v>0.999682775</v>
      </c>
    </row>
    <row r="17" spans="1:4">
      <c r="A17" s="4">
        <v>45833</v>
      </c>
      <c r="B17" s="7">
        <v>464</v>
      </c>
      <c r="C17" s="8">
        <f>(B17-B16)/(2000000+2320000)+C16</f>
        <v>0.999937045833333</v>
      </c>
      <c r="D17" s="1">
        <v>2280000</v>
      </c>
    </row>
    <row r="18" spans="1:3">
      <c r="A18" s="4">
        <v>45834</v>
      </c>
      <c r="B18" s="7">
        <v>842.75</v>
      </c>
      <c r="C18" s="8">
        <f>(B18-B17)/(4280000)+C17</f>
        <v>1.00002553882399</v>
      </c>
    </row>
    <row r="19" spans="1:3">
      <c r="A19" s="4">
        <v>45835</v>
      </c>
      <c r="B19" s="7">
        <v>-1139.17</v>
      </c>
      <c r="C19" s="8">
        <f>(B19-B18)/(4280000)+C18</f>
        <v>0.999562473403427</v>
      </c>
    </row>
    <row r="20" spans="1:4">
      <c r="A20" s="4">
        <v>45838</v>
      </c>
      <c r="B20" s="7">
        <v>5373.43</v>
      </c>
      <c r="C20" s="8">
        <f t="shared" ref="C20:C29" si="1">(B20-B19)/(4280000+154243)+C19</f>
        <v>1.00103117956139</v>
      </c>
      <c r="D20" s="1">
        <v>154243</v>
      </c>
    </row>
    <row r="21" spans="1:3">
      <c r="A21" s="4">
        <v>45839</v>
      </c>
      <c r="B21" s="7">
        <v>9187.48</v>
      </c>
      <c r="C21" s="8">
        <f t="shared" si="1"/>
        <v>1.001891315102</v>
      </c>
    </row>
    <row r="22" spans="1:3">
      <c r="A22" s="4">
        <v>45840</v>
      </c>
      <c r="B22" s="7">
        <v>5384.54</v>
      </c>
      <c r="C22" s="8">
        <f t="shared" si="1"/>
        <v>1.00103368506233</v>
      </c>
    </row>
    <row r="23" spans="1:3">
      <c r="A23" s="4">
        <v>45841</v>
      </c>
      <c r="B23" s="7">
        <v>7965.38</v>
      </c>
      <c r="C23" s="8">
        <f t="shared" si="1"/>
        <v>1.00161570999871</v>
      </c>
    </row>
    <row r="24" spans="1:3">
      <c r="A24" s="4">
        <v>45842</v>
      </c>
      <c r="B24" s="7">
        <v>14575.42</v>
      </c>
      <c r="C24" s="8">
        <f t="shared" si="1"/>
        <v>1.00310639059515</v>
      </c>
    </row>
    <row r="25" spans="1:3">
      <c r="A25" s="4">
        <v>45845</v>
      </c>
      <c r="B25" s="7">
        <v>2242.28</v>
      </c>
      <c r="C25" s="8">
        <f t="shared" si="1"/>
        <v>1.00032505001459</v>
      </c>
    </row>
    <row r="26" spans="1:3">
      <c r="A26" s="4">
        <v>45846</v>
      </c>
      <c r="B26" s="7">
        <v>2904.28</v>
      </c>
      <c r="C26" s="8">
        <f t="shared" si="1"/>
        <v>1.0004743426898</v>
      </c>
    </row>
    <row r="27" spans="1:3">
      <c r="A27" s="4">
        <v>45847</v>
      </c>
      <c r="B27" s="7">
        <v>8975.78</v>
      </c>
      <c r="C27" s="8">
        <f t="shared" si="1"/>
        <v>1.0018435730184</v>
      </c>
    </row>
    <row r="28" spans="1:3">
      <c r="A28" s="4">
        <v>45848</v>
      </c>
      <c r="B28" s="7">
        <v>32147.2799998</v>
      </c>
      <c r="C28" s="8">
        <f t="shared" si="1"/>
        <v>1.00706915492715</v>
      </c>
    </row>
    <row r="29" spans="1:3">
      <c r="A29" s="4">
        <v>45849</v>
      </c>
      <c r="B29" s="7">
        <v>22891.280001</v>
      </c>
      <c r="C29" s="8">
        <f t="shared" si="1"/>
        <v>1.00498176368612</v>
      </c>
    </row>
    <row r="30" spans="1:4">
      <c r="A30" s="4">
        <v>45852</v>
      </c>
      <c r="B30" s="7">
        <v>41215.24</v>
      </c>
      <c r="C30" s="8">
        <f>(B30-B29)/(4280000+154243+8000000)+C29</f>
        <v>1.00645543281089</v>
      </c>
      <c r="D30" s="1">
        <v>8000000</v>
      </c>
    </row>
    <row r="31" spans="1:3">
      <c r="A31" s="4">
        <v>45853</v>
      </c>
      <c r="B31" s="7">
        <v>55218.25</v>
      </c>
      <c r="C31" s="8">
        <f>(B31-B30)/(4280000+154243+8000000)+C30</f>
        <v>1.00758159786975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5" sqref="B5"/>
    </sheetView>
  </sheetViews>
  <sheetFormatPr defaultColWidth="9" defaultRowHeight="13.5" outlineLevelRow="4" outlineLevelCol="1"/>
  <cols>
    <col min="1" max="1" width="13.125" customWidth="1"/>
    <col min="2" max="2" width="12.75" style="1" customWidth="1"/>
  </cols>
  <sheetData>
    <row r="1" spans="1:2">
      <c r="A1" s="2" t="s">
        <v>0</v>
      </c>
      <c r="B1" s="3" t="s">
        <v>150</v>
      </c>
    </row>
    <row r="2" spans="1:2">
      <c r="A2" s="4">
        <v>45812</v>
      </c>
      <c r="B2" s="1">
        <v>2000000</v>
      </c>
    </row>
    <row r="3" spans="1:2">
      <c r="A3" s="5">
        <v>45833</v>
      </c>
      <c r="B3" s="1">
        <v>2280000</v>
      </c>
    </row>
    <row r="4" spans="1:2">
      <c r="A4" s="5">
        <v>45838</v>
      </c>
      <c r="B4" s="1">
        <v>154243</v>
      </c>
    </row>
    <row r="5" spans="1:2">
      <c r="A5" s="4">
        <v>45847</v>
      </c>
      <c r="B5" s="1">
        <v>2356007.01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持有</vt:lpstr>
      <vt:lpstr>已平仓</vt:lpstr>
      <vt:lpstr>总盈亏</vt:lpstr>
      <vt:lpstr>资金变动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2025-06-04T07:08:00Z</dcterms:created>
  <dcterms:modified xsi:type="dcterms:W3CDTF">2025-07-15T08:40:41Z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863C69D4CD2B41F58467AFEA7FCA8BCB</vt:lpwstr>
  </property>
  <property fmtid="{D5CDD505-2E9C-101B-9397-08002B2CF9AE}" pid="3" name="KSOProductBuildVer">
    <vt:lpwstr>2052-11.1.0.12173</vt:lpwstr>
  </property>
  <property fmtid="{D5CDD505-2E9C-101B-9397-08002B2CF9AE}" pid="4" name="EM_Doc_Temp_ID">
    <vt:lpwstr>37BC26FF-00E9-430D-BF2B-AA828B42166B</vt:lpwstr>
  </property>
</Properties>
</file>