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culations" sheetId="1" state="visible" r:id="rId2"/>
    <sheet name="Analysis_block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<sst xmlns="http://schemas.openxmlformats.org/spreadsheetml/2006/main" count="88" uniqueCount="72">
  <si>
    <t xml:space="preserve">n</t>
  </si>
  <si>
    <t xml:space="preserve">X_i</t>
  </si>
  <si>
    <t xml:space="preserve">Y_i</t>
  </si>
  <si>
    <t xml:space="preserve">(X_i)^2</t>
  </si>
  <si>
    <t xml:space="preserve">(Y_i)^2</t>
  </si>
  <si>
    <t xml:space="preserve">X_i*Y_i</t>
  </si>
  <si>
    <t xml:space="preserve">Y^_i</t>
  </si>
  <si>
    <t xml:space="preserve">U_i</t>
  </si>
  <si>
    <t xml:space="preserve">U_i^2</t>
  </si>
  <si>
    <t xml:space="preserve">δ_i</t>
  </si>
  <si>
    <t xml:space="preserve">X_i – X_c</t>
  </si>
  <si>
    <t xml:space="preserve">(X_i – X_c)^2</t>
  </si>
  <si>
    <t xml:space="preserve">ΔY_i</t>
  </si>
  <si>
    <t xml:space="preserve">Y^_i – ΔY_i</t>
  </si>
  <si>
    <t xml:space="preserve">Y^_i + ΔY_i</t>
  </si>
  <si>
    <t xml:space="preserve">U_i – U_(i-1)</t>
  </si>
  <si>
    <t xml:space="preserve">(U_i – U_(i-1))^2</t>
  </si>
  <si>
    <t xml:space="preserve">Y_i – Y_c</t>
  </si>
  <si>
    <t xml:space="preserve">(Y_i – Y_c)^2</t>
  </si>
  <si>
    <t xml:space="preserve">Y^_i – Y_c</t>
  </si>
  <si>
    <t xml:space="preserve">(Y^_i – Y_C)^2</t>
  </si>
  <si>
    <t xml:space="preserve">sum</t>
  </si>
  <si>
    <t xml:space="preserve">X_c=</t>
  </si>
  <si>
    <t xml:space="preserve">b_0 = </t>
  </si>
  <si>
    <t xml:space="preserve">S=</t>
  </si>
  <si>
    <t xml:space="preserve">δ*=</t>
  </si>
  <si>
    <t xml:space="preserve">D(x)=</t>
  </si>
  <si>
    <t xml:space="preserve">DW=</t>
  </si>
  <si>
    <t xml:space="preserve">R^2=</t>
  </si>
  <si>
    <t xml:space="preserve">F=</t>
  </si>
  <si>
    <t xml:space="preserve">Y_c=</t>
  </si>
  <si>
    <t xml:space="preserve">b_1=</t>
  </si>
  <si>
    <t xml:space="preserve">m=</t>
  </si>
  <si>
    <t xml:space="preserve">K_(y/x)=</t>
  </si>
  <si>
    <t xml:space="preserve">t(α, k)=</t>
  </si>
  <si>
    <t xml:space="preserve">d_l = 1.13</t>
  </si>
  <si>
    <t xml:space="preserve">d_u = 1.38</t>
  </si>
  <si>
    <t xml:space="preserve">(R~)^2=</t>
  </si>
  <si>
    <t xml:space="preserve">S^2=</t>
  </si>
  <si>
    <t xml:space="preserve">Автокореляція відсутня</t>
  </si>
  <si>
    <t xml:space="preserve">k</t>
  </si>
  <si>
    <t xml:space="preserve">x_pi</t>
  </si>
  <si>
    <t xml:space="preserve">y^_pi</t>
  </si>
  <si>
    <t xml:space="preserve">Δy_pi</t>
  </si>
  <si>
    <t xml:space="preserve">y_pi-Δy_pi</t>
  </si>
  <si>
    <t xml:space="preserve">Регресія</t>
  </si>
  <si>
    <t xml:space="preserve">Регресійна модель</t>
  </si>
  <si>
    <t xml:space="preserve">Лінійна</t>
  </si>
  <si>
    <t xml:space="preserve">Вивід LINEST</t>
  </si>
  <si>
    <t xml:space="preserve">Статистика регресії</t>
  </si>
  <si>
    <t xml:space="preserve">R^2</t>
  </si>
  <si>
    <t xml:space="preserve">Стандартна помилка</t>
  </si>
  <si>
    <t xml:space="preserve">Число змінних X</t>
  </si>
  <si>
    <t xml:space="preserve">Спостереження</t>
  </si>
  <si>
    <t xml:space="preserve">Скориговане R^2</t>
  </si>
  <si>
    <t xml:space="preserve">Дисперсійний аналіз (ANOVA)</t>
  </si>
  <si>
    <t xml:space="preserve">df</t>
  </si>
  <si>
    <t xml:space="preserve">SS</t>
  </si>
  <si>
    <t xml:space="preserve">MS</t>
  </si>
  <si>
    <t xml:space="preserve">F</t>
  </si>
  <si>
    <t xml:space="preserve">Значущість F</t>
  </si>
  <si>
    <t xml:space="preserve">Залишок</t>
  </si>
  <si>
    <t xml:space="preserve">Всього</t>
  </si>
  <si>
    <t xml:space="preserve">Рівень довіри</t>
  </si>
  <si>
    <t xml:space="preserve">Коефіцієнти</t>
  </si>
  <si>
    <t xml:space="preserve">T-статистика</t>
  </si>
  <si>
    <t xml:space="preserve">P-значення</t>
  </si>
  <si>
    <t xml:space="preserve">b_0</t>
  </si>
  <si>
    <t xml:space="preserve">b_1</t>
  </si>
  <si>
    <t xml:space="preserve">Прогноз Y</t>
  </si>
  <si>
    <t xml:space="preserve">(X-X_c)</t>
  </si>
  <si>
    <t xml:space="preserve">(X-X_c)^2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</si>
</sst>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"/>
    <numFmt numFmtId="167" formatCode="0.0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sz val="13"/>
      <color rgb="FF000000"/>
      <name val="Times New Roman"/>
      <family val="2"/>
    </font>
    <font>
      <sz val="10"/>
      <color rgb="FF000000"/>
      <name val="Times New Roman"/>
      <family val="2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name val="Linux Libertine O"/>
      <family val="0"/>
      <charset val="1"/>
    </font>
    <font>
      <b val="true"/>
      <sz val="12"/>
      <name val="Times New Roman"/>
      <family val="1"/>
      <charset val="1"/>
    </font>
    <font>
      <i val="true"/>
      <sz val="12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B4C7DC"/>
        <bgColor rgb="FFB3B3B3"/>
      </patternFill>
    </fill>
    <fill>
      <patternFill patternType="solid">
        <fgColor rgb="FFAFD095"/>
        <bgColor rgb="FFB3B3B3"/>
      </patternFill>
    </fill>
    <fill>
      <patternFill patternType="solid">
        <fgColor rgb="FFB2B2B2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E0C2CD"/>
        <bgColor rgb="FFB4C7DC"/>
      </patternFill>
    </fill>
    <fill>
      <patternFill patternType="solid">
        <fgColor rgb="FFFF6D6D"/>
        <bgColor rgb="FFFF99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E0C2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D095"/>
      <rgbColor rgb="FFFFFF99"/>
      <rgbColor rgb="FFB3B3B3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B2B2B2"/>
      <rgbColor rgb="FF00458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300" spc="-1" strike="noStrike">
                <a:solidFill>
                  <a:srgbClr val="000000"/>
                </a:solidFill>
                <a:latin typeface="Times New Roman"/>
              </a:defRPr>
            </a:pPr>
            <a:r>
              <a:rPr b="0" lang="en-US" sz="1300" spc="-1" strike="noStrike">
                <a:solidFill>
                  <a:srgbClr val="000000"/>
                </a:solidFill>
                <a:latin typeface="Times New Roman"/>
              </a:rPr>
              <a:t>Y_i dependency on X_i with predictions and confidence intervals</a:t>
            </a:r>
          </a:p>
        </c:rich>
      </c:tx>
      <c:layout>
        <c:manualLayout>
          <c:xMode val="edge"/>
          <c:yMode val="edge"/>
          <c:x val="0.321309285237141"/>
          <c:y val="0.0407058568799394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788879345993575"/>
          <c:y val="0.139547472122984"/>
          <c:w val="0.867099277920921"/>
          <c:h val="0.744181011150807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4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Calculations!$B$2:$B$18</c:f>
              <c:numCache>
                <c:formatCode>General</c:formatCode>
                <c:ptCount val="17"/>
                <c:pt idx="0">
                  <c:v>1.18</c:v>
                </c:pt>
                <c:pt idx="1">
                  <c:v>4.21</c:v>
                </c:pt>
                <c:pt idx="2">
                  <c:v>4.35</c:v>
                </c:pt>
                <c:pt idx="3">
                  <c:v>4.36</c:v>
                </c:pt>
                <c:pt idx="4">
                  <c:v>6.44</c:v>
                </c:pt>
                <c:pt idx="5">
                  <c:v>9.01</c:v>
                </c:pt>
                <c:pt idx="6">
                  <c:v>9.54</c:v>
                </c:pt>
                <c:pt idx="7">
                  <c:v>10.1</c:v>
                </c:pt>
                <c:pt idx="8">
                  <c:v>10.5</c:v>
                </c:pt>
                <c:pt idx="9">
                  <c:v>11.47</c:v>
                </c:pt>
                <c:pt idx="10">
                  <c:v>14.08</c:v>
                </c:pt>
                <c:pt idx="11">
                  <c:v>14.21</c:v>
                </c:pt>
                <c:pt idx="12">
                  <c:v>14.43</c:v>
                </c:pt>
                <c:pt idx="13">
                  <c:v>15.59</c:v>
                </c:pt>
                <c:pt idx="14">
                  <c:v>15.77</c:v>
                </c:pt>
                <c:pt idx="15">
                  <c:v>16</c:v>
                </c:pt>
                <c:pt idx="16">
                  <c:v>16.02</c:v>
                </c:pt>
              </c:numCache>
            </c:numRef>
          </c:xVal>
          <c:yVal>
            <c:numRef>
              <c:f>Calculations!$C$2:$C$18</c:f>
              <c:numCache>
                <c:formatCode>General</c:formatCode>
                <c:ptCount val="17"/>
                <c:pt idx="0">
                  <c:v>10.2</c:v>
                </c:pt>
                <c:pt idx="1">
                  <c:v>10.3</c:v>
                </c:pt>
                <c:pt idx="2">
                  <c:v>10.5</c:v>
                </c:pt>
                <c:pt idx="3">
                  <c:v>11.3</c:v>
                </c:pt>
                <c:pt idx="4">
                  <c:v>12.7</c:v>
                </c:pt>
                <c:pt idx="5">
                  <c:v>12.2</c:v>
                </c:pt>
                <c:pt idx="6">
                  <c:v>12.8</c:v>
                </c:pt>
                <c:pt idx="7">
                  <c:v>12.2</c:v>
                </c:pt>
                <c:pt idx="8">
                  <c:v>12.9</c:v>
                </c:pt>
                <c:pt idx="9">
                  <c:v>11.35</c:v>
                </c:pt>
                <c:pt idx="10">
                  <c:v>14</c:v>
                </c:pt>
                <c:pt idx="11">
                  <c:v>14.09</c:v>
                </c:pt>
                <c:pt idx="12">
                  <c:v>13.21</c:v>
                </c:pt>
                <c:pt idx="13">
                  <c:v>15.28</c:v>
                </c:pt>
                <c:pt idx="14">
                  <c:v>14.4</c:v>
                </c:pt>
                <c:pt idx="15">
                  <c:v>14.9</c:v>
                </c:pt>
                <c:pt idx="16">
                  <c:v>13.6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81d41a"/>
            </a:solidFill>
            <a:ln w="28800">
              <a:solidFill>
                <a:srgbClr val="81d41a"/>
              </a:solidFill>
              <a:prstDash val="dashDot"/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Calculations!$B$27:$B$29</c:f>
              <c:numCache>
                <c:formatCode>General</c:formatCode>
                <c:ptCount val="3"/>
                <c:pt idx="0">
                  <c:v>16.8929411764706</c:v>
                </c:pt>
                <c:pt idx="1">
                  <c:v>17.7658823529412</c:v>
                </c:pt>
                <c:pt idx="2">
                  <c:v>18.6388235294118</c:v>
                </c:pt>
              </c:numCache>
            </c:numRef>
          </c:xVal>
          <c:yVal>
            <c:numRef>
              <c:f>Calculations!$F$27:$F$29</c:f>
              <c:numCache>
                <c:formatCode>General</c:formatCode>
                <c:ptCount val="3"/>
                <c:pt idx="0">
                  <c:v>15.9544567386691</c:v>
                </c:pt>
                <c:pt idx="1">
                  <c:v>16.2285476826395</c:v>
                </c:pt>
                <c:pt idx="2">
                  <c:v>16.5046704594733</c:v>
                </c:pt>
              </c:numCache>
            </c:numRef>
          </c:yVal>
          <c:smooth val="0"/>
        </c:ser>
        <c:ser>
          <c:idx val="2"/>
          <c:order val="2"/>
          <c:spPr>
            <a:solidFill>
              <a:srgbClr val="81d41a"/>
            </a:solidFill>
            <a:ln w="28800">
              <a:solidFill>
                <a:srgbClr val="81d41a"/>
              </a:solidFill>
              <a:prstDash val="dashDot"/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Calculations!$B$27:$B$29</c:f>
              <c:numCache>
                <c:formatCode>General</c:formatCode>
                <c:ptCount val="3"/>
                <c:pt idx="0">
                  <c:v>16.8929411764706</c:v>
                </c:pt>
                <c:pt idx="1">
                  <c:v>17.7658823529412</c:v>
                </c:pt>
                <c:pt idx="2">
                  <c:v>18.6388235294118</c:v>
                </c:pt>
              </c:numCache>
            </c:numRef>
          </c:xVal>
          <c:yVal>
            <c:numRef>
              <c:f>Calculations!$E$27:$E$29</c:f>
              <c:numCache>
                <c:formatCode>General</c:formatCode>
                <c:ptCount val="3"/>
                <c:pt idx="0">
                  <c:v>13.2376641678495</c:v>
                </c:pt>
                <c:pt idx="1">
                  <c:v>13.475060649117</c:v>
                </c:pt>
                <c:pt idx="2">
                  <c:v>13.7104252975212</c:v>
                </c:pt>
              </c:numCache>
            </c:numRef>
          </c:yVal>
          <c:smooth val="0"/>
        </c:ser>
        <c:ser>
          <c:idx val="3"/>
          <c:order val="3"/>
          <c:spPr>
            <a:solidFill>
              <a:srgbClr val="ff4000"/>
            </a:solidFill>
            <a:ln w="28800">
              <a:solidFill>
                <a:srgbClr val="ff4000"/>
              </a:solidFill>
              <a:prstDash val="dash"/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Calculations!$B$27:$B$29</c:f>
              <c:numCache>
                <c:formatCode>General</c:formatCode>
                <c:ptCount val="3"/>
                <c:pt idx="0">
                  <c:v>16.8929411764706</c:v>
                </c:pt>
                <c:pt idx="1">
                  <c:v>17.7658823529412</c:v>
                </c:pt>
                <c:pt idx="2">
                  <c:v>18.6388235294118</c:v>
                </c:pt>
              </c:numCache>
            </c:numRef>
          </c:xVal>
          <c:yVal>
            <c:numRef>
              <c:f>Calculations!$C$27:$C$29</c:f>
              <c:numCache>
                <c:formatCode>General</c:formatCode>
                <c:ptCount val="3"/>
                <c:pt idx="0">
                  <c:v>14.5960604532593</c:v>
                </c:pt>
                <c:pt idx="1">
                  <c:v>14.8518041658783</c:v>
                </c:pt>
                <c:pt idx="2">
                  <c:v>15.1075478784972</c:v>
                </c:pt>
              </c:numCache>
            </c:numRef>
          </c:yVal>
          <c:smooth val="0"/>
        </c:ser>
        <c:ser>
          <c:idx val="4"/>
          <c:order val="4"/>
          <c:spPr>
            <a:solidFill>
              <a:srgbClr val="ff4000"/>
            </a:solidFill>
            <a:ln w="28800">
              <a:solidFill>
                <a:srgbClr val="ff400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Calculations!$B$2:$B$18</c:f>
              <c:numCache>
                <c:formatCode>General</c:formatCode>
                <c:ptCount val="17"/>
                <c:pt idx="0">
                  <c:v>1.18</c:v>
                </c:pt>
                <c:pt idx="1">
                  <c:v>4.21</c:v>
                </c:pt>
                <c:pt idx="2">
                  <c:v>4.35</c:v>
                </c:pt>
                <c:pt idx="3">
                  <c:v>4.36</c:v>
                </c:pt>
                <c:pt idx="4">
                  <c:v>6.44</c:v>
                </c:pt>
                <c:pt idx="5">
                  <c:v>9.01</c:v>
                </c:pt>
                <c:pt idx="6">
                  <c:v>9.54</c:v>
                </c:pt>
                <c:pt idx="7">
                  <c:v>10.1</c:v>
                </c:pt>
                <c:pt idx="8">
                  <c:v>10.5</c:v>
                </c:pt>
                <c:pt idx="9">
                  <c:v>11.47</c:v>
                </c:pt>
                <c:pt idx="10">
                  <c:v>14.08</c:v>
                </c:pt>
                <c:pt idx="11">
                  <c:v>14.21</c:v>
                </c:pt>
                <c:pt idx="12">
                  <c:v>14.43</c:v>
                </c:pt>
                <c:pt idx="13">
                  <c:v>15.59</c:v>
                </c:pt>
                <c:pt idx="14">
                  <c:v>15.77</c:v>
                </c:pt>
                <c:pt idx="15">
                  <c:v>16</c:v>
                </c:pt>
                <c:pt idx="16">
                  <c:v>16.02</c:v>
                </c:pt>
              </c:numCache>
            </c:numRef>
          </c:xVal>
          <c:yVal>
            <c:numRef>
              <c:f>Calculations!$G$2:$G$18</c:f>
              <c:numCache>
                <c:formatCode>General</c:formatCode>
                <c:ptCount val="17"/>
                <c:pt idx="0">
                  <c:v>9.99267362611834</c:v>
                </c:pt>
                <c:pt idx="1">
                  <c:v>10.8803662566441</c:v>
                </c:pt>
                <c:pt idx="2">
                  <c:v>10.9213817577245</c:v>
                </c:pt>
                <c:pt idx="3">
                  <c:v>10.9243114363731</c:v>
                </c:pt>
                <c:pt idx="4">
                  <c:v>11.5336845952818</c:v>
                </c:pt>
                <c:pt idx="5">
                  <c:v>12.286612007972</c:v>
                </c:pt>
                <c:pt idx="6">
                  <c:v>12.4418849763477</c:v>
                </c:pt>
                <c:pt idx="7">
                  <c:v>12.6059469806693</c:v>
                </c:pt>
                <c:pt idx="8">
                  <c:v>12.7231341266133</c:v>
                </c:pt>
                <c:pt idx="9">
                  <c:v>13.0073129555275</c:v>
                </c:pt>
                <c:pt idx="10">
                  <c:v>13.771959082812</c:v>
                </c:pt>
                <c:pt idx="11">
                  <c:v>13.8100449052438</c:v>
                </c:pt>
                <c:pt idx="12">
                  <c:v>13.874497835513</c:v>
                </c:pt>
                <c:pt idx="13">
                  <c:v>14.2143405587506</c:v>
                </c:pt>
                <c:pt idx="14">
                  <c:v>14.2670747744254</c:v>
                </c:pt>
                <c:pt idx="15">
                  <c:v>14.3344573833432</c:v>
                </c:pt>
                <c:pt idx="16">
                  <c:v>14.3403167406404</c:v>
                </c:pt>
              </c:numCache>
            </c:numRef>
          </c:yVal>
          <c:smooth val="0"/>
        </c:ser>
        <c:ser>
          <c:idx val="5"/>
          <c:order val="5"/>
          <c:spPr>
            <a:solidFill>
              <a:srgbClr val="00a933"/>
            </a:solidFill>
            <a:ln w="28800">
              <a:solidFill>
                <a:srgbClr val="00a933"/>
              </a:solidFill>
              <a:prstDash val="sysDot"/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Calculations!$B$2:$B$19</c:f>
              <c:numCache>
                <c:formatCode>General</c:formatCode>
                <c:ptCount val="18"/>
                <c:pt idx="0">
                  <c:v>1.18</c:v>
                </c:pt>
                <c:pt idx="1">
                  <c:v>4.21</c:v>
                </c:pt>
                <c:pt idx="2">
                  <c:v>4.35</c:v>
                </c:pt>
                <c:pt idx="3">
                  <c:v>4.36</c:v>
                </c:pt>
                <c:pt idx="4">
                  <c:v>6.44</c:v>
                </c:pt>
                <c:pt idx="5">
                  <c:v>9.01</c:v>
                </c:pt>
                <c:pt idx="6">
                  <c:v>9.54</c:v>
                </c:pt>
                <c:pt idx="7">
                  <c:v>10.1</c:v>
                </c:pt>
                <c:pt idx="8">
                  <c:v>10.5</c:v>
                </c:pt>
                <c:pt idx="9">
                  <c:v>11.47</c:v>
                </c:pt>
                <c:pt idx="10">
                  <c:v>14.08</c:v>
                </c:pt>
                <c:pt idx="11">
                  <c:v>14.21</c:v>
                </c:pt>
                <c:pt idx="12">
                  <c:v>14.43</c:v>
                </c:pt>
                <c:pt idx="13">
                  <c:v>15.59</c:v>
                </c:pt>
                <c:pt idx="14">
                  <c:v>15.77</c:v>
                </c:pt>
                <c:pt idx="15">
                  <c:v>16</c:v>
                </c:pt>
                <c:pt idx="16">
                  <c:v>16.02</c:v>
                </c:pt>
                <c:pt idx="17">
                  <c:v>177.26</c:v>
                </c:pt>
              </c:numCache>
            </c:numRef>
          </c:xVal>
          <c:yVal>
            <c:numRef>
              <c:f>Calculations!$N$2:$N$18</c:f>
              <c:numCache>
                <c:formatCode>General</c:formatCode>
                <c:ptCount val="17"/>
                <c:pt idx="0">
                  <c:v>9.32265924069461</c:v>
                </c:pt>
                <c:pt idx="1">
                  <c:v>10.3765830516688</c:v>
                </c:pt>
                <c:pt idx="2">
                  <c:v>10.4247631014376</c:v>
                </c:pt>
                <c:pt idx="3">
                  <c:v>10.4282021973623</c:v>
                </c:pt>
                <c:pt idx="4">
                  <c:v>11.134887652039</c:v>
                </c:pt>
                <c:pt idx="5">
                  <c:v>11.968487312644</c:v>
                </c:pt>
                <c:pt idx="6">
                  <c:v>12.1318559456449</c:v>
                </c:pt>
                <c:pt idx="7">
                  <c:v>12.3005182747312</c:v>
                </c:pt>
                <c:pt idx="8">
                  <c:v>12.4183991441442</c:v>
                </c:pt>
                <c:pt idx="9">
                  <c:v>12.6952699616758</c:v>
                </c:pt>
                <c:pt idx="10">
                  <c:v>13.3867201119607</c:v>
                </c:pt>
                <c:pt idx="11">
                  <c:v>13.4196162834949</c:v>
                </c:pt>
                <c:pt idx="12">
                  <c:v>13.4750388931355</c:v>
                </c:pt>
                <c:pt idx="13">
                  <c:v>13.7628501025925</c:v>
                </c:pt>
                <c:pt idx="14">
                  <c:v>13.80694599432</c:v>
                </c:pt>
                <c:pt idx="15">
                  <c:v>13.8631045345071</c:v>
                </c:pt>
                <c:pt idx="16">
                  <c:v>13.8679784497437</c:v>
                </c:pt>
              </c:numCache>
            </c:numRef>
          </c:yVal>
          <c:smooth val="0"/>
        </c:ser>
        <c:ser>
          <c:idx val="6"/>
          <c:order val="6"/>
          <c:spPr>
            <a:solidFill>
              <a:srgbClr val="00a933"/>
            </a:solidFill>
            <a:ln w="28800">
              <a:solidFill>
                <a:srgbClr val="00a933"/>
              </a:solidFill>
              <a:prstDash val="sysDot"/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Calculations!$B$2:$B$18</c:f>
              <c:numCache>
                <c:formatCode>General</c:formatCode>
                <c:ptCount val="17"/>
                <c:pt idx="0">
                  <c:v>1.18</c:v>
                </c:pt>
                <c:pt idx="1">
                  <c:v>4.21</c:v>
                </c:pt>
                <c:pt idx="2">
                  <c:v>4.35</c:v>
                </c:pt>
                <c:pt idx="3">
                  <c:v>4.36</c:v>
                </c:pt>
                <c:pt idx="4">
                  <c:v>6.44</c:v>
                </c:pt>
                <c:pt idx="5">
                  <c:v>9.01</c:v>
                </c:pt>
                <c:pt idx="6">
                  <c:v>9.54</c:v>
                </c:pt>
                <c:pt idx="7">
                  <c:v>10.1</c:v>
                </c:pt>
                <c:pt idx="8">
                  <c:v>10.5</c:v>
                </c:pt>
                <c:pt idx="9">
                  <c:v>11.47</c:v>
                </c:pt>
                <c:pt idx="10">
                  <c:v>14.08</c:v>
                </c:pt>
                <c:pt idx="11">
                  <c:v>14.21</c:v>
                </c:pt>
                <c:pt idx="12">
                  <c:v>14.43</c:v>
                </c:pt>
                <c:pt idx="13">
                  <c:v>15.59</c:v>
                </c:pt>
                <c:pt idx="14">
                  <c:v>15.77</c:v>
                </c:pt>
                <c:pt idx="15">
                  <c:v>16</c:v>
                </c:pt>
                <c:pt idx="16">
                  <c:v>16.02</c:v>
                </c:pt>
              </c:numCache>
            </c:numRef>
          </c:xVal>
          <c:yVal>
            <c:numRef>
              <c:f>Calculations!$O$2:$O$18</c:f>
              <c:numCache>
                <c:formatCode>General</c:formatCode>
                <c:ptCount val="17"/>
                <c:pt idx="0">
                  <c:v>10.6626880115421</c:v>
                </c:pt>
                <c:pt idx="1">
                  <c:v>11.3841494616193</c:v>
                </c:pt>
                <c:pt idx="2">
                  <c:v>11.4180004140114</c:v>
                </c:pt>
                <c:pt idx="3">
                  <c:v>11.4204206753839</c:v>
                </c:pt>
                <c:pt idx="4">
                  <c:v>11.9324815385246</c:v>
                </c:pt>
                <c:pt idx="5">
                  <c:v>12.6047367032999</c:v>
                </c:pt>
                <c:pt idx="6">
                  <c:v>12.7519140070506</c:v>
                </c:pt>
                <c:pt idx="7">
                  <c:v>12.9113756866074</c:v>
                </c:pt>
                <c:pt idx="8">
                  <c:v>13.0278691090824</c:v>
                </c:pt>
                <c:pt idx="9">
                  <c:v>13.3193559493792</c:v>
                </c:pt>
                <c:pt idx="10">
                  <c:v>14.1571980536634</c:v>
                </c:pt>
                <c:pt idx="11">
                  <c:v>14.2004735269928</c:v>
                </c:pt>
                <c:pt idx="12">
                  <c:v>14.2739567778906</c:v>
                </c:pt>
                <c:pt idx="13">
                  <c:v>14.6658310149087</c:v>
                </c:pt>
                <c:pt idx="14">
                  <c:v>14.7272035545308</c:v>
                </c:pt>
                <c:pt idx="15">
                  <c:v>14.8058102321793</c:v>
                </c:pt>
                <c:pt idx="16">
                  <c:v>14.8126550315371</c:v>
                </c:pt>
              </c:numCache>
            </c:numRef>
          </c:yVal>
          <c:smooth val="0"/>
        </c:ser>
        <c:axId val="46049116"/>
        <c:axId val="21887853"/>
      </c:scatterChart>
      <c:valAx>
        <c:axId val="46049116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numFmt formatCode="0.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Times New Roman"/>
              </a:defRPr>
            </a:pPr>
          </a:p>
        </c:txPr>
        <c:crossAx val="21887853"/>
        <c:crossesAt val="0"/>
        <c:crossBetween val="midCat"/>
      </c:valAx>
      <c:valAx>
        <c:axId val="2188785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.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Times New Roman"/>
              </a:defRPr>
            </a:pPr>
          </a:p>
        </c:txPr>
        <c:crossAx val="46049116"/>
        <c:crossesAt val="0"/>
        <c:crossBetween val="midCat"/>
      </c:valAx>
      <c:spPr>
        <a:noFill/>
        <a:ln w="0">
          <a:solidFill>
            <a:srgbClr val="b3b3b3"/>
          </a:solidFill>
          <a:prstDash val="sysDot"/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Input data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5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Calculations!$B$2:$B$18</c:f>
              <c:numCache>
                <c:formatCode>General</c:formatCode>
                <c:ptCount val="17"/>
                <c:pt idx="0">
                  <c:v>1.18</c:v>
                </c:pt>
                <c:pt idx="1">
                  <c:v>4.21</c:v>
                </c:pt>
                <c:pt idx="2">
                  <c:v>4.35</c:v>
                </c:pt>
                <c:pt idx="3">
                  <c:v>4.36</c:v>
                </c:pt>
                <c:pt idx="4">
                  <c:v>6.44</c:v>
                </c:pt>
                <c:pt idx="5">
                  <c:v>9.01</c:v>
                </c:pt>
                <c:pt idx="6">
                  <c:v>9.54</c:v>
                </c:pt>
                <c:pt idx="7">
                  <c:v>10.1</c:v>
                </c:pt>
                <c:pt idx="8">
                  <c:v>10.5</c:v>
                </c:pt>
                <c:pt idx="9">
                  <c:v>11.47</c:v>
                </c:pt>
                <c:pt idx="10">
                  <c:v>14.08</c:v>
                </c:pt>
                <c:pt idx="11">
                  <c:v>14.21</c:v>
                </c:pt>
                <c:pt idx="12">
                  <c:v>14.43</c:v>
                </c:pt>
                <c:pt idx="13">
                  <c:v>15.59</c:v>
                </c:pt>
                <c:pt idx="14">
                  <c:v>15.77</c:v>
                </c:pt>
                <c:pt idx="15">
                  <c:v>16</c:v>
                </c:pt>
                <c:pt idx="16">
                  <c:v>16.02</c:v>
                </c:pt>
              </c:numCache>
            </c:numRef>
          </c:xVal>
          <c:yVal>
            <c:numRef>
              <c:f>Calculations!$C$2:$C$18</c:f>
              <c:numCache>
                <c:formatCode>General</c:formatCode>
                <c:ptCount val="17"/>
                <c:pt idx="0">
                  <c:v>10.2</c:v>
                </c:pt>
                <c:pt idx="1">
                  <c:v>10.3</c:v>
                </c:pt>
                <c:pt idx="2">
                  <c:v>10.5</c:v>
                </c:pt>
                <c:pt idx="3">
                  <c:v>11.3</c:v>
                </c:pt>
                <c:pt idx="4">
                  <c:v>12.7</c:v>
                </c:pt>
                <c:pt idx="5">
                  <c:v>12.2</c:v>
                </c:pt>
                <c:pt idx="6">
                  <c:v>12.8</c:v>
                </c:pt>
                <c:pt idx="7">
                  <c:v>12.2</c:v>
                </c:pt>
                <c:pt idx="8">
                  <c:v>12.9</c:v>
                </c:pt>
                <c:pt idx="9">
                  <c:v>11.35</c:v>
                </c:pt>
                <c:pt idx="10">
                  <c:v>14</c:v>
                </c:pt>
                <c:pt idx="11">
                  <c:v>14.09</c:v>
                </c:pt>
                <c:pt idx="12">
                  <c:v>13.21</c:v>
                </c:pt>
                <c:pt idx="13">
                  <c:v>15.28</c:v>
                </c:pt>
                <c:pt idx="14">
                  <c:v>14.4</c:v>
                </c:pt>
                <c:pt idx="15">
                  <c:v>14.9</c:v>
                </c:pt>
                <c:pt idx="16">
                  <c:v>13.6</c:v>
                </c:pt>
              </c:numCache>
            </c:numRef>
          </c:yVal>
          <c:smooth val="0"/>
        </c:ser>
        <c:axId val="94915536"/>
        <c:axId val="55927030"/>
      </c:scatterChart>
      <c:valAx>
        <c:axId val="9491553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X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5927030"/>
        <c:crosses val="autoZero"/>
        <c:crossBetween val="midCat"/>
      </c:valAx>
      <c:valAx>
        <c:axId val="5592703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4915536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Regression line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5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Calculations!$B$2:$B$18</c:f>
              <c:numCache>
                <c:formatCode>General</c:formatCode>
                <c:ptCount val="17"/>
                <c:pt idx="0">
                  <c:v>1.18</c:v>
                </c:pt>
                <c:pt idx="1">
                  <c:v>4.21</c:v>
                </c:pt>
                <c:pt idx="2">
                  <c:v>4.35</c:v>
                </c:pt>
                <c:pt idx="3">
                  <c:v>4.36</c:v>
                </c:pt>
                <c:pt idx="4">
                  <c:v>6.44</c:v>
                </c:pt>
                <c:pt idx="5">
                  <c:v>9.01</c:v>
                </c:pt>
                <c:pt idx="6">
                  <c:v>9.54</c:v>
                </c:pt>
                <c:pt idx="7">
                  <c:v>10.1</c:v>
                </c:pt>
                <c:pt idx="8">
                  <c:v>10.5</c:v>
                </c:pt>
                <c:pt idx="9">
                  <c:v>11.47</c:v>
                </c:pt>
                <c:pt idx="10">
                  <c:v>14.08</c:v>
                </c:pt>
                <c:pt idx="11">
                  <c:v>14.21</c:v>
                </c:pt>
                <c:pt idx="12">
                  <c:v>14.43</c:v>
                </c:pt>
                <c:pt idx="13">
                  <c:v>15.59</c:v>
                </c:pt>
                <c:pt idx="14">
                  <c:v>15.77</c:v>
                </c:pt>
                <c:pt idx="15">
                  <c:v>16</c:v>
                </c:pt>
                <c:pt idx="16">
                  <c:v>16.02</c:v>
                </c:pt>
              </c:numCache>
            </c:numRef>
          </c:xVal>
          <c:yVal>
            <c:numRef>
              <c:f>Calculations!$C$2:$C$18</c:f>
              <c:numCache>
                <c:formatCode>General</c:formatCode>
                <c:ptCount val="17"/>
                <c:pt idx="0">
                  <c:v>10.2</c:v>
                </c:pt>
                <c:pt idx="1">
                  <c:v>10.3</c:v>
                </c:pt>
                <c:pt idx="2">
                  <c:v>10.5</c:v>
                </c:pt>
                <c:pt idx="3">
                  <c:v>11.3</c:v>
                </c:pt>
                <c:pt idx="4">
                  <c:v>12.7</c:v>
                </c:pt>
                <c:pt idx="5">
                  <c:v>12.2</c:v>
                </c:pt>
                <c:pt idx="6">
                  <c:v>12.8</c:v>
                </c:pt>
                <c:pt idx="7">
                  <c:v>12.2</c:v>
                </c:pt>
                <c:pt idx="8">
                  <c:v>12.9</c:v>
                </c:pt>
                <c:pt idx="9">
                  <c:v>11.35</c:v>
                </c:pt>
                <c:pt idx="10">
                  <c:v>14</c:v>
                </c:pt>
                <c:pt idx="11">
                  <c:v>14.09</c:v>
                </c:pt>
                <c:pt idx="12">
                  <c:v>13.21</c:v>
                </c:pt>
                <c:pt idx="13">
                  <c:v>15.28</c:v>
                </c:pt>
                <c:pt idx="14">
                  <c:v>14.4</c:v>
                </c:pt>
                <c:pt idx="15">
                  <c:v>14.9</c:v>
                </c:pt>
                <c:pt idx="16">
                  <c:v>13.6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000"/>
            </a:solidFill>
            <a:ln w="28800">
              <a:solidFill>
                <a:srgbClr val="ff400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Calculations!$B$2:$B$18</c:f>
              <c:numCache>
                <c:formatCode>General</c:formatCode>
                <c:ptCount val="17"/>
                <c:pt idx="0">
                  <c:v>1.18</c:v>
                </c:pt>
                <c:pt idx="1">
                  <c:v>4.21</c:v>
                </c:pt>
                <c:pt idx="2">
                  <c:v>4.35</c:v>
                </c:pt>
                <c:pt idx="3">
                  <c:v>4.36</c:v>
                </c:pt>
                <c:pt idx="4">
                  <c:v>6.44</c:v>
                </c:pt>
                <c:pt idx="5">
                  <c:v>9.01</c:v>
                </c:pt>
                <c:pt idx="6">
                  <c:v>9.54</c:v>
                </c:pt>
                <c:pt idx="7">
                  <c:v>10.1</c:v>
                </c:pt>
                <c:pt idx="8">
                  <c:v>10.5</c:v>
                </c:pt>
                <c:pt idx="9">
                  <c:v>11.47</c:v>
                </c:pt>
                <c:pt idx="10">
                  <c:v>14.08</c:v>
                </c:pt>
                <c:pt idx="11">
                  <c:v>14.21</c:v>
                </c:pt>
                <c:pt idx="12">
                  <c:v>14.43</c:v>
                </c:pt>
                <c:pt idx="13">
                  <c:v>15.59</c:v>
                </c:pt>
                <c:pt idx="14">
                  <c:v>15.77</c:v>
                </c:pt>
                <c:pt idx="15">
                  <c:v>16</c:v>
                </c:pt>
                <c:pt idx="16">
                  <c:v>16.02</c:v>
                </c:pt>
              </c:numCache>
            </c:numRef>
          </c:xVal>
          <c:yVal>
            <c:numRef>
              <c:f>Calculations!$G$2:$G$18</c:f>
              <c:numCache>
                <c:formatCode>General</c:formatCode>
                <c:ptCount val="17"/>
                <c:pt idx="0">
                  <c:v>9.99267362611834</c:v>
                </c:pt>
                <c:pt idx="1">
                  <c:v>10.8803662566441</c:v>
                </c:pt>
                <c:pt idx="2">
                  <c:v>10.9213817577245</c:v>
                </c:pt>
                <c:pt idx="3">
                  <c:v>10.9243114363731</c:v>
                </c:pt>
                <c:pt idx="4">
                  <c:v>11.5336845952818</c:v>
                </c:pt>
                <c:pt idx="5">
                  <c:v>12.286612007972</c:v>
                </c:pt>
                <c:pt idx="6">
                  <c:v>12.4418849763477</c:v>
                </c:pt>
                <c:pt idx="7">
                  <c:v>12.6059469806693</c:v>
                </c:pt>
                <c:pt idx="8">
                  <c:v>12.7231341266133</c:v>
                </c:pt>
                <c:pt idx="9">
                  <c:v>13.0073129555275</c:v>
                </c:pt>
                <c:pt idx="10">
                  <c:v>13.771959082812</c:v>
                </c:pt>
                <c:pt idx="11">
                  <c:v>13.8100449052438</c:v>
                </c:pt>
                <c:pt idx="12">
                  <c:v>13.874497835513</c:v>
                </c:pt>
                <c:pt idx="13">
                  <c:v>14.2143405587506</c:v>
                </c:pt>
                <c:pt idx="14">
                  <c:v>14.2670747744254</c:v>
                </c:pt>
                <c:pt idx="15">
                  <c:v>14.3344573833432</c:v>
                </c:pt>
                <c:pt idx="16">
                  <c:v>14.3403167406404</c:v>
                </c:pt>
              </c:numCache>
            </c:numRef>
          </c:yVal>
          <c:smooth val="0"/>
        </c:ser>
        <c:axId val="24269356"/>
        <c:axId val="96521967"/>
      </c:scatterChart>
      <c:valAx>
        <c:axId val="2426935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X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6521967"/>
        <c:crosses val="autoZero"/>
        <c:crossBetween val="midCat"/>
      </c:valAx>
      <c:valAx>
        <c:axId val="9652196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4269356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Y_i dependency on X_i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5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Analysis_block!$B$2:$B$18,Analysis_block!$B$52:$B$68</c:f>
              <c:numCache>
                <c:formatCode>General</c:formatCode>
                <c:ptCount val="34"/>
                <c:pt idx="0">
                  <c:v>1.18</c:v>
                </c:pt>
                <c:pt idx="1">
                  <c:v>4.21</c:v>
                </c:pt>
                <c:pt idx="2">
                  <c:v>4.35</c:v>
                </c:pt>
                <c:pt idx="3">
                  <c:v>4.36</c:v>
                </c:pt>
                <c:pt idx="4">
                  <c:v>6.44</c:v>
                </c:pt>
                <c:pt idx="5">
                  <c:v>9.01</c:v>
                </c:pt>
                <c:pt idx="6">
                  <c:v>9.54</c:v>
                </c:pt>
                <c:pt idx="7">
                  <c:v>10.1</c:v>
                </c:pt>
                <c:pt idx="8">
                  <c:v>10.5</c:v>
                </c:pt>
                <c:pt idx="9">
                  <c:v>11.47</c:v>
                </c:pt>
                <c:pt idx="10">
                  <c:v>14.08</c:v>
                </c:pt>
                <c:pt idx="11">
                  <c:v>14.21</c:v>
                </c:pt>
                <c:pt idx="12">
                  <c:v>14.43</c:v>
                </c:pt>
                <c:pt idx="13">
                  <c:v>15.59</c:v>
                </c:pt>
                <c:pt idx="14">
                  <c:v>15.77</c:v>
                </c:pt>
                <c:pt idx="15">
                  <c:v>16</c:v>
                </c:pt>
                <c:pt idx="16">
                  <c:v>16.02</c:v>
                </c:pt>
                <c:pt idx="17">
                  <c:v>9.99267362611835</c:v>
                </c:pt>
                <c:pt idx="18">
                  <c:v>10.8803662566441</c:v>
                </c:pt>
                <c:pt idx="19">
                  <c:v>10.9213817577245</c:v>
                </c:pt>
                <c:pt idx="20">
                  <c:v>10.9243114363731</c:v>
                </c:pt>
                <c:pt idx="21">
                  <c:v>11.5336845952818</c:v>
                </c:pt>
                <c:pt idx="22">
                  <c:v>12.286612007972</c:v>
                </c:pt>
                <c:pt idx="23">
                  <c:v>12.4418849763477</c:v>
                </c:pt>
                <c:pt idx="24">
                  <c:v>12.6059469806693</c:v>
                </c:pt>
                <c:pt idx="25">
                  <c:v>12.7231341266133</c:v>
                </c:pt>
                <c:pt idx="26">
                  <c:v>13.0073129555275</c:v>
                </c:pt>
                <c:pt idx="27">
                  <c:v>13.771959082812</c:v>
                </c:pt>
                <c:pt idx="28">
                  <c:v>13.8100449052438</c:v>
                </c:pt>
                <c:pt idx="29">
                  <c:v>13.874497835513</c:v>
                </c:pt>
                <c:pt idx="30">
                  <c:v>14.2143405587506</c:v>
                </c:pt>
                <c:pt idx="31">
                  <c:v>14.2670747744254</c:v>
                </c:pt>
                <c:pt idx="32">
                  <c:v>14.3344573833432</c:v>
                </c:pt>
                <c:pt idx="33">
                  <c:v>14.3403167406404</c:v>
                </c:pt>
              </c:numCache>
            </c:numRef>
          </c:xVal>
          <c:yVal>
            <c:numRef>
              <c:f>Analysis_block!$C$2:$C$18</c:f>
              <c:numCache>
                <c:formatCode>General</c:formatCode>
                <c:ptCount val="17"/>
                <c:pt idx="0">
                  <c:v>10.2</c:v>
                </c:pt>
                <c:pt idx="1">
                  <c:v>10.3</c:v>
                </c:pt>
                <c:pt idx="2">
                  <c:v>10.5</c:v>
                </c:pt>
                <c:pt idx="3">
                  <c:v>11.3</c:v>
                </c:pt>
                <c:pt idx="4">
                  <c:v>12.7</c:v>
                </c:pt>
                <c:pt idx="5">
                  <c:v>12.2</c:v>
                </c:pt>
                <c:pt idx="6">
                  <c:v>12.8</c:v>
                </c:pt>
                <c:pt idx="7">
                  <c:v>12.2</c:v>
                </c:pt>
                <c:pt idx="8">
                  <c:v>12.9</c:v>
                </c:pt>
                <c:pt idx="9">
                  <c:v>11.35</c:v>
                </c:pt>
                <c:pt idx="10">
                  <c:v>14</c:v>
                </c:pt>
                <c:pt idx="11">
                  <c:v>14.09</c:v>
                </c:pt>
                <c:pt idx="12">
                  <c:v>13.21</c:v>
                </c:pt>
                <c:pt idx="13">
                  <c:v>15.28</c:v>
                </c:pt>
                <c:pt idx="14">
                  <c:v>14.4</c:v>
                </c:pt>
                <c:pt idx="15">
                  <c:v>14.9</c:v>
                </c:pt>
                <c:pt idx="16">
                  <c:v>13.6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81d41a"/>
            </a:solidFill>
            <a:ln w="28800">
              <a:solidFill>
                <a:srgbClr val="81d41a"/>
              </a:solidFill>
              <a:prstDash val="sysDot"/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Analysis_block!$B$2:$B$18,Analysis_block!$B$52:$B$68</c:f>
              <c:numCache>
                <c:formatCode>General</c:formatCode>
                <c:ptCount val="34"/>
                <c:pt idx="0">
                  <c:v>1.18</c:v>
                </c:pt>
                <c:pt idx="1">
                  <c:v>4.21</c:v>
                </c:pt>
                <c:pt idx="2">
                  <c:v>4.35</c:v>
                </c:pt>
                <c:pt idx="3">
                  <c:v>4.36</c:v>
                </c:pt>
                <c:pt idx="4">
                  <c:v>6.44</c:v>
                </c:pt>
                <c:pt idx="5">
                  <c:v>9.01</c:v>
                </c:pt>
                <c:pt idx="6">
                  <c:v>9.54</c:v>
                </c:pt>
                <c:pt idx="7">
                  <c:v>10.1</c:v>
                </c:pt>
                <c:pt idx="8">
                  <c:v>10.5</c:v>
                </c:pt>
                <c:pt idx="9">
                  <c:v>11.47</c:v>
                </c:pt>
                <c:pt idx="10">
                  <c:v>14.08</c:v>
                </c:pt>
                <c:pt idx="11">
                  <c:v>14.21</c:v>
                </c:pt>
                <c:pt idx="12">
                  <c:v>14.43</c:v>
                </c:pt>
                <c:pt idx="13">
                  <c:v>15.59</c:v>
                </c:pt>
                <c:pt idx="14">
                  <c:v>15.77</c:v>
                </c:pt>
                <c:pt idx="15">
                  <c:v>16</c:v>
                </c:pt>
                <c:pt idx="16">
                  <c:v>16.02</c:v>
                </c:pt>
                <c:pt idx="17">
                  <c:v>9.99267362611835</c:v>
                </c:pt>
                <c:pt idx="18">
                  <c:v>10.8803662566441</c:v>
                </c:pt>
                <c:pt idx="19">
                  <c:v>10.9213817577245</c:v>
                </c:pt>
                <c:pt idx="20">
                  <c:v>10.9243114363731</c:v>
                </c:pt>
                <c:pt idx="21">
                  <c:v>11.5336845952818</c:v>
                </c:pt>
                <c:pt idx="22">
                  <c:v>12.286612007972</c:v>
                </c:pt>
                <c:pt idx="23">
                  <c:v>12.4418849763477</c:v>
                </c:pt>
                <c:pt idx="24">
                  <c:v>12.6059469806693</c:v>
                </c:pt>
                <c:pt idx="25">
                  <c:v>12.7231341266133</c:v>
                </c:pt>
                <c:pt idx="26">
                  <c:v>13.0073129555275</c:v>
                </c:pt>
                <c:pt idx="27">
                  <c:v>13.771959082812</c:v>
                </c:pt>
                <c:pt idx="28">
                  <c:v>13.8100449052438</c:v>
                </c:pt>
                <c:pt idx="29">
                  <c:v>13.874497835513</c:v>
                </c:pt>
                <c:pt idx="30">
                  <c:v>14.2143405587506</c:v>
                </c:pt>
                <c:pt idx="31">
                  <c:v>14.2670747744254</c:v>
                </c:pt>
                <c:pt idx="32">
                  <c:v>14.3344573833432</c:v>
                </c:pt>
                <c:pt idx="33">
                  <c:v>14.3403167406404</c:v>
                </c:pt>
              </c:numCache>
            </c:numRef>
          </c:xVal>
          <c:yVal>
            <c:numRef>
              <c:f>Analysis_block!$I$52:$I$68</c:f>
              <c:numCache>
                <c:formatCode>General</c:formatCode>
                <c:ptCount val="17"/>
                <c:pt idx="0">
                  <c:v>10.6468704700665</c:v>
                </c:pt>
                <c:pt idx="1">
                  <c:v>11.3746632342851</c:v>
                </c:pt>
                <c:pt idx="2">
                  <c:v>11.4088073291347</c:v>
                </c:pt>
                <c:pt idx="3">
                  <c:v>11.4112485193033</c:v>
                </c:pt>
                <c:pt idx="4">
                  <c:v>11.9275691173991</c:v>
                </c:pt>
                <c:pt idx="5">
                  <c:v>12.6039626585689</c:v>
                </c:pt>
                <c:pt idx="6">
                  <c:v>12.7516029934499</c:v>
                </c:pt>
                <c:pt idx="7">
                  <c:v>12.911332789165</c:v>
                </c:pt>
                <c:pt idx="8">
                  <c:v>13.027866970708</c:v>
                </c:pt>
                <c:pt idx="9">
                  <c:v>13.3189287195075</c:v>
                </c:pt>
                <c:pt idx="10">
                  <c:v>14.1529320082469</c:v>
                </c:pt>
                <c:pt idx="11">
                  <c:v>14.1959581378596</c:v>
                </c:pt>
                <c:pt idx="12">
                  <c:v>14.2690132046515</c:v>
                </c:pt>
                <c:pt idx="13">
                  <c:v>14.6585410544182</c:v>
                </c:pt>
                <c:pt idx="14">
                  <c:v>14.7195410333198</c:v>
                </c:pt>
                <c:pt idx="15">
                  <c:v>14.797669784353</c:v>
                </c:pt>
                <c:pt idx="16">
                  <c:v>14.8044729409398</c:v>
                </c:pt>
              </c:numCache>
            </c:numRef>
          </c:yVal>
          <c:smooth val="0"/>
        </c:ser>
        <c:ser>
          <c:idx val="2"/>
          <c:order val="2"/>
          <c:spPr>
            <a:solidFill>
              <a:srgbClr val="81d41a"/>
            </a:solidFill>
            <a:ln w="28800">
              <a:solidFill>
                <a:srgbClr val="81d41a"/>
              </a:solidFill>
              <a:prstDash val="sysDot"/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Analysis_block!$B$2:$B$18,Analysis_block!$B$52:$B$68</c:f>
              <c:numCache>
                <c:formatCode>General</c:formatCode>
                <c:ptCount val="34"/>
                <c:pt idx="0">
                  <c:v>1.18</c:v>
                </c:pt>
                <c:pt idx="1">
                  <c:v>4.21</c:v>
                </c:pt>
                <c:pt idx="2">
                  <c:v>4.35</c:v>
                </c:pt>
                <c:pt idx="3">
                  <c:v>4.36</c:v>
                </c:pt>
                <c:pt idx="4">
                  <c:v>6.44</c:v>
                </c:pt>
                <c:pt idx="5">
                  <c:v>9.01</c:v>
                </c:pt>
                <c:pt idx="6">
                  <c:v>9.54</c:v>
                </c:pt>
                <c:pt idx="7">
                  <c:v>10.1</c:v>
                </c:pt>
                <c:pt idx="8">
                  <c:v>10.5</c:v>
                </c:pt>
                <c:pt idx="9">
                  <c:v>11.47</c:v>
                </c:pt>
                <c:pt idx="10">
                  <c:v>14.08</c:v>
                </c:pt>
                <c:pt idx="11">
                  <c:v>14.21</c:v>
                </c:pt>
                <c:pt idx="12">
                  <c:v>14.43</c:v>
                </c:pt>
                <c:pt idx="13">
                  <c:v>15.59</c:v>
                </c:pt>
                <c:pt idx="14">
                  <c:v>15.77</c:v>
                </c:pt>
                <c:pt idx="15">
                  <c:v>16</c:v>
                </c:pt>
                <c:pt idx="16">
                  <c:v>16.02</c:v>
                </c:pt>
                <c:pt idx="17">
                  <c:v>9.99267362611835</c:v>
                </c:pt>
                <c:pt idx="18">
                  <c:v>10.8803662566441</c:v>
                </c:pt>
                <c:pt idx="19">
                  <c:v>10.9213817577245</c:v>
                </c:pt>
                <c:pt idx="20">
                  <c:v>10.9243114363731</c:v>
                </c:pt>
                <c:pt idx="21">
                  <c:v>11.5336845952818</c:v>
                </c:pt>
                <c:pt idx="22">
                  <c:v>12.286612007972</c:v>
                </c:pt>
                <c:pt idx="23">
                  <c:v>12.4418849763477</c:v>
                </c:pt>
                <c:pt idx="24">
                  <c:v>12.6059469806693</c:v>
                </c:pt>
                <c:pt idx="25">
                  <c:v>12.7231341266133</c:v>
                </c:pt>
                <c:pt idx="26">
                  <c:v>13.0073129555275</c:v>
                </c:pt>
                <c:pt idx="27">
                  <c:v>13.771959082812</c:v>
                </c:pt>
                <c:pt idx="28">
                  <c:v>13.8100449052438</c:v>
                </c:pt>
                <c:pt idx="29">
                  <c:v>13.874497835513</c:v>
                </c:pt>
                <c:pt idx="30">
                  <c:v>14.2143405587506</c:v>
                </c:pt>
                <c:pt idx="31">
                  <c:v>14.2670747744254</c:v>
                </c:pt>
                <c:pt idx="32">
                  <c:v>14.3344573833432</c:v>
                </c:pt>
                <c:pt idx="33">
                  <c:v>14.3403167406404</c:v>
                </c:pt>
              </c:numCache>
            </c:numRef>
          </c:xVal>
          <c:yVal>
            <c:numRef>
              <c:f>Analysis_block!$H$52:$H$68</c:f>
              <c:numCache>
                <c:formatCode>General</c:formatCode>
                <c:ptCount val="17"/>
                <c:pt idx="0">
                  <c:v>9.33847678217019</c:v>
                </c:pt>
                <c:pt idx="1">
                  <c:v>10.386069279003</c:v>
                </c:pt>
                <c:pt idx="2">
                  <c:v>10.4339561863142</c:v>
                </c:pt>
                <c:pt idx="3">
                  <c:v>10.4373743534429</c:v>
                </c:pt>
                <c:pt idx="4">
                  <c:v>11.1398000731645</c:v>
                </c:pt>
                <c:pt idx="5">
                  <c:v>11.969261357375</c:v>
                </c:pt>
                <c:pt idx="6">
                  <c:v>12.1321669592456</c:v>
                </c:pt>
                <c:pt idx="7">
                  <c:v>12.3005611721736</c:v>
                </c:pt>
                <c:pt idx="8">
                  <c:v>12.4184012825186</c:v>
                </c:pt>
                <c:pt idx="9">
                  <c:v>12.6956971915475</c:v>
                </c:pt>
                <c:pt idx="10">
                  <c:v>13.3909861573771</c:v>
                </c:pt>
                <c:pt idx="11">
                  <c:v>13.424131672628</c:v>
                </c:pt>
                <c:pt idx="12">
                  <c:v>13.4799824663746</c:v>
                </c:pt>
                <c:pt idx="13">
                  <c:v>13.770140063083</c:v>
                </c:pt>
                <c:pt idx="14">
                  <c:v>13.814608515531</c:v>
                </c:pt>
                <c:pt idx="15">
                  <c:v>13.8712449823334</c:v>
                </c:pt>
                <c:pt idx="16">
                  <c:v>13.8761605403409</c:v>
                </c:pt>
              </c:numCache>
            </c:numRef>
          </c:yVal>
          <c:smooth val="0"/>
        </c:ser>
        <c:ser>
          <c:idx val="3"/>
          <c:order val="3"/>
          <c:spPr>
            <a:solidFill>
              <a:srgbClr val="81d41a"/>
            </a:solidFill>
            <a:ln w="28800">
              <a:solidFill>
                <a:srgbClr val="81d41a"/>
              </a:solidFill>
              <a:prstDash val="dashDot"/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Analysis_block!$L$52:$L$54</c:f>
              <c:numCache>
                <c:formatCode>General</c:formatCode>
                <c:ptCount val="3"/>
                <c:pt idx="0">
                  <c:v>16.8929411764706</c:v>
                </c:pt>
                <c:pt idx="1">
                  <c:v>17.7658823529412</c:v>
                </c:pt>
                <c:pt idx="2">
                  <c:v>18.6388235294118</c:v>
                </c:pt>
              </c:numCache>
            </c:numRef>
          </c:xVal>
          <c:yVal>
            <c:numRef>
              <c:f>Analysis_block!$P$52:$P$54</c:f>
              <c:numCache>
                <c:formatCode>General</c:formatCode>
                <c:ptCount val="3"/>
                <c:pt idx="0">
                  <c:v>15.9544567386691</c:v>
                </c:pt>
                <c:pt idx="1">
                  <c:v>16.2285476826395</c:v>
                </c:pt>
                <c:pt idx="2">
                  <c:v>16.5046704594733</c:v>
                </c:pt>
              </c:numCache>
            </c:numRef>
          </c:yVal>
          <c:smooth val="0"/>
        </c:ser>
        <c:ser>
          <c:idx val="4"/>
          <c:order val="4"/>
          <c:spPr>
            <a:solidFill>
              <a:srgbClr val="81d41a"/>
            </a:solidFill>
            <a:ln w="28800">
              <a:solidFill>
                <a:srgbClr val="81d41a"/>
              </a:solidFill>
              <a:prstDash val="dashDot"/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Analysis_block!$L$52:$L$54</c:f>
              <c:numCache>
                <c:formatCode>General</c:formatCode>
                <c:ptCount val="3"/>
                <c:pt idx="0">
                  <c:v>16.8929411764706</c:v>
                </c:pt>
                <c:pt idx="1">
                  <c:v>17.7658823529412</c:v>
                </c:pt>
                <c:pt idx="2">
                  <c:v>18.6388235294118</c:v>
                </c:pt>
              </c:numCache>
            </c:numRef>
          </c:xVal>
          <c:yVal>
            <c:numRef>
              <c:f>Analysis_block!$O$52:$O$54</c:f>
              <c:numCache>
                <c:formatCode>General</c:formatCode>
                <c:ptCount val="3"/>
                <c:pt idx="0">
                  <c:v>13.2376641678495</c:v>
                </c:pt>
                <c:pt idx="1">
                  <c:v>13.475060649117</c:v>
                </c:pt>
                <c:pt idx="2">
                  <c:v>13.7104252975212</c:v>
                </c:pt>
              </c:numCache>
            </c:numRef>
          </c:yVal>
          <c:smooth val="0"/>
        </c:ser>
        <c:ser>
          <c:idx val="5"/>
          <c:order val="5"/>
          <c:spPr>
            <a:solidFill>
              <a:srgbClr val="ff4000"/>
            </a:solidFill>
            <a:ln w="28800">
              <a:solidFill>
                <a:srgbClr val="ff4000"/>
              </a:solidFill>
              <a:prstDash val="dash"/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Analysis_block!$L$52:$L$54</c:f>
              <c:numCache>
                <c:formatCode>General</c:formatCode>
                <c:ptCount val="3"/>
                <c:pt idx="0">
                  <c:v>16.8929411764706</c:v>
                </c:pt>
                <c:pt idx="1">
                  <c:v>17.7658823529412</c:v>
                </c:pt>
                <c:pt idx="2">
                  <c:v>18.6388235294118</c:v>
                </c:pt>
              </c:numCache>
            </c:numRef>
          </c:xVal>
          <c:yVal>
            <c:numRef>
              <c:f>Analysis_block!$M$52:$M$54</c:f>
              <c:numCache>
                <c:formatCode>General</c:formatCode>
                <c:ptCount val="3"/>
                <c:pt idx="0">
                  <c:v>14.5960604532593</c:v>
                </c:pt>
                <c:pt idx="1">
                  <c:v>14.8518041658783</c:v>
                </c:pt>
                <c:pt idx="2">
                  <c:v>15.1075478784972</c:v>
                </c:pt>
              </c:numCache>
            </c:numRef>
          </c:yVal>
          <c:smooth val="0"/>
        </c:ser>
        <c:ser>
          <c:idx val="6"/>
          <c:order val="6"/>
          <c:spPr>
            <a:solidFill>
              <a:srgbClr val="ff4000"/>
            </a:solidFill>
            <a:ln w="28800">
              <a:solidFill>
                <a:srgbClr val="ff4000"/>
              </a:solidFill>
              <a:round/>
            </a:ln>
          </c:spPr>
          <c:marker>
            <c:symbol val="none"/>
          </c:marker>
          <c:dPt>
            <c:idx val="4"/>
            <c:marker>
              <c:symbol val="none"/>
            </c:marker>
          </c:dPt>
          <c:dLbls>
            <c:dLbl>
              <c:idx val="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Analysis_block!$B$2:$B$18,Analysis_block!$B$52:$B$68</c:f>
              <c:numCache>
                <c:formatCode>General</c:formatCode>
                <c:ptCount val="34"/>
                <c:pt idx="0">
                  <c:v>1.18</c:v>
                </c:pt>
                <c:pt idx="1">
                  <c:v>4.21</c:v>
                </c:pt>
                <c:pt idx="2">
                  <c:v>4.35</c:v>
                </c:pt>
                <c:pt idx="3">
                  <c:v>4.36</c:v>
                </c:pt>
                <c:pt idx="4">
                  <c:v>6.44</c:v>
                </c:pt>
                <c:pt idx="5">
                  <c:v>9.01</c:v>
                </c:pt>
                <c:pt idx="6">
                  <c:v>9.54</c:v>
                </c:pt>
                <c:pt idx="7">
                  <c:v>10.1</c:v>
                </c:pt>
                <c:pt idx="8">
                  <c:v>10.5</c:v>
                </c:pt>
                <c:pt idx="9">
                  <c:v>11.47</c:v>
                </c:pt>
                <c:pt idx="10">
                  <c:v>14.08</c:v>
                </c:pt>
                <c:pt idx="11">
                  <c:v>14.21</c:v>
                </c:pt>
                <c:pt idx="12">
                  <c:v>14.43</c:v>
                </c:pt>
                <c:pt idx="13">
                  <c:v>15.59</c:v>
                </c:pt>
                <c:pt idx="14">
                  <c:v>15.77</c:v>
                </c:pt>
                <c:pt idx="15">
                  <c:v>16</c:v>
                </c:pt>
                <c:pt idx="16">
                  <c:v>16.02</c:v>
                </c:pt>
                <c:pt idx="17">
                  <c:v>9.99267362611835</c:v>
                </c:pt>
                <c:pt idx="18">
                  <c:v>10.8803662566441</c:v>
                </c:pt>
                <c:pt idx="19">
                  <c:v>10.9213817577245</c:v>
                </c:pt>
                <c:pt idx="20">
                  <c:v>10.9243114363731</c:v>
                </c:pt>
                <c:pt idx="21">
                  <c:v>11.5336845952818</c:v>
                </c:pt>
                <c:pt idx="22">
                  <c:v>12.286612007972</c:v>
                </c:pt>
                <c:pt idx="23">
                  <c:v>12.4418849763477</c:v>
                </c:pt>
                <c:pt idx="24">
                  <c:v>12.6059469806693</c:v>
                </c:pt>
                <c:pt idx="25">
                  <c:v>12.7231341266133</c:v>
                </c:pt>
                <c:pt idx="26">
                  <c:v>13.0073129555275</c:v>
                </c:pt>
                <c:pt idx="27">
                  <c:v>13.771959082812</c:v>
                </c:pt>
                <c:pt idx="28">
                  <c:v>13.8100449052438</c:v>
                </c:pt>
                <c:pt idx="29">
                  <c:v>13.874497835513</c:v>
                </c:pt>
                <c:pt idx="30">
                  <c:v>14.2143405587506</c:v>
                </c:pt>
                <c:pt idx="31">
                  <c:v>14.2670747744254</c:v>
                </c:pt>
                <c:pt idx="32">
                  <c:v>14.3344573833432</c:v>
                </c:pt>
                <c:pt idx="33">
                  <c:v>14.3403167406404</c:v>
                </c:pt>
              </c:numCache>
            </c:numRef>
          </c:xVal>
          <c:yVal>
            <c:numRef>
              <c:f>Analysis_block!$B$52:$B$68</c:f>
              <c:numCache>
                <c:formatCode>General</c:formatCode>
                <c:ptCount val="17"/>
                <c:pt idx="0">
                  <c:v>9.99267362611835</c:v>
                </c:pt>
                <c:pt idx="1">
                  <c:v>10.8803662566441</c:v>
                </c:pt>
                <c:pt idx="2">
                  <c:v>10.9213817577245</c:v>
                </c:pt>
                <c:pt idx="3">
                  <c:v>10.9243114363731</c:v>
                </c:pt>
                <c:pt idx="4">
                  <c:v>11.5336845952818</c:v>
                </c:pt>
                <c:pt idx="5">
                  <c:v>12.286612007972</c:v>
                </c:pt>
                <c:pt idx="6">
                  <c:v>12.4418849763477</c:v>
                </c:pt>
                <c:pt idx="7">
                  <c:v>12.6059469806693</c:v>
                </c:pt>
                <c:pt idx="8">
                  <c:v>12.7231341266133</c:v>
                </c:pt>
                <c:pt idx="9">
                  <c:v>13.0073129555275</c:v>
                </c:pt>
                <c:pt idx="10">
                  <c:v>13.771959082812</c:v>
                </c:pt>
                <c:pt idx="11">
                  <c:v>13.8100449052438</c:v>
                </c:pt>
                <c:pt idx="12">
                  <c:v>13.874497835513</c:v>
                </c:pt>
                <c:pt idx="13">
                  <c:v>14.2143405587506</c:v>
                </c:pt>
                <c:pt idx="14">
                  <c:v>14.2670747744254</c:v>
                </c:pt>
                <c:pt idx="15">
                  <c:v>14.3344573833432</c:v>
                </c:pt>
                <c:pt idx="16">
                  <c:v>14.3403167406404</c:v>
                </c:pt>
              </c:numCache>
            </c:numRef>
          </c:yVal>
          <c:smooth val="0"/>
        </c:ser>
        <c:axId val="45916243"/>
        <c:axId val="4123191"/>
      </c:scatterChart>
      <c:valAx>
        <c:axId val="4591624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X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123191"/>
        <c:crosses val="autoZero"/>
        <c:crossBetween val="midCat"/>
      </c:valAx>
      <c:valAx>
        <c:axId val="412319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5916243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168120</xdr:colOff>
      <xdr:row>36</xdr:row>
      <xdr:rowOff>14040</xdr:rowOff>
    </xdr:from>
    <xdr:to>
      <xdr:col>19</xdr:col>
      <xdr:colOff>1095480</xdr:colOff>
      <xdr:row>77</xdr:row>
      <xdr:rowOff>25200</xdr:rowOff>
    </xdr:to>
    <xdr:graphicFrame>
      <xdr:nvGraphicFramePr>
        <xdr:cNvPr id="0" name="Диаграмма 1"/>
        <xdr:cNvGraphicFramePr/>
      </xdr:nvGraphicFramePr>
      <xdr:xfrm>
        <a:off x="7506360" y="6833880"/>
        <a:ext cx="11316960" cy="6650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137520</xdr:colOff>
      <xdr:row>35</xdr:row>
      <xdr:rowOff>86040</xdr:rowOff>
    </xdr:from>
    <xdr:to>
      <xdr:col>8</xdr:col>
      <xdr:colOff>195120</xdr:colOff>
      <xdr:row>55</xdr:row>
      <xdr:rowOff>84240</xdr:rowOff>
    </xdr:to>
    <xdr:graphicFrame>
      <xdr:nvGraphicFramePr>
        <xdr:cNvPr id="1" name=""/>
        <xdr:cNvGraphicFramePr/>
      </xdr:nvGraphicFramePr>
      <xdr:xfrm>
        <a:off x="952920" y="6743880"/>
        <a:ext cx="5765040" cy="3236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129240</xdr:colOff>
      <xdr:row>57</xdr:row>
      <xdr:rowOff>19080</xdr:rowOff>
    </xdr:from>
    <xdr:to>
      <xdr:col>8</xdr:col>
      <xdr:colOff>186840</xdr:colOff>
      <xdr:row>77</xdr:row>
      <xdr:rowOff>17280</xdr:rowOff>
    </xdr:to>
    <xdr:graphicFrame>
      <xdr:nvGraphicFramePr>
        <xdr:cNvPr id="2" name=""/>
        <xdr:cNvGraphicFramePr/>
      </xdr:nvGraphicFramePr>
      <xdr:xfrm>
        <a:off x="944640" y="10239480"/>
        <a:ext cx="5765040" cy="3236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42840</xdr:colOff>
      <xdr:row>70</xdr:row>
      <xdr:rowOff>160560</xdr:rowOff>
    </xdr:from>
    <xdr:to>
      <xdr:col>9</xdr:col>
      <xdr:colOff>728280</xdr:colOff>
      <xdr:row>105</xdr:row>
      <xdr:rowOff>102960</xdr:rowOff>
    </xdr:to>
    <xdr:graphicFrame>
      <xdr:nvGraphicFramePr>
        <xdr:cNvPr id="3" name=""/>
        <xdr:cNvGraphicFramePr/>
      </xdr:nvGraphicFramePr>
      <xdr:xfrm>
        <a:off x="2251440" y="13439520"/>
        <a:ext cx="10560960" cy="5883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2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P32" activeCellId="0" sqref="P32"/>
    </sheetView>
  </sheetViews>
  <sheetFormatPr defaultColWidth="11.5703125" defaultRowHeight="12.75" zeroHeight="false" outlineLevelRow="0" outlineLevelCol="0"/>
  <cols>
    <col collapsed="false" customWidth="true" hidden="false" outlineLevel="0" max="11" min="10" style="1" width="12.71"/>
    <col collapsed="false" customWidth="true" hidden="false" outlineLevel="0" max="12" min="12" style="1" width="17.42"/>
    <col collapsed="false" customWidth="true" hidden="false" outlineLevel="0" max="14" min="14" style="1" width="15.71"/>
    <col collapsed="false" customWidth="true" hidden="false" outlineLevel="0" max="15" min="15" style="1" width="14.57"/>
    <col collapsed="false" customWidth="true" hidden="false" outlineLevel="0" max="16" min="16" style="1" width="15.14"/>
    <col collapsed="false" customWidth="true" hidden="false" outlineLevel="0" max="17" min="17" style="1" width="17.42"/>
    <col collapsed="false" customWidth="true" hidden="false" outlineLevel="0" max="18" min="18" style="1" width="13.86"/>
    <col collapsed="false" customWidth="true" hidden="false" outlineLevel="0" max="19" min="19" style="1" width="16.29"/>
    <col collapsed="false" customWidth="true" hidden="false" outlineLevel="0" max="20" min="20" style="1" width="15.71"/>
    <col collapsed="false" customWidth="true" hidden="false" outlineLevel="0" max="21" min="21" style="1" width="16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4"/>
      <c r="W1" s="4"/>
      <c r="X1" s="4"/>
      <c r="Y1" s="4"/>
    </row>
    <row r="2" customFormat="false" ht="15.75" hidden="false" customHeight="false" outlineLevel="0" collapsed="false">
      <c r="A2" s="5" t="n">
        <v>1</v>
      </c>
      <c r="B2" s="6" t="n">
        <v>1.18</v>
      </c>
      <c r="C2" s="6" t="n">
        <v>10.2</v>
      </c>
      <c r="D2" s="7" t="n">
        <f aca="false">B2^2</f>
        <v>1.3924</v>
      </c>
      <c r="E2" s="7" t="n">
        <f aca="false">C2^2</f>
        <v>104.04</v>
      </c>
      <c r="F2" s="7" t="n">
        <f aca="false">B2*C2</f>
        <v>12.036</v>
      </c>
      <c r="G2" s="7" t="n">
        <f aca="false">$F$21 + $F$22*B2</f>
        <v>9.99267362611834</v>
      </c>
      <c r="H2" s="7" t="n">
        <f aca="false">C2-G2</f>
        <v>0.207326373881662</v>
      </c>
      <c r="I2" s="7" t="n">
        <f aca="false">H2^2</f>
        <v>0.0429842253069186</v>
      </c>
      <c r="J2" s="8" t="n">
        <f aca="false">H2/C2*100</f>
        <v>2.03261150864374</v>
      </c>
      <c r="K2" s="7" t="n">
        <f aca="false">B2-$D$21</f>
        <v>-9.24705882352941</v>
      </c>
      <c r="L2" s="7" t="n">
        <f aca="false">K2^2</f>
        <v>85.5080968858131</v>
      </c>
      <c r="M2" s="7" t="n">
        <f aca="false">$L$22*$H$21/SQRT($A$18)*SQRT(1 + L2/$L$21)</f>
        <v>0.670014385423732</v>
      </c>
      <c r="N2" s="7" t="n">
        <f aca="false">G2-M2</f>
        <v>9.32265924069461</v>
      </c>
      <c r="O2" s="7" t="n">
        <f aca="false">G2+M2</f>
        <v>10.6626880115421</v>
      </c>
      <c r="P2" s="7"/>
      <c r="Q2" s="7"/>
      <c r="R2" s="7" t="n">
        <f aca="false">C2-$D$22</f>
        <v>-2.50176470588236</v>
      </c>
      <c r="S2" s="7" t="n">
        <f aca="false">R2^2</f>
        <v>6.25882664359863</v>
      </c>
      <c r="T2" s="7" t="n">
        <f aca="false">G2-$D$22</f>
        <v>-2.70909107976402</v>
      </c>
      <c r="U2" s="9" t="n">
        <f aca="false">T2^2</f>
        <v>7.33917447845697</v>
      </c>
      <c r="V2" s="4"/>
      <c r="W2" s="4"/>
      <c r="X2" s="4"/>
      <c r="Y2" s="4"/>
    </row>
    <row r="3" customFormat="false" ht="15.75" hidden="false" customHeight="false" outlineLevel="0" collapsed="false">
      <c r="A3" s="5" t="n">
        <v>2</v>
      </c>
      <c r="B3" s="6" t="n">
        <v>4.21</v>
      </c>
      <c r="C3" s="6" t="n">
        <v>10.3</v>
      </c>
      <c r="D3" s="7" t="n">
        <f aca="false">B3^2</f>
        <v>17.7241</v>
      </c>
      <c r="E3" s="7" t="n">
        <f aca="false">C3^2</f>
        <v>106.09</v>
      </c>
      <c r="F3" s="7" t="n">
        <f aca="false">B3*C3</f>
        <v>43.363</v>
      </c>
      <c r="G3" s="7" t="n">
        <f aca="false">$F$21 + $F$22*B3</f>
        <v>10.8803662566441</v>
      </c>
      <c r="H3" s="7" t="n">
        <f aca="false">C3-G3</f>
        <v>-0.580366256644064</v>
      </c>
      <c r="I3" s="7" t="n">
        <f aca="false">H3^2</f>
        <v>0.336824991851044</v>
      </c>
      <c r="J3" s="8" t="n">
        <f aca="false">H3/C3*100</f>
        <v>-5.63462385091324</v>
      </c>
      <c r="K3" s="7" t="n">
        <f aca="false">B3-$D$21</f>
        <v>-6.21705882352941</v>
      </c>
      <c r="L3" s="7" t="n">
        <f aca="false">K3^2</f>
        <v>38.6518204152249</v>
      </c>
      <c r="M3" s="7" t="n">
        <f aca="false">$L$22*$H$21/SQRT($A$18)*SQRT(1 + L3/$L$21)</f>
        <v>0.503783204975282</v>
      </c>
      <c r="N3" s="7" t="n">
        <f aca="false">G3-M3</f>
        <v>10.3765830516688</v>
      </c>
      <c r="O3" s="7" t="n">
        <f aca="false">G3+M3</f>
        <v>11.3841494616193</v>
      </c>
      <c r="P3" s="7" t="n">
        <f aca="false">H3-H2</f>
        <v>-0.787692630525726</v>
      </c>
      <c r="Q3" s="7" t="n">
        <f aca="false">P3^2</f>
        <v>0.620459680184538</v>
      </c>
      <c r="R3" s="7" t="n">
        <f aca="false">C3-$D$22</f>
        <v>-2.40176470588235</v>
      </c>
      <c r="S3" s="7" t="n">
        <f aca="false">R3^2</f>
        <v>5.76847370242215</v>
      </c>
      <c r="T3" s="7" t="n">
        <f aca="false">G3-$D$22</f>
        <v>-1.82139844923829</v>
      </c>
      <c r="U3" s="9" t="n">
        <f aca="false">T3^2</f>
        <v>3.31749231088765</v>
      </c>
      <c r="V3" s="4"/>
      <c r="W3" s="4"/>
      <c r="X3" s="4"/>
      <c r="Y3" s="4"/>
    </row>
    <row r="4" customFormat="false" ht="15.75" hidden="false" customHeight="false" outlineLevel="0" collapsed="false">
      <c r="A4" s="5" t="n">
        <v>3</v>
      </c>
      <c r="B4" s="6" t="n">
        <v>4.35</v>
      </c>
      <c r="C4" s="6" t="n">
        <v>10.5</v>
      </c>
      <c r="D4" s="7" t="n">
        <f aca="false">B4^2</f>
        <v>18.9225</v>
      </c>
      <c r="E4" s="7" t="n">
        <f aca="false">C4^2</f>
        <v>110.25</v>
      </c>
      <c r="F4" s="7" t="n">
        <f aca="false">B4*C4</f>
        <v>45.675</v>
      </c>
      <c r="G4" s="7" t="n">
        <f aca="false">$F$21 + $F$22*B4</f>
        <v>10.9213817577245</v>
      </c>
      <c r="H4" s="7" t="n">
        <f aca="false">C4-G4</f>
        <v>-0.421381757724461</v>
      </c>
      <c r="I4" s="7" t="n">
        <f aca="false">H4^2</f>
        <v>0.177562585742957</v>
      </c>
      <c r="J4" s="8" t="n">
        <f aca="false">H4/C4*100</f>
        <v>-4.01315959737582</v>
      </c>
      <c r="K4" s="7" t="n">
        <f aca="false">B4-$D$21</f>
        <v>-6.07705882352941</v>
      </c>
      <c r="L4" s="7" t="n">
        <f aca="false">K4^2</f>
        <v>36.9306439446367</v>
      </c>
      <c r="M4" s="7" t="n">
        <f aca="false">$L$22*$H$21/SQRT($A$18)*SQRT(1 + L4/$L$21)</f>
        <v>0.496618656286892</v>
      </c>
      <c r="N4" s="7" t="n">
        <f aca="false">G4-M4</f>
        <v>10.4247631014376</v>
      </c>
      <c r="O4" s="7" t="n">
        <f aca="false">G4+M4</f>
        <v>11.4180004140114</v>
      </c>
      <c r="P4" s="7" t="n">
        <f aca="false">H4-H3</f>
        <v>0.158984498919603</v>
      </c>
      <c r="Q4" s="7" t="n">
        <f aca="false">P4^2</f>
        <v>0.0252760708967172</v>
      </c>
      <c r="R4" s="7" t="n">
        <f aca="false">C4-$D$22</f>
        <v>-2.20176470588235</v>
      </c>
      <c r="S4" s="7" t="n">
        <f aca="false">R4^2</f>
        <v>4.84776782006921</v>
      </c>
      <c r="T4" s="7" t="n">
        <f aca="false">G4-$D$22</f>
        <v>-1.78038294815789</v>
      </c>
      <c r="U4" s="9" t="n">
        <f aca="false">T4^2</f>
        <v>3.16976344209139</v>
      </c>
      <c r="V4" s="4"/>
      <c r="W4" s="4"/>
      <c r="X4" s="4"/>
      <c r="Y4" s="4"/>
    </row>
    <row r="5" customFormat="false" ht="15.75" hidden="false" customHeight="false" outlineLevel="0" collapsed="false">
      <c r="A5" s="5" t="n">
        <v>4</v>
      </c>
      <c r="B5" s="6" t="n">
        <v>4.36</v>
      </c>
      <c r="C5" s="6" t="n">
        <v>11.3</v>
      </c>
      <c r="D5" s="7" t="n">
        <f aca="false">B5^2</f>
        <v>19.0096</v>
      </c>
      <c r="E5" s="7" t="n">
        <f aca="false">C5^2</f>
        <v>127.69</v>
      </c>
      <c r="F5" s="7" t="n">
        <f aca="false">B5*C5</f>
        <v>49.268</v>
      </c>
      <c r="G5" s="7" t="n">
        <f aca="false">$F$21 + $F$22*B5</f>
        <v>10.9243114363731</v>
      </c>
      <c r="H5" s="7" t="n">
        <f aca="false">C5-G5</f>
        <v>0.375688563626939</v>
      </c>
      <c r="I5" s="7" t="n">
        <f aca="false">H5^2</f>
        <v>0.141141896840073</v>
      </c>
      <c r="J5" s="8" t="n">
        <f aca="false">H5/C5*100</f>
        <v>3.3246775542207</v>
      </c>
      <c r="K5" s="7" t="n">
        <f aca="false">B5-$D$21</f>
        <v>-6.06705882352941</v>
      </c>
      <c r="L5" s="7" t="n">
        <f aca="false">K5^2</f>
        <v>36.8092027681661</v>
      </c>
      <c r="M5" s="7" t="n">
        <f aca="false">$L$22*$H$21/SQRT($A$18)*SQRT(1 + L5/$L$21)</f>
        <v>0.496109239010801</v>
      </c>
      <c r="N5" s="7" t="n">
        <f aca="false">G5-M5</f>
        <v>10.4282021973623</v>
      </c>
      <c r="O5" s="7" t="n">
        <f aca="false">G5+M5</f>
        <v>11.4204206753839</v>
      </c>
      <c r="P5" s="7" t="n">
        <f aca="false">H5-H4</f>
        <v>0.7970703213514</v>
      </c>
      <c r="Q5" s="7" t="n">
        <f aca="false">P5^2</f>
        <v>0.635321097179225</v>
      </c>
      <c r="R5" s="7" t="n">
        <f aca="false">C5-$D$22</f>
        <v>-1.40176470588235</v>
      </c>
      <c r="S5" s="7" t="n">
        <f aca="false">R5^2</f>
        <v>1.96494429065744</v>
      </c>
      <c r="T5" s="7" t="n">
        <f aca="false">G5-$D$22</f>
        <v>-1.77745326950929</v>
      </c>
      <c r="U5" s="9" t="n">
        <f aca="false">T5^2</f>
        <v>3.15934012528927</v>
      </c>
      <c r="V5" s="4"/>
      <c r="W5" s="4"/>
      <c r="X5" s="4"/>
      <c r="Y5" s="4"/>
    </row>
    <row r="6" customFormat="false" ht="15.75" hidden="false" customHeight="false" outlineLevel="0" collapsed="false">
      <c r="A6" s="5" t="n">
        <v>5</v>
      </c>
      <c r="B6" s="6" t="n">
        <v>6.44</v>
      </c>
      <c r="C6" s="6" t="n">
        <v>12.7</v>
      </c>
      <c r="D6" s="7" t="n">
        <f aca="false">B6^2</f>
        <v>41.4736</v>
      </c>
      <c r="E6" s="7" t="n">
        <f aca="false">C6^2</f>
        <v>161.29</v>
      </c>
      <c r="F6" s="7" t="n">
        <f aca="false">B6*C6</f>
        <v>81.788</v>
      </c>
      <c r="G6" s="7" t="n">
        <f aca="false">$F$21 + $F$22*B6</f>
        <v>11.5336845952818</v>
      </c>
      <c r="H6" s="7" t="n">
        <f aca="false">C6-G6</f>
        <v>1.16631540471819</v>
      </c>
      <c r="I6" s="7" t="n">
        <f aca="false">H6^2</f>
        <v>1.36029162328295</v>
      </c>
      <c r="J6" s="8" t="n">
        <f aca="false">H6/C6*100</f>
        <v>9.18358586392273</v>
      </c>
      <c r="K6" s="7" t="n">
        <f aca="false">B6-$D$21</f>
        <v>-3.98705882352941</v>
      </c>
      <c r="L6" s="7" t="n">
        <f aca="false">K6^2</f>
        <v>15.8966380622837</v>
      </c>
      <c r="M6" s="7" t="n">
        <f aca="false">$L$22*$H$21/SQRT($A$18)*SQRT(1 + L6/$L$21)</f>
        <v>0.398796943242806</v>
      </c>
      <c r="N6" s="7" t="n">
        <f aca="false">G6-M6</f>
        <v>11.134887652039</v>
      </c>
      <c r="O6" s="7" t="n">
        <f aca="false">G6+M6</f>
        <v>11.9324815385246</v>
      </c>
      <c r="P6" s="7" t="n">
        <f aca="false">H6-H5</f>
        <v>0.790626841091248</v>
      </c>
      <c r="Q6" s="7" t="n">
        <f aca="false">P6^2</f>
        <v>0.625090801853925</v>
      </c>
      <c r="R6" s="7" t="n">
        <f aca="false">C6-$D$22</f>
        <v>-0.00176470588235489</v>
      </c>
      <c r="S6" s="7" t="n">
        <f aca="false">R6^2</f>
        <v>3.11418685121795E-006</v>
      </c>
      <c r="T6" s="7" t="n">
        <f aca="false">G6-$D$22</f>
        <v>-1.16808011060054</v>
      </c>
      <c r="U6" s="9" t="n">
        <f aca="false">T6^2</f>
        <v>1.36441114478057</v>
      </c>
      <c r="V6" s="4"/>
      <c r="W6" s="4"/>
      <c r="X6" s="4"/>
      <c r="Y6" s="4"/>
    </row>
    <row r="7" customFormat="false" ht="15.75" hidden="false" customHeight="false" outlineLevel="0" collapsed="false">
      <c r="A7" s="5" t="n">
        <v>6</v>
      </c>
      <c r="B7" s="6" t="n">
        <v>9.01</v>
      </c>
      <c r="C7" s="6" t="n">
        <v>12.2</v>
      </c>
      <c r="D7" s="7" t="n">
        <f aca="false">B7^2</f>
        <v>81.1801</v>
      </c>
      <c r="E7" s="7" t="n">
        <f aca="false">C7^2</f>
        <v>148.84</v>
      </c>
      <c r="F7" s="7" t="n">
        <f aca="false">B7*C7</f>
        <v>109.922</v>
      </c>
      <c r="G7" s="7" t="n">
        <f aca="false">$F$21 + $F$22*B7</f>
        <v>12.286612007972</v>
      </c>
      <c r="H7" s="7" t="n">
        <f aca="false">C7-G7</f>
        <v>-0.0866120079719526</v>
      </c>
      <c r="I7" s="7" t="n">
        <f aca="false">H7^2</f>
        <v>0.00750163992493357</v>
      </c>
      <c r="J7" s="8" t="n">
        <f aca="false">H7/C7*100</f>
        <v>-0.709934491573382</v>
      </c>
      <c r="K7" s="7" t="n">
        <f aca="false">B7-$D$21</f>
        <v>-1.41705882352941</v>
      </c>
      <c r="L7" s="7" t="n">
        <f aca="false">K7^2</f>
        <v>2.00805570934256</v>
      </c>
      <c r="M7" s="7" t="n">
        <f aca="false">$L$22*$H$21/SQRT($A$18)*SQRT(1 + L7/$L$21)</f>
        <v>0.318124695327944</v>
      </c>
      <c r="N7" s="7" t="n">
        <f aca="false">G7-M7</f>
        <v>11.968487312644</v>
      </c>
      <c r="O7" s="7" t="n">
        <f aca="false">G7+M7</f>
        <v>12.6047367032999</v>
      </c>
      <c r="P7" s="7" t="n">
        <f aca="false">H7-H6</f>
        <v>-1.25292741269014</v>
      </c>
      <c r="Q7" s="7" t="n">
        <f aca="false">P7^2</f>
        <v>1.56982710147041</v>
      </c>
      <c r="R7" s="7" t="n">
        <f aca="false">C7-$D$22</f>
        <v>-0.501764705882355</v>
      </c>
      <c r="S7" s="7" t="n">
        <f aca="false">R7^2</f>
        <v>0.251767820069206</v>
      </c>
      <c r="T7" s="7" t="n">
        <f aca="false">G7-$D$22</f>
        <v>-0.415152697910402</v>
      </c>
      <c r="U7" s="9" t="n">
        <f aca="false">T7^2</f>
        <v>0.172351762582286</v>
      </c>
      <c r="V7" s="4"/>
      <c r="W7" s="4"/>
      <c r="X7" s="4"/>
      <c r="Y7" s="4"/>
    </row>
    <row r="8" customFormat="false" ht="15.75" hidden="false" customHeight="false" outlineLevel="0" collapsed="false">
      <c r="A8" s="5" t="n">
        <v>7</v>
      </c>
      <c r="B8" s="6" t="n">
        <v>9.54</v>
      </c>
      <c r="C8" s="6" t="n">
        <v>12.8</v>
      </c>
      <c r="D8" s="7" t="n">
        <f aca="false">B8^2</f>
        <v>91.0116</v>
      </c>
      <c r="E8" s="7" t="n">
        <f aca="false">C8^2</f>
        <v>163.84</v>
      </c>
      <c r="F8" s="7" t="n">
        <f aca="false">B8*C8</f>
        <v>122.112</v>
      </c>
      <c r="G8" s="7" t="n">
        <f aca="false">$F$21 + $F$22*B8</f>
        <v>12.4418849763477</v>
      </c>
      <c r="H8" s="7" t="n">
        <f aca="false">C8-G8</f>
        <v>0.358115023652262</v>
      </c>
      <c r="I8" s="7" t="n">
        <f aca="false">H8^2</f>
        <v>0.12824637016546</v>
      </c>
      <c r="J8" s="8" t="n">
        <f aca="false">H8/C8*100</f>
        <v>2.7977736222833</v>
      </c>
      <c r="K8" s="7" t="n">
        <f aca="false">B8-$D$21</f>
        <v>-0.887058823529412</v>
      </c>
      <c r="L8" s="7" t="n">
        <f aca="false">K8^2</f>
        <v>0.786873356401384</v>
      </c>
      <c r="M8" s="7" t="n">
        <f aca="false">$L$22*$H$21/SQRT($A$18)*SQRT(1 + L8/$L$21)</f>
        <v>0.310029030702873</v>
      </c>
      <c r="N8" s="7" t="n">
        <f aca="false">G8-M8</f>
        <v>12.1318559456449</v>
      </c>
      <c r="O8" s="7" t="n">
        <f aca="false">G8+M8</f>
        <v>12.7519140070506</v>
      </c>
      <c r="P8" s="7" t="n">
        <f aca="false">H8-H7</f>
        <v>0.444727031624215</v>
      </c>
      <c r="Q8" s="7" t="n">
        <f aca="false">P8^2</f>
        <v>0.197782132657285</v>
      </c>
      <c r="R8" s="7" t="n">
        <f aca="false">C8-$D$22</f>
        <v>0.0982352941176465</v>
      </c>
      <c r="S8" s="7" t="n">
        <f aca="false">R8^2</f>
        <v>0.00965017301038052</v>
      </c>
      <c r="T8" s="7" t="n">
        <f aca="false">G8-$D$22</f>
        <v>-0.259879729534616</v>
      </c>
      <c r="U8" s="9" t="n">
        <f aca="false">T8^2</f>
        <v>0.0675374738229849</v>
      </c>
      <c r="V8" s="4"/>
      <c r="W8" s="4"/>
      <c r="X8" s="4"/>
      <c r="Y8" s="4"/>
    </row>
    <row r="9" customFormat="false" ht="15.75" hidden="false" customHeight="false" outlineLevel="0" collapsed="false">
      <c r="A9" s="5" t="n">
        <v>8</v>
      </c>
      <c r="B9" s="6" t="n">
        <v>10.1</v>
      </c>
      <c r="C9" s="6" t="n">
        <v>12.2</v>
      </c>
      <c r="D9" s="7" t="n">
        <f aca="false">B9^2</f>
        <v>102.01</v>
      </c>
      <c r="E9" s="7" t="n">
        <f aca="false">C9^2</f>
        <v>148.84</v>
      </c>
      <c r="F9" s="7" t="n">
        <f aca="false">B9*C9</f>
        <v>123.22</v>
      </c>
      <c r="G9" s="7" t="n">
        <f aca="false">$F$21 + $F$22*B9</f>
        <v>12.6059469806693</v>
      </c>
      <c r="H9" s="7" t="n">
        <f aca="false">C9-G9</f>
        <v>-0.405946980669327</v>
      </c>
      <c r="I9" s="7" t="n">
        <f aca="false">H9^2</f>
        <v>0.164792951114543</v>
      </c>
      <c r="J9" s="8" t="n">
        <f aca="false">H9/C9*100</f>
        <v>-3.32743426778137</v>
      </c>
      <c r="K9" s="7" t="n">
        <f aca="false">B9-$D$21</f>
        <v>-0.327058823529411</v>
      </c>
      <c r="L9" s="7" t="n">
        <f aca="false">K9^2</f>
        <v>0.106967474048442</v>
      </c>
      <c r="M9" s="7" t="n">
        <f aca="false">$L$22*$H$21/SQRT($A$18)*SQRT(1 + L9/$L$21)</f>
        <v>0.305428705938104</v>
      </c>
      <c r="N9" s="7" t="n">
        <f aca="false">G9-M9</f>
        <v>12.3005182747312</v>
      </c>
      <c r="O9" s="7" t="n">
        <f aca="false">G9+M9</f>
        <v>12.9113756866074</v>
      </c>
      <c r="P9" s="7" t="n">
        <f aca="false">H9-H8</f>
        <v>-0.764062004321589</v>
      </c>
      <c r="Q9" s="7" t="n">
        <f aca="false">P9^2</f>
        <v>0.583790746447924</v>
      </c>
      <c r="R9" s="7" t="n">
        <f aca="false">C9-$D$22</f>
        <v>-0.501764705882355</v>
      </c>
      <c r="S9" s="7" t="n">
        <f aca="false">R9^2</f>
        <v>0.251767820069206</v>
      </c>
      <c r="T9" s="7" t="n">
        <f aca="false">G9-$D$22</f>
        <v>-0.0958177252130277</v>
      </c>
      <c r="U9" s="9" t="n">
        <f aca="false">T9^2</f>
        <v>0.00918103646499928</v>
      </c>
      <c r="V9" s="4"/>
      <c r="W9" s="4"/>
      <c r="X9" s="4"/>
      <c r="Y9" s="4"/>
    </row>
    <row r="10" customFormat="false" ht="15.75" hidden="false" customHeight="false" outlineLevel="0" collapsed="false">
      <c r="A10" s="5" t="n">
        <v>9</v>
      </c>
      <c r="B10" s="6" t="n">
        <v>10.5</v>
      </c>
      <c r="C10" s="6" t="n">
        <v>12.9</v>
      </c>
      <c r="D10" s="7" t="n">
        <f aca="false">B10^2</f>
        <v>110.25</v>
      </c>
      <c r="E10" s="7" t="n">
        <f aca="false">C10^2</f>
        <v>166.41</v>
      </c>
      <c r="F10" s="7" t="n">
        <f aca="false">B10*C10</f>
        <v>135.45</v>
      </c>
      <c r="G10" s="7" t="n">
        <f aca="false">$F$21 + $F$22*B10</f>
        <v>12.7231341266133</v>
      </c>
      <c r="H10" s="7" t="n">
        <f aca="false">C10-G10</f>
        <v>0.176865873386683</v>
      </c>
      <c r="I10" s="7" t="n">
        <f aca="false">H10^2</f>
        <v>0.0312815371688343</v>
      </c>
      <c r="J10" s="8" t="n">
        <f aca="false">H10/C10*100</f>
        <v>1.37105328206731</v>
      </c>
      <c r="K10" s="7" t="n">
        <f aca="false">B10-$D$21</f>
        <v>0.0729411764705894</v>
      </c>
      <c r="L10" s="7" t="n">
        <f aca="false">K10^2</f>
        <v>0.00532041522491366</v>
      </c>
      <c r="M10" s="7" t="n">
        <f aca="false">$L$22*$H$21/SQRT($A$18)*SQRT(1 + L10/$L$21)</f>
        <v>0.304734982469133</v>
      </c>
      <c r="N10" s="7" t="n">
        <f aca="false">G10-M10</f>
        <v>12.4183991441442</v>
      </c>
      <c r="O10" s="7" t="n">
        <f aca="false">G10+M10</f>
        <v>13.0278691090824</v>
      </c>
      <c r="P10" s="7" t="n">
        <f aca="false">H10-H9</f>
        <v>0.582812854056011</v>
      </c>
      <c r="Q10" s="7" t="n">
        <f aca="false">P10^2</f>
        <v>0.339670822852913</v>
      </c>
      <c r="R10" s="7" t="n">
        <f aca="false">C10-$D$22</f>
        <v>0.198235294117646</v>
      </c>
      <c r="S10" s="7" t="n">
        <f aca="false">R10^2</f>
        <v>0.0392972318339097</v>
      </c>
      <c r="T10" s="7" t="n">
        <f aca="false">G10-$D$22</f>
        <v>0.0213694207309629</v>
      </c>
      <c r="U10" s="9" t="n">
        <f aca="false">T10^2</f>
        <v>0.000456652142376908</v>
      </c>
      <c r="V10" s="4"/>
      <c r="W10" s="4"/>
      <c r="X10" s="4"/>
      <c r="Y10" s="4"/>
    </row>
    <row r="11" customFormat="false" ht="15.75" hidden="false" customHeight="false" outlineLevel="0" collapsed="false">
      <c r="A11" s="5" t="n">
        <v>10</v>
      </c>
      <c r="B11" s="6" t="n">
        <v>11.47</v>
      </c>
      <c r="C11" s="6" t="n">
        <v>11.35</v>
      </c>
      <c r="D11" s="7" t="n">
        <f aca="false">B11^2</f>
        <v>131.5609</v>
      </c>
      <c r="E11" s="7" t="n">
        <f aca="false">C11^2</f>
        <v>128.8225</v>
      </c>
      <c r="F11" s="7" t="n">
        <f aca="false">B11*C11</f>
        <v>130.1845</v>
      </c>
      <c r="G11" s="7" t="n">
        <f aca="false">$F$21 + $F$22*B11</f>
        <v>13.0073129555275</v>
      </c>
      <c r="H11" s="7" t="n">
        <f aca="false">C11-G11</f>
        <v>-1.65731295552749</v>
      </c>
      <c r="I11" s="7" t="n">
        <f aca="false">H11^2</f>
        <v>2.74668623255927</v>
      </c>
      <c r="J11" s="8" t="n">
        <f aca="false">H11/C11*100</f>
        <v>-14.6018762601541</v>
      </c>
      <c r="K11" s="7" t="n">
        <f aca="false">B11-$D$21</f>
        <v>1.04294117647059</v>
      </c>
      <c r="L11" s="7" t="n">
        <f aca="false">K11^2</f>
        <v>1.08772629757786</v>
      </c>
      <c r="M11" s="7" t="n">
        <f aca="false">$L$22*$H$21/SQRT($A$18)*SQRT(1 + L11/$L$21)</f>
        <v>0.312042993851726</v>
      </c>
      <c r="N11" s="7" t="n">
        <f aca="false">G11-M11</f>
        <v>12.6952699616758</v>
      </c>
      <c r="O11" s="7" t="n">
        <f aca="false">G11+M11</f>
        <v>13.3193559493792</v>
      </c>
      <c r="P11" s="7" t="n">
        <f aca="false">H11-H10</f>
        <v>-1.83417882891418</v>
      </c>
      <c r="Q11" s="7" t="n">
        <f aca="false">P11^2</f>
        <v>3.36421197643698</v>
      </c>
      <c r="R11" s="7" t="n">
        <f aca="false">C11-$D$22</f>
        <v>-1.35176470588235</v>
      </c>
      <c r="S11" s="7" t="n">
        <f aca="false">R11^2</f>
        <v>1.82726782006921</v>
      </c>
      <c r="T11" s="7" t="n">
        <f aca="false">G11-$D$22</f>
        <v>0.305548249645138</v>
      </c>
      <c r="U11" s="9" t="n">
        <f aca="false">T11^2</f>
        <v>0.0933597328612077</v>
      </c>
      <c r="V11" s="4"/>
      <c r="W11" s="4"/>
      <c r="X11" s="4"/>
      <c r="Y11" s="4"/>
    </row>
    <row r="12" customFormat="false" ht="15.75" hidden="false" customHeight="false" outlineLevel="0" collapsed="false">
      <c r="A12" s="5" t="n">
        <v>11</v>
      </c>
      <c r="B12" s="6" t="n">
        <v>14.08</v>
      </c>
      <c r="C12" s="6" t="n">
        <v>14</v>
      </c>
      <c r="D12" s="7" t="n">
        <f aca="false">B12^2</f>
        <v>198.2464</v>
      </c>
      <c r="E12" s="7" t="n">
        <f aca="false">C12^2</f>
        <v>196</v>
      </c>
      <c r="F12" s="7" t="n">
        <f aca="false">B12*C12</f>
        <v>197.12</v>
      </c>
      <c r="G12" s="7" t="n">
        <f aca="false">$F$21 + $F$22*B12</f>
        <v>13.771959082812</v>
      </c>
      <c r="H12" s="7" t="n">
        <f aca="false">C12-G12</f>
        <v>0.228040917187968</v>
      </c>
      <c r="I12" s="7" t="n">
        <f aca="false">H12^2</f>
        <v>0.0520026599119298</v>
      </c>
      <c r="J12" s="8" t="n">
        <f aca="false">H12/C12*100</f>
        <v>1.62886369419977</v>
      </c>
      <c r="K12" s="7" t="n">
        <f aca="false">B12-$D$21</f>
        <v>3.65294117647059</v>
      </c>
      <c r="L12" s="7" t="n">
        <f aca="false">K12^2</f>
        <v>13.3439792387543</v>
      </c>
      <c r="M12" s="7" t="n">
        <f aca="false">$L$22*$H$21/SQRT($A$18)*SQRT(1 + L12/$L$21)</f>
        <v>0.385238970851334</v>
      </c>
      <c r="N12" s="7" t="n">
        <f aca="false">G12-M12</f>
        <v>13.3867201119607</v>
      </c>
      <c r="O12" s="7" t="n">
        <f aca="false">G12+M12</f>
        <v>14.1571980536634</v>
      </c>
      <c r="P12" s="7" t="n">
        <f aca="false">H12-H11</f>
        <v>1.88535387271546</v>
      </c>
      <c r="Q12" s="7" t="n">
        <f aca="false">P12^2</f>
        <v>3.55455922536319</v>
      </c>
      <c r="R12" s="7" t="n">
        <f aca="false">C12-$D$22</f>
        <v>1.29823529411765</v>
      </c>
      <c r="S12" s="7" t="n">
        <f aca="false">R12^2</f>
        <v>1.68541487889273</v>
      </c>
      <c r="T12" s="7" t="n">
        <f aca="false">G12-$D$22</f>
        <v>1.07019437692968</v>
      </c>
      <c r="U12" s="9" t="n">
        <f aca="false">T12^2</f>
        <v>1.1453160044119</v>
      </c>
      <c r="V12" s="4"/>
      <c r="W12" s="4"/>
      <c r="X12" s="4"/>
      <c r="Y12" s="4"/>
    </row>
    <row r="13" customFormat="false" ht="15.75" hidden="false" customHeight="false" outlineLevel="0" collapsed="false">
      <c r="A13" s="5" t="n">
        <v>12</v>
      </c>
      <c r="B13" s="6" t="n">
        <v>14.21</v>
      </c>
      <c r="C13" s="6" t="n">
        <v>14.09</v>
      </c>
      <c r="D13" s="7" t="n">
        <f aca="false">B13^2</f>
        <v>201.9241</v>
      </c>
      <c r="E13" s="7" t="n">
        <f aca="false">C13^2</f>
        <v>198.5281</v>
      </c>
      <c r="F13" s="7" t="n">
        <f aca="false">B13*C13</f>
        <v>200.2189</v>
      </c>
      <c r="G13" s="7" t="n">
        <f aca="false">$F$21 + $F$22*B13</f>
        <v>13.8100449052438</v>
      </c>
      <c r="H13" s="7" t="n">
        <f aca="false">C13-G13</f>
        <v>0.279955094756172</v>
      </c>
      <c r="I13" s="7" t="n">
        <f aca="false">H13^2</f>
        <v>0.0783748550799372</v>
      </c>
      <c r="J13" s="8" t="n">
        <f aca="false">H13/C13*100</f>
        <v>1.98690627931989</v>
      </c>
      <c r="K13" s="7" t="n">
        <f aca="false">B13-$D$21</f>
        <v>3.78294117647059</v>
      </c>
      <c r="L13" s="7" t="n">
        <f aca="false">K13^2</f>
        <v>14.3106439446367</v>
      </c>
      <c r="M13" s="7" t="n">
        <f aca="false">$L$22*$H$21/SQRT($A$18)*SQRT(1 + L13/$L$21)</f>
        <v>0.390428621748933</v>
      </c>
      <c r="N13" s="7" t="n">
        <f aca="false">G13-M13</f>
        <v>13.4196162834949</v>
      </c>
      <c r="O13" s="7" t="n">
        <f aca="false">G13+M13</f>
        <v>14.2004735269928</v>
      </c>
      <c r="P13" s="7" t="n">
        <f aca="false">H13-H12</f>
        <v>0.0519141775682037</v>
      </c>
      <c r="Q13" s="7" t="n">
        <f aca="false">P13^2</f>
        <v>0.00269508183258299</v>
      </c>
      <c r="R13" s="7" t="n">
        <f aca="false">C13-$D$22</f>
        <v>1.38823529411765</v>
      </c>
      <c r="S13" s="7" t="n">
        <f aca="false">R13^2</f>
        <v>1.92719723183391</v>
      </c>
      <c r="T13" s="7" t="n">
        <f aca="false">G13-$D$22</f>
        <v>1.10828019936147</v>
      </c>
      <c r="U13" s="9" t="n">
        <f aca="false">T13^2</f>
        <v>1.22828500029671</v>
      </c>
      <c r="V13" s="4"/>
      <c r="W13" s="4"/>
      <c r="X13" s="4"/>
      <c r="Y13" s="4"/>
    </row>
    <row r="14" customFormat="false" ht="15.75" hidden="false" customHeight="false" outlineLevel="0" collapsed="false">
      <c r="A14" s="5" t="n">
        <v>13</v>
      </c>
      <c r="B14" s="6" t="n">
        <v>14.43</v>
      </c>
      <c r="C14" s="6" t="n">
        <v>13.21</v>
      </c>
      <c r="D14" s="7" t="n">
        <f aca="false">B14^2</f>
        <v>208.2249</v>
      </c>
      <c r="E14" s="7" t="n">
        <f aca="false">C14^2</f>
        <v>174.5041</v>
      </c>
      <c r="F14" s="7" t="n">
        <f aca="false">B14*C14</f>
        <v>190.6203</v>
      </c>
      <c r="G14" s="7" t="n">
        <f aca="false">$F$21 + $F$22*B14</f>
        <v>13.874497835513</v>
      </c>
      <c r="H14" s="7" t="n">
        <f aca="false">C14-G14</f>
        <v>-0.664497835513021</v>
      </c>
      <c r="I14" s="7" t="n">
        <f aca="false">H14^2</f>
        <v>0.44155737340149</v>
      </c>
      <c r="J14" s="8" t="n">
        <f aca="false">H14/C14*100</f>
        <v>-5.03026370562469</v>
      </c>
      <c r="K14" s="7" t="n">
        <f aca="false">B14-$D$21</f>
        <v>4.00294117647059</v>
      </c>
      <c r="L14" s="7" t="n">
        <f aca="false">K14^2</f>
        <v>16.0235380622837</v>
      </c>
      <c r="M14" s="7" t="n">
        <f aca="false">$L$22*$H$21/SQRT($A$18)*SQRT(1 + L14/$L$21)</f>
        <v>0.399458942377559</v>
      </c>
      <c r="N14" s="7" t="n">
        <f aca="false">G14-M14</f>
        <v>13.4750388931355</v>
      </c>
      <c r="O14" s="7" t="n">
        <f aca="false">G14+M14</f>
        <v>14.2739567778906</v>
      </c>
      <c r="P14" s="7" t="n">
        <f aca="false">H14-H13</f>
        <v>-0.944452930269193</v>
      </c>
      <c r="Q14" s="7" t="n">
        <f aca="false">P14^2</f>
        <v>0.891991337494066</v>
      </c>
      <c r="R14" s="7" t="n">
        <f aca="false">C14-$D$22</f>
        <v>0.508235294117647</v>
      </c>
      <c r="S14" s="7" t="n">
        <f aca="false">R14^2</f>
        <v>0.258303114186851</v>
      </c>
      <c r="T14" s="7" t="n">
        <f aca="false">G14-$D$22</f>
        <v>1.17273312963067</v>
      </c>
      <c r="U14" s="9" t="n">
        <f aca="false">T14^2</f>
        <v>1.37530299333334</v>
      </c>
      <c r="V14" s="4"/>
      <c r="W14" s="4"/>
      <c r="X14" s="4"/>
      <c r="Y14" s="4"/>
    </row>
    <row r="15" customFormat="false" ht="15.75" hidden="false" customHeight="false" outlineLevel="0" collapsed="false">
      <c r="A15" s="5" t="n">
        <v>14</v>
      </c>
      <c r="B15" s="6" t="n">
        <v>15.59</v>
      </c>
      <c r="C15" s="6" t="n">
        <v>15.28</v>
      </c>
      <c r="D15" s="7" t="n">
        <f aca="false">B15^2</f>
        <v>243.0481</v>
      </c>
      <c r="E15" s="7" t="n">
        <f aca="false">C15^2</f>
        <v>233.4784</v>
      </c>
      <c r="F15" s="7" t="n">
        <f aca="false">B15*C15</f>
        <v>238.2152</v>
      </c>
      <c r="G15" s="7" t="n">
        <f aca="false">$F$21 + $F$22*B15</f>
        <v>14.2143405587506</v>
      </c>
      <c r="H15" s="7" t="n">
        <f aca="false">C15-G15</f>
        <v>1.0656594412494</v>
      </c>
      <c r="I15" s="7" t="n">
        <f aca="false">H15^2</f>
        <v>1.13563004472399</v>
      </c>
      <c r="J15" s="8" t="n">
        <f aca="false">H15/C15*100</f>
        <v>6.97421100294112</v>
      </c>
      <c r="K15" s="7" t="n">
        <f aca="false">B15-$D$21</f>
        <v>5.16294117647059</v>
      </c>
      <c r="L15" s="7" t="n">
        <f aca="false">K15^2</f>
        <v>26.6559615916955</v>
      </c>
      <c r="M15" s="7" t="n">
        <f aca="false">$L$22*$H$21/SQRT($A$18)*SQRT(1 + L15/$L$21)</f>
        <v>0.451490456158108</v>
      </c>
      <c r="N15" s="7" t="n">
        <f aca="false">G15-M15</f>
        <v>13.7628501025925</v>
      </c>
      <c r="O15" s="7" t="n">
        <f aca="false">G15+M15</f>
        <v>14.6658310149087</v>
      </c>
      <c r="P15" s="7" t="n">
        <f aca="false">H15-H14</f>
        <v>1.73015727676242</v>
      </c>
      <c r="Q15" s="7" t="n">
        <f aca="false">P15^2</f>
        <v>2.99344420233397</v>
      </c>
      <c r="R15" s="7" t="n">
        <f aca="false">C15-$D$22</f>
        <v>2.57823529411765</v>
      </c>
      <c r="S15" s="7" t="n">
        <f aca="false">R15^2</f>
        <v>6.6472972318339</v>
      </c>
      <c r="T15" s="7" t="n">
        <f aca="false">G15-$D$22</f>
        <v>1.51257585286824</v>
      </c>
      <c r="U15" s="9" t="n">
        <f aca="false">T15^2</f>
        <v>2.28788571068009</v>
      </c>
      <c r="V15" s="4"/>
      <c r="W15" s="4"/>
      <c r="X15" s="4"/>
      <c r="Y15" s="4"/>
    </row>
    <row r="16" customFormat="false" ht="15.75" hidden="false" customHeight="false" outlineLevel="0" collapsed="false">
      <c r="A16" s="5" t="n">
        <v>15</v>
      </c>
      <c r="B16" s="6" t="n">
        <v>15.77</v>
      </c>
      <c r="C16" s="6" t="n">
        <v>14.4</v>
      </c>
      <c r="D16" s="7" t="n">
        <f aca="false">B16^2</f>
        <v>248.6929</v>
      </c>
      <c r="E16" s="7" t="n">
        <f aca="false">C16^2</f>
        <v>207.36</v>
      </c>
      <c r="F16" s="7" t="n">
        <f aca="false">B16*C16</f>
        <v>227.088</v>
      </c>
      <c r="G16" s="7" t="n">
        <f aca="false">$F$21 + $F$22*B16</f>
        <v>14.2670747744254</v>
      </c>
      <c r="H16" s="7" t="n">
        <f aca="false">C16-G16</f>
        <v>0.132925225574608</v>
      </c>
      <c r="I16" s="7" t="n">
        <f aca="false">H16^2</f>
        <v>0.0176691155940604</v>
      </c>
      <c r="J16" s="8" t="n">
        <f aca="false">H16/C16*100</f>
        <v>0.923091844268112</v>
      </c>
      <c r="K16" s="7" t="n">
        <f aca="false">B16-$D$21</f>
        <v>5.34294117647059</v>
      </c>
      <c r="L16" s="7" t="n">
        <f aca="false">K16^2</f>
        <v>28.5470204152249</v>
      </c>
      <c r="M16" s="7" t="n">
        <f aca="false">$L$22*$H$21/SQRT($A$18)*SQRT(1 + L16/$L$21)</f>
        <v>0.46012878010539</v>
      </c>
      <c r="N16" s="7" t="n">
        <f aca="false">G16-M16</f>
        <v>13.80694599432</v>
      </c>
      <c r="O16" s="7" t="n">
        <f aca="false">G16+M16</f>
        <v>14.7272035545308</v>
      </c>
      <c r="P16" s="7" t="n">
        <f aca="false">H16-H15</f>
        <v>-0.932734215674795</v>
      </c>
      <c r="Q16" s="7" t="n">
        <f aca="false">P16^2</f>
        <v>0.869993117090476</v>
      </c>
      <c r="R16" s="7" t="n">
        <f aca="false">C16-$D$22</f>
        <v>1.69823529411765</v>
      </c>
      <c r="S16" s="7" t="n">
        <f aca="false">R16^2</f>
        <v>2.88400311418685</v>
      </c>
      <c r="T16" s="7" t="n">
        <f aca="false">G16-$D$22</f>
        <v>1.56531006854304</v>
      </c>
      <c r="U16" s="9" t="n">
        <f aca="false">T16^2</f>
        <v>2.45019561068221</v>
      </c>
      <c r="V16" s="4"/>
      <c r="W16" s="4"/>
      <c r="X16" s="4"/>
      <c r="Y16" s="4"/>
    </row>
    <row r="17" customFormat="false" ht="15.75" hidden="false" customHeight="false" outlineLevel="0" collapsed="false">
      <c r="A17" s="5" t="n">
        <v>16</v>
      </c>
      <c r="B17" s="6" t="n">
        <v>16</v>
      </c>
      <c r="C17" s="6" t="n">
        <v>14.9</v>
      </c>
      <c r="D17" s="7" t="n">
        <f aca="false">B17^2</f>
        <v>256</v>
      </c>
      <c r="E17" s="7" t="n">
        <f aca="false">C17^2</f>
        <v>222.01</v>
      </c>
      <c r="F17" s="7" t="n">
        <f aca="false">B17*C17</f>
        <v>238.4</v>
      </c>
      <c r="G17" s="7" t="n">
        <f aca="false">$F$21 + $F$22*B17</f>
        <v>14.3344573833432</v>
      </c>
      <c r="H17" s="7" t="n">
        <f aca="false">C17-G17</f>
        <v>0.565542616656815</v>
      </c>
      <c r="I17" s="7" t="n">
        <f aca="false">H17^2</f>
        <v>0.319838451255037</v>
      </c>
      <c r="J17" s="8" t="n">
        <f aca="false">H17/C17*100</f>
        <v>3.79558803125379</v>
      </c>
      <c r="K17" s="7" t="n">
        <f aca="false">B17-$D$21</f>
        <v>5.57294117647059</v>
      </c>
      <c r="L17" s="7" t="n">
        <f aca="false">K17^2</f>
        <v>31.0576733564014</v>
      </c>
      <c r="M17" s="7" t="n">
        <f aca="false">$L$22*$H$21/SQRT($A$18)*SQRT(1 + L17/$L$21)</f>
        <v>0.471352848836091</v>
      </c>
      <c r="N17" s="7" t="n">
        <f aca="false">G17-M17</f>
        <v>13.8631045345071</v>
      </c>
      <c r="O17" s="7" t="n">
        <f aca="false">G17+M17</f>
        <v>14.8058102321793</v>
      </c>
      <c r="P17" s="7" t="n">
        <f aca="false">H17-H16</f>
        <v>0.432617391082207</v>
      </c>
      <c r="Q17" s="7" t="n">
        <f aca="false">P17^2</f>
        <v>0.187157807066775</v>
      </c>
      <c r="R17" s="7" t="n">
        <f aca="false">C17-$D$22</f>
        <v>2.19823529411765</v>
      </c>
      <c r="S17" s="7" t="n">
        <f aca="false">R17^2</f>
        <v>4.83223840830449</v>
      </c>
      <c r="T17" s="7" t="n">
        <f aca="false">G17-$D$22</f>
        <v>1.63269267746083</v>
      </c>
      <c r="U17" s="9" t="n">
        <f aca="false">T17^2</f>
        <v>2.66568537903422</v>
      </c>
      <c r="V17" s="4"/>
      <c r="W17" s="4"/>
      <c r="X17" s="4"/>
      <c r="Y17" s="4"/>
    </row>
    <row r="18" customFormat="false" ht="15.75" hidden="false" customHeight="false" outlineLevel="0" collapsed="false">
      <c r="A18" s="5" t="n">
        <v>17</v>
      </c>
      <c r="B18" s="6" t="n">
        <v>16.02</v>
      </c>
      <c r="C18" s="6" t="n">
        <v>13.6</v>
      </c>
      <c r="D18" s="7" t="n">
        <f aca="false">B18^2</f>
        <v>256.6404</v>
      </c>
      <c r="E18" s="7" t="n">
        <f aca="false">C18^2</f>
        <v>184.96</v>
      </c>
      <c r="F18" s="7" t="n">
        <f aca="false">B18*C18</f>
        <v>217.872</v>
      </c>
      <c r="G18" s="7" t="n">
        <f aca="false">$F$21 + $F$22*B18</f>
        <v>14.3403167406404</v>
      </c>
      <c r="H18" s="7" t="n">
        <f aca="false">C18-G18</f>
        <v>-0.740316740640386</v>
      </c>
      <c r="I18" s="7" t="n">
        <f aca="false">H18^2</f>
        <v>0.548068876472405</v>
      </c>
      <c r="J18" s="8" t="n">
        <f aca="false">H18/C18*100</f>
        <v>-5.44350544588519</v>
      </c>
      <c r="K18" s="7" t="n">
        <f aca="false">B18-$D$21</f>
        <v>5.59294117647059</v>
      </c>
      <c r="L18" s="7" t="n">
        <f aca="false">K18^2</f>
        <v>31.2809910034602</v>
      </c>
      <c r="M18" s="7" t="n">
        <f aca="false">$L$22*$H$21/SQRT($A$18)*SQRT(1 + L18/$L$21)</f>
        <v>0.472338290896705</v>
      </c>
      <c r="N18" s="7" t="n">
        <f aca="false">G18-M18</f>
        <v>13.8679784497437</v>
      </c>
      <c r="O18" s="7" t="n">
        <f aca="false">G18+M18</f>
        <v>14.8126550315371</v>
      </c>
      <c r="P18" s="7" t="n">
        <f aca="false">H18-H17</f>
        <v>-1.3058593572972</v>
      </c>
      <c r="Q18" s="7" t="n">
        <f aca="false">P18^2</f>
        <v>1.70526866104066</v>
      </c>
      <c r="R18" s="7" t="n">
        <f aca="false">C18-$D$22</f>
        <v>0.898235294117646</v>
      </c>
      <c r="S18" s="7" t="n">
        <f aca="false">R18^2</f>
        <v>0.806826643598613</v>
      </c>
      <c r="T18" s="7" t="n">
        <f aca="false">G18-$D$22</f>
        <v>1.63855203475803</v>
      </c>
      <c r="U18" s="9" t="n">
        <f aca="false">T18^2</f>
        <v>2.68485277060969</v>
      </c>
      <c r="V18" s="4"/>
      <c r="W18" s="4"/>
      <c r="X18" s="4"/>
      <c r="Y18" s="4"/>
    </row>
    <row r="19" customFormat="false" ht="15.75" hidden="false" customHeight="false" outlineLevel="0" collapsed="false">
      <c r="A19" s="10" t="s">
        <v>21</v>
      </c>
      <c r="B19" s="10" t="n">
        <f aca="false">SUM(B2:B18)</f>
        <v>177.26</v>
      </c>
      <c r="C19" s="10" t="n">
        <f aca="false">SUM(C2:C18)</f>
        <v>215.93</v>
      </c>
      <c r="D19" s="10" t="n">
        <f aca="false">SUM(D2:D18)</f>
        <v>2227.3116</v>
      </c>
      <c r="E19" s="10" t="n">
        <f aca="false">SUM(E2:E18)</f>
        <v>2782.9531</v>
      </c>
      <c r="F19" s="10" t="n">
        <f aca="false">SUM(F2:F18)</f>
        <v>2362.5529</v>
      </c>
      <c r="G19" s="10" t="n">
        <f aca="false">SUM(G2:G18)</f>
        <v>215.93</v>
      </c>
      <c r="H19" s="10" t="n">
        <f aca="false">SUM(H2:H18)</f>
        <v>-5.32907051820075E-015</v>
      </c>
      <c r="I19" s="10" t="n">
        <f aca="false">SUM(I2:I18)</f>
        <v>7.73045543039584</v>
      </c>
      <c r="J19" s="10" t="n">
        <f aca="false">SUM(J2:J18)</f>
        <v>-4.74243493618735</v>
      </c>
      <c r="K19" s="10" t="n">
        <f aca="false">SUM(K2:K18)</f>
        <v>0</v>
      </c>
      <c r="L19" s="10" t="n">
        <f aca="false">SUM(L2:L18)</f>
        <v>379.011152941177</v>
      </c>
      <c r="M19" s="10" t="n">
        <f aca="false">SUM(M2:M18)</f>
        <v>7.14611974820341</v>
      </c>
      <c r="N19" s="10" t="n">
        <f aca="false">SUM(N2:N18)</f>
        <v>208.783880251797</v>
      </c>
      <c r="O19" s="10" t="n">
        <f aca="false">SUM(O2:O18)</f>
        <v>223.076119748203</v>
      </c>
      <c r="P19" s="10" t="n">
        <f aca="false">SUM(P3:P18)</f>
        <v>-0.947643114522048</v>
      </c>
      <c r="Q19" s="10" t="n">
        <f aca="false">SUM(Q3:Q18)</f>
        <v>18.1665398622016</v>
      </c>
      <c r="R19" s="10" t="n">
        <f aca="false">SUM(R2:R18)</f>
        <v>-2.1316282072803E-014</v>
      </c>
      <c r="S19" s="10" t="n">
        <f aca="false">SUM(S2:S18)</f>
        <v>40.2610470588235</v>
      </c>
      <c r="T19" s="10" t="n">
        <f aca="false">SUM(T2:T18)</f>
        <v>-1.59872115546023E-014</v>
      </c>
      <c r="U19" s="10" t="n">
        <f aca="false">SUM(U2:U18)</f>
        <v>32.5305916284279</v>
      </c>
      <c r="V19" s="4"/>
      <c r="W19" s="4"/>
      <c r="X19" s="4"/>
      <c r="Y19" s="4"/>
    </row>
    <row r="20" customFormat="false" ht="15.75" hidden="false" customHeight="false" outlineLevel="0" collapsed="false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4"/>
      <c r="W20" s="4"/>
      <c r="X20" s="4"/>
      <c r="Y20" s="4"/>
    </row>
    <row r="21" customFormat="false" ht="15.75" hidden="false" customHeight="false" outlineLevel="0" collapsed="false">
      <c r="A21" s="12"/>
      <c r="B21" s="12"/>
      <c r="C21" s="10" t="s">
        <v>22</v>
      </c>
      <c r="D21" s="10" t="n">
        <f aca="false">AVERAGE(B2:B18)</f>
        <v>10.4270588235294</v>
      </c>
      <c r="E21" s="13" t="s">
        <v>23</v>
      </c>
      <c r="F21" s="13" t="n">
        <f aca="false">(D19*C19-B19*F19)/(A18*D19-B19^2)</f>
        <v>9.64697154558357</v>
      </c>
      <c r="G21" s="13" t="s">
        <v>24</v>
      </c>
      <c r="H21" s="13" t="n">
        <f aca="false">SQRT(I19/(A18-H22-1))</f>
        <v>0.717888358562613</v>
      </c>
      <c r="I21" s="13" t="s">
        <v>25</v>
      </c>
      <c r="J21" s="13" t="n">
        <f aca="false">J19/A18</f>
        <v>-0.278966760952197</v>
      </c>
      <c r="K21" s="13" t="s">
        <v>26</v>
      </c>
      <c r="L21" s="13" t="n">
        <f aca="false">L19/A18</f>
        <v>22.2947737024221</v>
      </c>
      <c r="M21" s="14" t="s">
        <v>27</v>
      </c>
      <c r="N21" s="14" t="n">
        <f aca="false">Q19/I19</f>
        <v>2.34999606760186</v>
      </c>
      <c r="O21" s="10" t="s">
        <v>28</v>
      </c>
      <c r="P21" s="10" t="n">
        <f aca="false">U19/S19</f>
        <v>0.807991694326751</v>
      </c>
      <c r="Q21" s="10" t="s">
        <v>29</v>
      </c>
      <c r="R21" s="10" t="n">
        <f aca="false">U19*(A18-2)/I19</f>
        <v>63.121620559092</v>
      </c>
      <c r="S21" s="10"/>
      <c r="T21" s="10"/>
      <c r="U21" s="10"/>
      <c r="V21" s="4"/>
      <c r="W21" s="4"/>
      <c r="X21" s="4"/>
      <c r="Y21" s="4"/>
    </row>
    <row r="22" customFormat="false" ht="15.75" hidden="false" customHeight="false" outlineLevel="0" collapsed="false">
      <c r="A22" s="12"/>
      <c r="B22" s="12"/>
      <c r="C22" s="10" t="s">
        <v>30</v>
      </c>
      <c r="D22" s="10" t="n">
        <f aca="false">AVERAGE(C2:C18)</f>
        <v>12.7017647058824</v>
      </c>
      <c r="E22" s="13" t="s">
        <v>31</v>
      </c>
      <c r="F22" s="13" t="n">
        <f aca="false">(A18*F19-B19*C19)/(A18*D19-B19^2)</f>
        <v>0.292967864859976</v>
      </c>
      <c r="G22" s="13" t="s">
        <v>32</v>
      </c>
      <c r="H22" s="15" t="n">
        <v>1</v>
      </c>
      <c r="I22" s="13" t="s">
        <v>33</v>
      </c>
      <c r="J22" s="13" t="n">
        <f aca="false">F22*D21/D22</f>
        <v>0.240501476057423</v>
      </c>
      <c r="K22" s="13" t="s">
        <v>34</v>
      </c>
      <c r="L22" s="16" t="n">
        <v>1.75</v>
      </c>
      <c r="M22" s="14" t="s">
        <v>35</v>
      </c>
      <c r="N22" s="14" t="s">
        <v>36</v>
      </c>
      <c r="O22" s="10" t="s">
        <v>37</v>
      </c>
      <c r="P22" s="10" t="n">
        <f aca="false">1-(1-P21)*(A18-1)/(A18-3)</f>
        <v>0.780561936373429</v>
      </c>
      <c r="Q22" s="10" t="s">
        <v>38</v>
      </c>
      <c r="R22" s="10" t="n">
        <f aca="false">I19/(A18-2)</f>
        <v>0.515363695359722</v>
      </c>
      <c r="S22" s="10"/>
      <c r="T22" s="10"/>
      <c r="U22" s="10"/>
      <c r="V22" s="4"/>
      <c r="W22" s="4"/>
      <c r="X22" s="4"/>
      <c r="Y22" s="4"/>
    </row>
    <row r="23" customFormat="false" ht="15.75" hidden="false" customHeight="false" outlineLevel="0" collapsed="false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8" t="s">
        <v>39</v>
      </c>
      <c r="N23" s="18"/>
      <c r="O23" s="17"/>
      <c r="P23" s="17"/>
      <c r="Q23" s="17"/>
      <c r="R23" s="17"/>
      <c r="S23" s="17"/>
      <c r="T23" s="17"/>
      <c r="U23" s="17"/>
    </row>
    <row r="24" customFormat="false" ht="12.75" hidden="false" customHeight="false" outlineLevel="0" collapsed="false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</row>
    <row r="25" customFormat="false" ht="12.75" hidden="false" customHeight="false" outlineLevel="0" collapsed="false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</row>
    <row r="26" customFormat="false" ht="15" hidden="false" customHeight="false" outlineLevel="0" collapsed="false">
      <c r="A26" s="19" t="s">
        <v>40</v>
      </c>
      <c r="B26" s="19" t="s">
        <v>41</v>
      </c>
      <c r="C26" s="19" t="s">
        <v>42</v>
      </c>
      <c r="D26" s="19" t="s">
        <v>43</v>
      </c>
      <c r="E26" s="19" t="s">
        <v>44</v>
      </c>
      <c r="F26" s="19" t="s">
        <v>44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</row>
    <row r="27" customFormat="false" ht="15" hidden="false" customHeight="false" outlineLevel="0" collapsed="false">
      <c r="A27" s="20" t="n">
        <v>1</v>
      </c>
      <c r="B27" s="21" t="n">
        <f aca="false">$B$18+A27*($B$18-$B$2)/$A$18</f>
        <v>16.8929411764706</v>
      </c>
      <c r="C27" s="22" t="n">
        <f aca="false">$F$21 + $F$22 * B27</f>
        <v>14.5960604532593</v>
      </c>
      <c r="D27" s="9" t="n">
        <f aca="false">$L$22*$H$21*SQRT(1 + 1/($A$18) + (B27-$D$21)^2/$L$19)</f>
        <v>1.35839628540982</v>
      </c>
      <c r="E27" s="9" t="n">
        <f aca="false">C27-D27</f>
        <v>13.2376641678495</v>
      </c>
      <c r="F27" s="9" t="n">
        <f aca="false">C27+D27</f>
        <v>15.9544567386691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</row>
    <row r="28" customFormat="false" ht="15" hidden="false" customHeight="false" outlineLevel="0" collapsed="false">
      <c r="A28" s="20" t="n">
        <v>2</v>
      </c>
      <c r="B28" s="21" t="n">
        <f aca="false">$B$18+A28*($B$18-$B$2)/$A$18</f>
        <v>17.7658823529412</v>
      </c>
      <c r="C28" s="9" t="n">
        <f aca="false">$F$21 + $F$22 * B28</f>
        <v>14.8518041658783</v>
      </c>
      <c r="D28" s="9" t="n">
        <f aca="false">$L$22*$H$21*SQRT(1 + 1/$A$18 + (B28-$D$21)^2/$L$19)</f>
        <v>1.37674351676125</v>
      </c>
      <c r="E28" s="9" t="n">
        <f aca="false">C28-D28</f>
        <v>13.475060649117</v>
      </c>
      <c r="F28" s="9" t="n">
        <f aca="false">C28+D28</f>
        <v>16.2285476826395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</row>
    <row r="29" customFormat="false" ht="15" hidden="false" customHeight="false" outlineLevel="0" collapsed="false">
      <c r="A29" s="20" t="n">
        <v>3</v>
      </c>
      <c r="B29" s="23" t="n">
        <f aca="false">$B$18+A29*($B$18-$B$2)/$A$18</f>
        <v>18.6388235294118</v>
      </c>
      <c r="C29" s="24" t="n">
        <f aca="false">$F$21 + $F$22 * B29</f>
        <v>15.1075478784972</v>
      </c>
      <c r="D29" s="24" t="n">
        <f aca="false">$L$22*$H$21*SQRT(1 + 1/$A$18 + (B29-$D$21)^2/$L$19)</f>
        <v>1.39712258097605</v>
      </c>
      <c r="E29" s="24" t="n">
        <f aca="false">C29-D29</f>
        <v>13.7104252975212</v>
      </c>
      <c r="F29" s="24" t="n">
        <f aca="false">C29+D29</f>
        <v>16.5046704594733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</row>
  </sheetData>
  <mergeCells count="1">
    <mergeCell ref="M23:N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95"/>
  <sheetViews>
    <sheetView showFormulas="false" showGridLines="true" showRowColHeaders="true" showZeros="true" rightToLeft="false" tabSelected="false" showOutlineSymbols="true" defaultGridColor="true" view="normal" topLeftCell="A40" colorId="64" zoomScale="80" zoomScaleNormal="80" zoomScalePageLayoutView="100" workbookViewId="0">
      <selection pane="topLeft" activeCell="D27" activeCellId="0" sqref="D27"/>
    </sheetView>
  </sheetViews>
  <sheetFormatPr defaultColWidth="11.5703125" defaultRowHeight="12.8" zeroHeight="false" outlineLevelRow="0" outlineLevelCol="0"/>
  <cols>
    <col collapsed="false" customWidth="true" hidden="false" outlineLevel="0" max="1" min="1" style="25" width="31.33"/>
    <col collapsed="false" customWidth="true" hidden="false" outlineLevel="0" max="2" min="2" style="1" width="24.86"/>
    <col collapsed="false" customWidth="true" hidden="false" outlineLevel="0" max="3" min="3" style="1" width="21.32"/>
    <col collapsed="false" customWidth="true" hidden="false" outlineLevel="0" max="4" min="4" style="1" width="19.42"/>
    <col collapsed="false" customWidth="true" hidden="false" outlineLevel="0" max="5" min="5" style="1" width="15.42"/>
    <col collapsed="false" customWidth="true" hidden="false" outlineLevel="0" max="6" min="6" style="1" width="13.95"/>
    <col collapsed="false" customWidth="true" hidden="false" outlineLevel="0" max="7" min="7" style="1" width="14.71"/>
    <col collapsed="false" customWidth="true" hidden="false" outlineLevel="0" max="8" min="8" style="1" width="15.42"/>
    <col collapsed="false" customWidth="true" hidden="false" outlineLevel="0" max="9" min="9" style="1" width="15"/>
    <col collapsed="false" customWidth="true" hidden="false" outlineLevel="0" max="10" min="10" style="1" width="14.71"/>
    <col collapsed="false" customWidth="true" hidden="false" outlineLevel="0" max="17" min="17" style="1" width="26.75"/>
    <col collapsed="false" customWidth="true" hidden="false" outlineLevel="0" max="18" min="18" style="1" width="17.7"/>
    <col collapsed="false" customWidth="true" hidden="false" outlineLevel="0" max="22" min="22" style="1" width="20.49"/>
  </cols>
  <sheetData>
    <row r="1" customFormat="false" ht="15" hidden="false" customHeight="false" outlineLevel="0" collapsed="false">
      <c r="A1" s="2" t="s">
        <v>0</v>
      </c>
      <c r="B1" s="26" t="s">
        <v>1</v>
      </c>
      <c r="C1" s="26" t="s">
        <v>2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customFormat="false" ht="15" hidden="false" customHeight="false" outlineLevel="0" collapsed="false">
      <c r="A2" s="5" t="n">
        <v>1</v>
      </c>
      <c r="B2" s="28" t="n">
        <v>1.18</v>
      </c>
      <c r="C2" s="28" t="n">
        <v>10.2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customFormat="false" ht="15" hidden="false" customHeight="false" outlineLevel="0" collapsed="false">
      <c r="A3" s="5" t="n">
        <v>2</v>
      </c>
      <c r="B3" s="28" t="n">
        <v>4.21</v>
      </c>
      <c r="C3" s="28" t="n">
        <v>10.3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</row>
    <row r="4" customFormat="false" ht="15" hidden="false" customHeight="false" outlineLevel="0" collapsed="false">
      <c r="A4" s="5" t="n">
        <v>3</v>
      </c>
      <c r="B4" s="28" t="n">
        <v>4.35</v>
      </c>
      <c r="C4" s="28" t="n">
        <v>10.5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</row>
    <row r="5" customFormat="false" ht="15" hidden="false" customHeight="false" outlineLevel="0" collapsed="false">
      <c r="A5" s="5" t="n">
        <v>4</v>
      </c>
      <c r="B5" s="28" t="n">
        <v>4.36</v>
      </c>
      <c r="C5" s="28" t="n">
        <v>11.3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</row>
    <row r="6" customFormat="false" ht="15" hidden="false" customHeight="false" outlineLevel="0" collapsed="false">
      <c r="A6" s="5" t="n">
        <v>5</v>
      </c>
      <c r="B6" s="28" t="n">
        <v>6.44</v>
      </c>
      <c r="C6" s="28" t="n">
        <v>12.7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</row>
    <row r="7" customFormat="false" ht="15" hidden="false" customHeight="false" outlineLevel="0" collapsed="false">
      <c r="A7" s="5" t="n">
        <v>6</v>
      </c>
      <c r="B7" s="28" t="n">
        <v>9.01</v>
      </c>
      <c r="C7" s="28" t="n">
        <v>12.2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</row>
    <row r="8" customFormat="false" ht="15" hidden="false" customHeight="false" outlineLevel="0" collapsed="false">
      <c r="A8" s="5" t="n">
        <v>7</v>
      </c>
      <c r="B8" s="28" t="n">
        <v>9.54</v>
      </c>
      <c r="C8" s="28" t="n">
        <v>12.8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</row>
    <row r="9" customFormat="false" ht="15" hidden="false" customHeight="false" outlineLevel="0" collapsed="false">
      <c r="A9" s="5" t="n">
        <v>8</v>
      </c>
      <c r="B9" s="28" t="n">
        <v>10.1</v>
      </c>
      <c r="C9" s="28" t="n">
        <v>12.2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</row>
    <row r="10" customFormat="false" ht="15" hidden="false" customHeight="false" outlineLevel="0" collapsed="false">
      <c r="A10" s="5" t="n">
        <v>9</v>
      </c>
      <c r="B10" s="28" t="n">
        <v>10.5</v>
      </c>
      <c r="C10" s="28" t="n">
        <v>12.9</v>
      </c>
      <c r="D10" s="29"/>
      <c r="E10" s="29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</row>
    <row r="11" customFormat="false" ht="15" hidden="false" customHeight="false" outlineLevel="0" collapsed="false">
      <c r="A11" s="5" t="n">
        <v>10</v>
      </c>
      <c r="B11" s="28" t="n">
        <v>11.47</v>
      </c>
      <c r="C11" s="28" t="n">
        <v>11.35</v>
      </c>
      <c r="D11" s="29"/>
      <c r="E11" s="29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</row>
    <row r="12" customFormat="false" ht="15" hidden="false" customHeight="false" outlineLevel="0" collapsed="false">
      <c r="A12" s="5" t="n">
        <v>11</v>
      </c>
      <c r="B12" s="28" t="n">
        <v>14.08</v>
      </c>
      <c r="C12" s="28" t="n">
        <v>14</v>
      </c>
      <c r="D12" s="29"/>
      <c r="E12" s="29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</row>
    <row r="13" customFormat="false" ht="15" hidden="false" customHeight="false" outlineLevel="0" collapsed="false">
      <c r="A13" s="5" t="n">
        <v>12</v>
      </c>
      <c r="B13" s="28" t="n">
        <v>14.21</v>
      </c>
      <c r="C13" s="28" t="n">
        <v>14.09</v>
      </c>
      <c r="D13" s="29"/>
      <c r="E13" s="29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</row>
    <row r="14" customFormat="false" ht="15" hidden="false" customHeight="false" outlineLevel="0" collapsed="false">
      <c r="A14" s="5" t="n">
        <v>13</v>
      </c>
      <c r="B14" s="28" t="n">
        <v>14.43</v>
      </c>
      <c r="C14" s="28" t="n">
        <v>13.21</v>
      </c>
      <c r="D14" s="29"/>
      <c r="E14" s="29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</row>
    <row r="15" customFormat="false" ht="15" hidden="false" customHeight="false" outlineLevel="0" collapsed="false">
      <c r="A15" s="5" t="n">
        <v>14</v>
      </c>
      <c r="B15" s="28" t="n">
        <v>15.59</v>
      </c>
      <c r="C15" s="28" t="n">
        <v>15.28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</row>
    <row r="16" customFormat="false" ht="15" hidden="false" customHeight="false" outlineLevel="0" collapsed="false">
      <c r="A16" s="5" t="n">
        <v>15</v>
      </c>
      <c r="B16" s="28" t="n">
        <v>15.77</v>
      </c>
      <c r="C16" s="28" t="n">
        <v>14.4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</row>
    <row r="17" customFormat="false" ht="15" hidden="false" customHeight="false" outlineLevel="0" collapsed="false">
      <c r="A17" s="5" t="n">
        <v>16</v>
      </c>
      <c r="B17" s="28" t="n">
        <v>16</v>
      </c>
      <c r="C17" s="28" t="n">
        <v>14.9</v>
      </c>
      <c r="D17" s="27"/>
      <c r="E17" s="29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</row>
    <row r="18" customFormat="false" ht="15" hidden="false" customHeight="false" outlineLevel="0" collapsed="false">
      <c r="A18" s="5" t="n">
        <v>17</v>
      </c>
      <c r="B18" s="30" t="n">
        <v>16.02</v>
      </c>
      <c r="C18" s="30" t="n">
        <v>13.6</v>
      </c>
      <c r="D18" s="27"/>
      <c r="E18" s="29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</row>
    <row r="19" customFormat="false" ht="15" hidden="false" customHeight="false" outlineLevel="0" collapsed="false">
      <c r="A19" s="31"/>
      <c r="B19" s="32"/>
      <c r="C19" s="27"/>
      <c r="D19" s="27"/>
      <c r="E19" s="29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</row>
    <row r="20" customFormat="false" ht="15" hidden="false" customHeight="false" outlineLevel="0" collapsed="false">
      <c r="A20" s="31"/>
      <c r="B20" s="32"/>
      <c r="C20" s="27"/>
      <c r="D20" s="27"/>
      <c r="E20" s="29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</row>
    <row r="21" customFormat="false" ht="15" hidden="false" customHeight="false" outlineLevel="0" collapsed="false">
      <c r="A21" s="31"/>
      <c r="B21" s="32"/>
      <c r="C21" s="27"/>
      <c r="D21" s="27"/>
      <c r="E21" s="29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</row>
    <row r="22" customFormat="false" ht="15" hidden="false" customHeight="false" outlineLevel="0" collapsed="false">
      <c r="A22" s="33" t="s">
        <v>45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</row>
    <row r="23" customFormat="false" ht="15" hidden="false" customHeight="false" outlineLevel="0" collapsed="false">
      <c r="A23" s="34" t="s">
        <v>46</v>
      </c>
      <c r="B23" s="34" t="s">
        <v>47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</row>
    <row r="24" customFormat="false" ht="15" hidden="false" customHeight="false" outlineLevel="0" collapsed="false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</row>
    <row r="25" customFormat="false" ht="15" hidden="false" customHeight="false" outlineLevel="0" collapsed="false">
      <c r="A25" s="35" t="s">
        <v>48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</row>
    <row r="26" customFormat="false" ht="15" hidden="false" customHeight="false" outlineLevel="0" collapsed="false">
      <c r="A26" s="22" t="n">
        <f aca="false" t="array" ref="A26:B30">LINEST($C$2:$C$18 , $B$2:$B$18 , 1 , 1)</f>
        <v>0.292967864859976</v>
      </c>
      <c r="B26" s="22" t="n">
        <v>9.64697154558357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</row>
    <row r="27" customFormat="false" ht="15" hidden="false" customHeight="false" outlineLevel="0" collapsed="false">
      <c r="A27" s="9" t="n">
        <v>0.0368749054844792</v>
      </c>
      <c r="B27" s="9" t="n">
        <v>0.422082109682907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</row>
    <row r="28" customFormat="false" ht="15" hidden="false" customHeight="false" outlineLevel="0" collapsed="false">
      <c r="A28" s="9" t="n">
        <v>0.807991694326746</v>
      </c>
      <c r="B28" s="9" t="n">
        <v>0.717888358562613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</row>
    <row r="29" customFormat="false" ht="15" hidden="false" customHeight="false" outlineLevel="0" collapsed="false">
      <c r="A29" s="9" t="n">
        <v>63.1216205590916</v>
      </c>
      <c r="B29" s="9" t="n">
        <v>15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</row>
    <row r="30" customFormat="false" ht="15" hidden="false" customHeight="false" outlineLevel="0" collapsed="false">
      <c r="A30" s="24" t="n">
        <v>32.5305916284277</v>
      </c>
      <c r="B30" s="24" t="n">
        <v>7.73045543039584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</row>
    <row r="31" customFormat="false" ht="15" hidden="false" customHeight="false" outlineLevel="0" collapsed="false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</row>
    <row r="32" customFormat="false" ht="15" hidden="false" customHeight="false" outlineLevel="0" collapsed="false">
      <c r="A32" s="35" t="s">
        <v>49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</row>
    <row r="33" customFormat="false" ht="15" hidden="false" customHeight="false" outlineLevel="0" collapsed="false">
      <c r="A33" s="34" t="s">
        <v>50</v>
      </c>
      <c r="B33" s="22" t="n">
        <f aca="false">$A$28</f>
        <v>0.807991694326746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</row>
    <row r="34" customFormat="false" ht="15" hidden="false" customHeight="false" outlineLevel="0" collapsed="false">
      <c r="A34" s="34" t="s">
        <v>51</v>
      </c>
      <c r="B34" s="9" t="n">
        <f aca="false">$B$28</f>
        <v>0.717888358562613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</row>
    <row r="35" customFormat="false" ht="15" hidden="false" customHeight="false" outlineLevel="0" collapsed="false">
      <c r="A35" s="34" t="s">
        <v>52</v>
      </c>
      <c r="B35" s="36" t="n">
        <f aca="false">1</f>
        <v>1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</row>
    <row r="36" customFormat="false" ht="15" hidden="false" customHeight="false" outlineLevel="0" collapsed="false">
      <c r="A36" s="34" t="s">
        <v>53</v>
      </c>
      <c r="B36" s="9" t="n">
        <f aca="false">17</f>
        <v>17</v>
      </c>
      <c r="C36" s="27"/>
      <c r="D36" s="27"/>
      <c r="E36" s="27"/>
      <c r="F36" s="27"/>
      <c r="G36" s="27"/>
      <c r="H36" s="37"/>
      <c r="I36" s="37"/>
      <c r="J36" s="37"/>
      <c r="K36" s="27"/>
      <c r="L36" s="27"/>
      <c r="M36" s="27"/>
      <c r="N36" s="27"/>
      <c r="O36" s="27"/>
      <c r="P36" s="27"/>
    </row>
    <row r="37" customFormat="false" ht="15" hidden="false" customHeight="false" outlineLevel="0" collapsed="false">
      <c r="A37" s="34" t="s">
        <v>54</v>
      </c>
      <c r="B37" s="24" t="n">
        <f aca="false">1 - (1 - $A$28)*($B$36 - 1)/($B$36 - $B$35 - 1)</f>
        <v>0.795191140615196</v>
      </c>
      <c r="C37" s="27"/>
      <c r="D37" s="27"/>
      <c r="E37" s="27"/>
      <c r="F37" s="27"/>
      <c r="G37" s="27"/>
      <c r="H37" s="38"/>
      <c r="I37" s="38"/>
      <c r="J37" s="38"/>
      <c r="K37" s="27"/>
      <c r="L37" s="27"/>
      <c r="M37" s="27"/>
      <c r="N37" s="27"/>
      <c r="O37" s="27"/>
      <c r="P37" s="27"/>
    </row>
    <row r="38" customFormat="false" ht="15" hidden="false" customHeight="false" outlineLevel="0" collapsed="false">
      <c r="A38" s="27"/>
      <c r="B38" s="27"/>
      <c r="C38" s="27"/>
      <c r="D38" s="27"/>
      <c r="E38" s="27"/>
      <c r="F38" s="27"/>
      <c r="G38" s="27"/>
      <c r="H38" s="38"/>
      <c r="I38" s="38"/>
      <c r="J38" s="38"/>
      <c r="K38" s="27"/>
      <c r="L38" s="27"/>
      <c r="M38" s="27"/>
      <c r="N38" s="27"/>
      <c r="O38" s="27"/>
      <c r="P38" s="27"/>
    </row>
    <row r="39" customFormat="false" ht="15" hidden="false" customHeight="false" outlineLevel="0" collapsed="false">
      <c r="A39" s="35" t="s">
        <v>55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</row>
    <row r="40" customFormat="false" ht="15" hidden="false" customHeight="false" outlineLevel="0" collapsed="false">
      <c r="A40" s="27"/>
      <c r="B40" s="34" t="s">
        <v>56</v>
      </c>
      <c r="C40" s="34" t="s">
        <v>57</v>
      </c>
      <c r="D40" s="34" t="s">
        <v>58</v>
      </c>
      <c r="E40" s="34" t="s">
        <v>59</v>
      </c>
      <c r="F40" s="34" t="s">
        <v>60</v>
      </c>
      <c r="G40" s="27"/>
      <c r="H40" s="27"/>
      <c r="I40" s="27"/>
      <c r="J40" s="27"/>
      <c r="K40" s="27"/>
      <c r="L40" s="27"/>
      <c r="M40" s="27"/>
      <c r="N40" s="27"/>
      <c r="O40" s="27"/>
      <c r="P40" s="27"/>
    </row>
    <row r="41" customFormat="false" ht="15" hidden="false" customHeight="false" outlineLevel="0" collapsed="false">
      <c r="A41" s="34" t="s">
        <v>45</v>
      </c>
      <c r="B41" s="39" t="n">
        <f aca="false">$B$35</f>
        <v>1</v>
      </c>
      <c r="C41" s="22" t="n">
        <f aca="false">$A$30</f>
        <v>32.5305916284277</v>
      </c>
      <c r="D41" s="22" t="n">
        <f aca="false">$A$30 / $B$41</f>
        <v>32.5305916284277</v>
      </c>
      <c r="E41" s="10" t="n">
        <f aca="false">$A$29</f>
        <v>63.1216205590916</v>
      </c>
      <c r="F41" s="10" t="n">
        <f aca="false">FDIST($A$29 , $B$41 , $B$29)</f>
        <v>9.37482751451651E-007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</row>
    <row r="42" customFormat="false" ht="15" hidden="false" customHeight="false" outlineLevel="0" collapsed="false">
      <c r="A42" s="34" t="s">
        <v>61</v>
      </c>
      <c r="B42" s="36" t="n">
        <f aca="false">$B$29</f>
        <v>15</v>
      </c>
      <c r="C42" s="9" t="n">
        <f aca="false">$B$30</f>
        <v>7.73045543039584</v>
      </c>
      <c r="D42" s="24" t="n">
        <f aca="false">$B$30 / $B$29</f>
        <v>0.515363695359723</v>
      </c>
      <c r="E42" s="29"/>
      <c r="F42" s="29"/>
      <c r="G42" s="27"/>
      <c r="H42" s="27"/>
      <c r="I42" s="27"/>
      <c r="J42" s="27"/>
      <c r="K42" s="27"/>
      <c r="L42" s="27"/>
      <c r="M42" s="27"/>
      <c r="N42" s="27"/>
      <c r="O42" s="27"/>
      <c r="P42" s="27"/>
    </row>
    <row r="43" customFormat="false" ht="15" hidden="false" customHeight="false" outlineLevel="0" collapsed="false">
      <c r="A43" s="34" t="s">
        <v>62</v>
      </c>
      <c r="B43" s="40" t="n">
        <f aca="false">$B$41 + $B$29</f>
        <v>16</v>
      </c>
      <c r="C43" s="24" t="n">
        <f aca="false">$A$30 + $B$30</f>
        <v>40.2610470588235</v>
      </c>
      <c r="D43" s="29"/>
      <c r="E43" s="29"/>
      <c r="F43" s="29"/>
      <c r="G43" s="27"/>
      <c r="H43" s="27"/>
      <c r="I43" s="27"/>
      <c r="J43" s="27"/>
      <c r="K43" s="27"/>
      <c r="L43" s="27"/>
      <c r="M43" s="27"/>
      <c r="N43" s="27"/>
      <c r="O43" s="27"/>
      <c r="P43" s="27"/>
    </row>
    <row r="44" customFormat="false" ht="15" hidden="false" customHeight="false" outlineLevel="0" collapsed="false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</row>
    <row r="45" customFormat="false" ht="15" hidden="false" customHeight="false" outlineLevel="0" collapsed="false">
      <c r="A45" s="35" t="s">
        <v>63</v>
      </c>
      <c r="B45" s="35" t="n">
        <v>0.9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</row>
    <row r="46" customFormat="false" ht="15" hidden="false" customHeight="false" outlineLevel="0" collapsed="false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</row>
    <row r="47" customFormat="false" ht="15" hidden="false" customHeight="false" outlineLevel="0" collapsed="false">
      <c r="A47" s="27"/>
      <c r="B47" s="34" t="s">
        <v>64</v>
      </c>
      <c r="C47" s="34" t="s">
        <v>51</v>
      </c>
      <c r="D47" s="34" t="s">
        <v>65</v>
      </c>
      <c r="E47" s="34" t="s">
        <v>66</v>
      </c>
      <c r="F47" s="34" t="str">
        <f aca="false">_xlfn.CONCAT("Нижній " , INT($B$45 * 100) , "%")</f>
        <v>Нижній 90%</v>
      </c>
      <c r="G47" s="34" t="str">
        <f aca="false">_xlfn.CONCAT("Верхній " , INT($B$45 * 100) , "%")</f>
        <v>Верхній 90%</v>
      </c>
      <c r="H47" s="27"/>
      <c r="I47" s="27"/>
      <c r="J47" s="27"/>
      <c r="K47" s="27"/>
      <c r="L47" s="27"/>
      <c r="M47" s="27"/>
      <c r="N47" s="27"/>
      <c r="O47" s="27"/>
      <c r="P47" s="27"/>
    </row>
    <row r="48" customFormat="false" ht="15" hidden="false" customHeight="false" outlineLevel="0" collapsed="false">
      <c r="A48" s="34" t="s">
        <v>67</v>
      </c>
      <c r="B48" s="22" t="n">
        <f aca="false" t="array" ref="B48:B49">INDEX($A$26:$B$26, 1 , ROW($B$49)+1 - ROW())</f>
        <v>9.64697154558357</v>
      </c>
      <c r="C48" s="22" t="n">
        <f aca="false" t="array" ref="C48:C49">INDEX($A$27:$B$27, 1 , ROW($C$49)+1 - ROW())</f>
        <v>0.422082109682907</v>
      </c>
      <c r="D48" s="22" t="n">
        <f aca="false" t="array" ref="D48:D49">$B$48:$B$49 / $C$48:$C$49</f>
        <v>22.8556750553369</v>
      </c>
      <c r="E48" s="22" t="n">
        <f aca="false" t="array" ref="E48:E49">TDIST(ABS($D$48:$D$49) , $B$29 , 2 )</f>
        <v>4.52522207146309E-013</v>
      </c>
      <c r="F48" s="22" t="n">
        <f aca="false" t="array" ref="F48:F49">$B$48:$B$49 - $C$48:$C$49 * TINV(1 - $B$45 , $B$29)</f>
        <v>8.90704035307248</v>
      </c>
      <c r="G48" s="22" t="n">
        <f aca="false" t="array" ref="G48:G49">$B$48:$B$49 + $C$48:$C$49 * TINV(1 - $B$45 , $B$29)</f>
        <v>10.3869027380947</v>
      </c>
      <c r="H48" s="27"/>
      <c r="I48" s="27"/>
      <c r="J48" s="27"/>
      <c r="K48" s="27"/>
      <c r="L48" s="27"/>
      <c r="M48" s="27"/>
      <c r="N48" s="27"/>
      <c r="O48" s="27"/>
      <c r="P48" s="27"/>
    </row>
    <row r="49" customFormat="false" ht="15" hidden="false" customHeight="false" outlineLevel="0" collapsed="false">
      <c r="A49" s="34" t="s">
        <v>68</v>
      </c>
      <c r="B49" s="24" t="n">
        <v>0.292967864859976</v>
      </c>
      <c r="C49" s="24" t="n">
        <v>0.0368749054844792</v>
      </c>
      <c r="D49" s="24" t="n">
        <v>7.94491161430331</v>
      </c>
      <c r="E49" s="24" t="n">
        <v>9.37482751451651E-007</v>
      </c>
      <c r="F49" s="24" t="n">
        <v>0.228324298684279</v>
      </c>
      <c r="G49" s="24" t="n">
        <v>0.357611431035672</v>
      </c>
      <c r="H49" s="27"/>
      <c r="I49" s="27"/>
      <c r="J49" s="27"/>
      <c r="K49" s="27"/>
      <c r="L49" s="27"/>
      <c r="M49" s="27"/>
      <c r="N49" s="27"/>
      <c r="O49" s="27"/>
      <c r="P49" s="27"/>
    </row>
    <row r="50" customFormat="false" ht="15" hidden="false" customHeight="false" outlineLevel="0" collapsed="false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</row>
    <row r="51" customFormat="false" ht="15" hidden="false" customHeight="false" outlineLevel="0" collapsed="false">
      <c r="A51" s="34" t="str">
        <f aca="false">"X"</f>
        <v>X</v>
      </c>
      <c r="B51" s="34" t="s">
        <v>69</v>
      </c>
      <c r="C51" s="34" t="str">
        <f aca="false">"Y"</f>
        <v>Y</v>
      </c>
      <c r="D51" s="34" t="s">
        <v>61</v>
      </c>
      <c r="E51" s="34" t="s">
        <v>70</v>
      </c>
      <c r="F51" s="34" t="s">
        <v>71</v>
      </c>
      <c r="G51" s="41" t="s">
        <v>12</v>
      </c>
      <c r="H51" s="41" t="s">
        <v>13</v>
      </c>
      <c r="I51" s="41" t="s">
        <v>14</v>
      </c>
      <c r="J51" s="27"/>
      <c r="K51" s="34" t="s">
        <v>40</v>
      </c>
      <c r="L51" s="34" t="s">
        <v>41</v>
      </c>
      <c r="M51" s="34" t="s">
        <v>42</v>
      </c>
      <c r="N51" s="34" t="s">
        <v>43</v>
      </c>
      <c r="O51" s="34" t="s">
        <v>44</v>
      </c>
      <c r="P51" s="34" t="s">
        <v>44</v>
      </c>
    </row>
    <row r="52" customFormat="false" ht="15" hidden="false" customHeight="false" outlineLevel="0" collapsed="false">
      <c r="A52" s="8" t="n">
        <f aca="false" t="array" ref="A52:A68">$B$2:$B$18</f>
        <v>1.18</v>
      </c>
      <c r="B52" s="9" t="n">
        <f aca="false" t="array" ref="B52:B68">MMULT($A$52:$A$68 , $B$49) + $B$48</f>
        <v>9.99267362611835</v>
      </c>
      <c r="C52" s="29" t="n">
        <f aca="false" t="array" ref="C52:C68">$C$2:$C$18</f>
        <v>10.2</v>
      </c>
      <c r="D52" s="9" t="n">
        <f aca="false" t="array" ref="D52:D68">$C$52:$C$68 - $B$52:$B$68</f>
        <v>0.207326373881655</v>
      </c>
      <c r="E52" s="42" t="n">
        <f aca="false">B2-AVERAGE($B$2:$B$18)</f>
        <v>-9.24705882352941</v>
      </c>
      <c r="F52" s="22" t="n">
        <f aca="false">E52^2</f>
        <v>85.5080968858131</v>
      </c>
      <c r="G52" s="22" t="n">
        <f aca="false">1.75*$B$34/SQRT($A$18)*SQRT(1 + F52/VAR($B$2:$B$18))</f>
        <v>0.654196843948155</v>
      </c>
      <c r="H52" s="22" t="n">
        <f aca="false">B52-G52</f>
        <v>9.33847678217019</v>
      </c>
      <c r="I52" s="22" t="n">
        <f aca="false">B52+G52</f>
        <v>10.6468704700665</v>
      </c>
      <c r="J52" s="27"/>
      <c r="K52" s="5" t="n">
        <v>1</v>
      </c>
      <c r="L52" s="43" t="n">
        <f aca="false">$B$18+K52*($B$18-$B$2)/$A$18</f>
        <v>16.8929411764706</v>
      </c>
      <c r="M52" s="9" t="n">
        <f aca="false">$B$48 + $B$49 * L52</f>
        <v>14.5960604532593</v>
      </c>
      <c r="N52" s="9" t="n">
        <f aca="false">1.75*$B$34*SQRT(1 + 1/$A$18 + (L52-AVERAGE($B$2:$B$18))^2/SUM($F$52:$F$68))</f>
        <v>1.35839628540982</v>
      </c>
      <c r="O52" s="9" t="n">
        <f aca="false">M52-N52</f>
        <v>13.2376641678495</v>
      </c>
      <c r="P52" s="9" t="n">
        <f aca="false">M52+N52</f>
        <v>15.9544567386691</v>
      </c>
    </row>
    <row r="53" customFormat="false" ht="15" hidden="false" customHeight="false" outlineLevel="0" collapsed="false">
      <c r="A53" s="8" t="n">
        <v>4.21</v>
      </c>
      <c r="B53" s="9" t="n">
        <v>10.8803662566441</v>
      </c>
      <c r="C53" s="29" t="n">
        <v>10.3</v>
      </c>
      <c r="D53" s="9" t="n">
        <v>-0.580366256644069</v>
      </c>
      <c r="E53" s="44" t="n">
        <f aca="false">B3-AVERAGE($B$2:$B$18)</f>
        <v>-6.21705882352941</v>
      </c>
      <c r="F53" s="9" t="n">
        <f aca="false">E53^2</f>
        <v>38.6518204152249</v>
      </c>
      <c r="G53" s="9" t="n">
        <f aca="false">1.75*$B$34/SQRT($A$18)*SQRT(1 + F53/VAR($B$2:$B$18))</f>
        <v>0.494296977641041</v>
      </c>
      <c r="H53" s="9" t="n">
        <f aca="false">B53-G53</f>
        <v>10.386069279003</v>
      </c>
      <c r="I53" s="9" t="n">
        <f aca="false">B53+G53</f>
        <v>11.3746632342851</v>
      </c>
      <c r="J53" s="27"/>
      <c r="K53" s="5" t="n">
        <v>2</v>
      </c>
      <c r="L53" s="43" t="n">
        <f aca="false">$B$18+K53*($B$18-$B$2)/$A$18</f>
        <v>17.7658823529412</v>
      </c>
      <c r="M53" s="9" t="n">
        <f aca="false">$B$48 + $B$49 * L53</f>
        <v>14.8518041658783</v>
      </c>
      <c r="N53" s="9" t="n">
        <f aca="false">1.75*$B$34*SQRT(1 + 1/$A$18 + (L53-AVERAGE($B$2:$B$18))^2/SUM($F$52:$F$68))</f>
        <v>1.37674351676125</v>
      </c>
      <c r="O53" s="9" t="n">
        <f aca="false">M53-N53</f>
        <v>13.475060649117</v>
      </c>
      <c r="P53" s="9" t="n">
        <f aca="false">M53+N53</f>
        <v>16.2285476826395</v>
      </c>
    </row>
    <row r="54" customFormat="false" ht="15" hidden="false" customHeight="false" outlineLevel="0" collapsed="false">
      <c r="A54" s="8" t="n">
        <v>4.35</v>
      </c>
      <c r="B54" s="9" t="n">
        <v>10.9213817577245</v>
      </c>
      <c r="C54" s="29" t="n">
        <v>10.5</v>
      </c>
      <c r="D54" s="9" t="n">
        <v>-0.421381757724467</v>
      </c>
      <c r="E54" s="44" t="n">
        <f aca="false">B4-AVERAGE($B$2:$B$18)</f>
        <v>-6.07705882352941</v>
      </c>
      <c r="F54" s="9" t="n">
        <f aca="false">E54^2</f>
        <v>36.9306439446367</v>
      </c>
      <c r="G54" s="9" t="n">
        <f aca="false">1.75*$B$34/SQRT($A$18)*SQRT(1 + F54/VAR($B$2:$B$18))</f>
        <v>0.487425571410268</v>
      </c>
      <c r="H54" s="9" t="n">
        <f aca="false">B54-G54</f>
        <v>10.4339561863142</v>
      </c>
      <c r="I54" s="9" t="n">
        <f aca="false">B54+G54</f>
        <v>11.4088073291347</v>
      </c>
      <c r="J54" s="27"/>
      <c r="K54" s="5" t="n">
        <v>3</v>
      </c>
      <c r="L54" s="45" t="n">
        <f aca="false">$B$18+K54*($B$18-$B$2)/$A$18</f>
        <v>18.6388235294118</v>
      </c>
      <c r="M54" s="24" t="n">
        <f aca="false">$B$48 + $B$49 * L54</f>
        <v>15.1075478784972</v>
      </c>
      <c r="N54" s="24" t="n">
        <f aca="false">1.75*$B$34*SQRT(1 + 1/$A$18 + (L54-AVERAGE($B$2:$B$18))^2/SUM($F$52:$F$68))</f>
        <v>1.39712258097605</v>
      </c>
      <c r="O54" s="24" t="n">
        <f aca="false">M54-N54</f>
        <v>13.7104252975212</v>
      </c>
      <c r="P54" s="24" t="n">
        <f aca="false">M54+N54</f>
        <v>16.5046704594733</v>
      </c>
    </row>
    <row r="55" customFormat="false" ht="15" hidden="false" customHeight="false" outlineLevel="0" collapsed="false">
      <c r="A55" s="8" t="n">
        <v>4.36</v>
      </c>
      <c r="B55" s="9" t="n">
        <v>10.9243114363731</v>
      </c>
      <c r="C55" s="29" t="n">
        <v>11.3</v>
      </c>
      <c r="D55" s="9" t="n">
        <v>0.375688563626934</v>
      </c>
      <c r="E55" s="44" t="n">
        <f aca="false">B5-AVERAGE($B$2:$B$18)</f>
        <v>-6.06705882352941</v>
      </c>
      <c r="F55" s="9" t="n">
        <f aca="false">E55^2</f>
        <v>36.8092027681661</v>
      </c>
      <c r="G55" s="9" t="n">
        <f aca="false">1.75*$B$34/SQRT($A$18)*SQRT(1 + F55/VAR($B$2:$B$18))</f>
        <v>0.486937082930186</v>
      </c>
      <c r="H55" s="9" t="n">
        <f aca="false">B55-G55</f>
        <v>10.4373743534429</v>
      </c>
      <c r="I55" s="9" t="n">
        <f aca="false">B55+G55</f>
        <v>11.4112485193033</v>
      </c>
      <c r="J55" s="27"/>
      <c r="K55" s="27"/>
      <c r="L55" s="27"/>
      <c r="M55" s="27"/>
      <c r="N55" s="27"/>
      <c r="O55" s="27"/>
      <c r="P55" s="27"/>
    </row>
    <row r="56" customFormat="false" ht="15" hidden="false" customHeight="false" outlineLevel="0" collapsed="false">
      <c r="A56" s="8" t="n">
        <v>6.44</v>
      </c>
      <c r="B56" s="9" t="n">
        <v>11.5336845952818</v>
      </c>
      <c r="C56" s="29" t="n">
        <v>12.7</v>
      </c>
      <c r="D56" s="9" t="n">
        <v>1.16631540471818</v>
      </c>
      <c r="E56" s="44" t="n">
        <f aca="false">B6-AVERAGE($B$2:$B$18)</f>
        <v>-3.98705882352941</v>
      </c>
      <c r="F56" s="9" t="n">
        <f aca="false">E56^2</f>
        <v>15.8966380622837</v>
      </c>
      <c r="G56" s="9" t="n">
        <f aca="false">1.75*$B$34/SQRT($A$18)*SQRT(1 + F56/VAR($B$2:$B$18))</f>
        <v>0.393884522117272</v>
      </c>
      <c r="H56" s="9" t="n">
        <f aca="false">B56-G56</f>
        <v>11.1398000731645</v>
      </c>
      <c r="I56" s="9" t="n">
        <f aca="false">B56+G56</f>
        <v>11.9275691173991</v>
      </c>
      <c r="J56" s="27"/>
      <c r="K56" s="27"/>
      <c r="L56" s="27"/>
      <c r="M56" s="27"/>
      <c r="N56" s="27"/>
      <c r="O56" s="27"/>
      <c r="P56" s="27"/>
    </row>
    <row r="57" customFormat="false" ht="15" hidden="false" customHeight="false" outlineLevel="0" collapsed="false">
      <c r="A57" s="8" t="n">
        <v>9.01</v>
      </c>
      <c r="B57" s="9" t="n">
        <v>12.286612007972</v>
      </c>
      <c r="C57" s="29" t="n">
        <v>12.2</v>
      </c>
      <c r="D57" s="9" t="n">
        <v>-0.0866120079719543</v>
      </c>
      <c r="E57" s="44" t="n">
        <f aca="false">B7-AVERAGE($B$2:$B$18)</f>
        <v>-1.41705882352941</v>
      </c>
      <c r="F57" s="9" t="n">
        <f aca="false">E57^2</f>
        <v>2.00805570934256</v>
      </c>
      <c r="G57" s="9" t="n">
        <f aca="false">1.75*$B$34/SQRT($A$18)*SQRT(1 + F57/VAR($B$2:$B$18))</f>
        <v>0.317350650596969</v>
      </c>
      <c r="H57" s="9" t="n">
        <f aca="false">B57-G57</f>
        <v>11.969261357375</v>
      </c>
      <c r="I57" s="9" t="n">
        <f aca="false">B57+G57</f>
        <v>12.6039626585689</v>
      </c>
      <c r="J57" s="27"/>
      <c r="K57" s="27"/>
      <c r="L57" s="27"/>
      <c r="M57" s="27"/>
      <c r="N57" s="27"/>
      <c r="O57" s="27"/>
      <c r="P57" s="27"/>
    </row>
    <row r="58" customFormat="false" ht="15" hidden="false" customHeight="false" outlineLevel="0" collapsed="false">
      <c r="A58" s="8" t="n">
        <v>9.54</v>
      </c>
      <c r="B58" s="9" t="n">
        <v>12.4418849763477</v>
      </c>
      <c r="C58" s="29" t="n">
        <v>12.8</v>
      </c>
      <c r="D58" s="9" t="n">
        <v>0.35811502365226</v>
      </c>
      <c r="E58" s="44" t="n">
        <f aca="false">B8-AVERAGE($B$2:$B$18)</f>
        <v>-0.887058823529412</v>
      </c>
      <c r="F58" s="9" t="n">
        <f aca="false">E58^2</f>
        <v>0.786873356401384</v>
      </c>
      <c r="G58" s="9" t="n">
        <f aca="false">1.75*$B$34/SQRT($A$18)*SQRT(1 + F58/VAR($B$2:$B$18))</f>
        <v>0.309718017102131</v>
      </c>
      <c r="H58" s="9" t="n">
        <f aca="false">B58-G58</f>
        <v>12.1321669592456</v>
      </c>
      <c r="I58" s="9" t="n">
        <f aca="false">B58+G58</f>
        <v>12.7516029934499</v>
      </c>
      <c r="J58" s="27"/>
      <c r="K58" s="27"/>
      <c r="L58" s="27"/>
      <c r="M58" s="27"/>
      <c r="N58" s="27"/>
      <c r="O58" s="27"/>
      <c r="P58" s="27"/>
    </row>
    <row r="59" customFormat="false" ht="15" hidden="false" customHeight="false" outlineLevel="0" collapsed="false">
      <c r="A59" s="8" t="n">
        <v>10.1</v>
      </c>
      <c r="B59" s="9" t="n">
        <v>12.6059469806693</v>
      </c>
      <c r="C59" s="29" t="n">
        <v>12.2</v>
      </c>
      <c r="D59" s="9" t="n">
        <v>-0.405946980669327</v>
      </c>
      <c r="E59" s="44" t="n">
        <f aca="false">B9-AVERAGE($B$2:$B$18)</f>
        <v>-0.327058823529411</v>
      </c>
      <c r="F59" s="9" t="n">
        <f aca="false">E59^2</f>
        <v>0.106967474048442</v>
      </c>
      <c r="G59" s="9" t="n">
        <f aca="false">1.75*$B$34/SQRT($A$18)*SQRT(1 + F59/VAR($B$2:$B$18))</f>
        <v>0.305385808495714</v>
      </c>
      <c r="H59" s="9" t="n">
        <f aca="false">B59-G59</f>
        <v>12.3005611721736</v>
      </c>
      <c r="I59" s="9" t="n">
        <f aca="false">B59+G59</f>
        <v>12.911332789165</v>
      </c>
      <c r="J59" s="27"/>
      <c r="K59" s="27"/>
      <c r="L59" s="27"/>
      <c r="M59" s="27"/>
      <c r="N59" s="27"/>
      <c r="O59" s="27"/>
      <c r="P59" s="27"/>
    </row>
    <row r="60" customFormat="false" ht="15" hidden="false" customHeight="false" outlineLevel="0" collapsed="false">
      <c r="A60" s="8" t="n">
        <v>10.5</v>
      </c>
      <c r="B60" s="9" t="n">
        <v>12.7231341266133</v>
      </c>
      <c r="C60" s="29" t="n">
        <v>12.9</v>
      </c>
      <c r="D60" s="9" t="n">
        <v>0.176865873386683</v>
      </c>
      <c r="E60" s="44" t="n">
        <f aca="false">B10-AVERAGE($B$2:$B$18)</f>
        <v>0.0729411764705894</v>
      </c>
      <c r="F60" s="9" t="n">
        <f aca="false">E60^2</f>
        <v>0.00532041522491366</v>
      </c>
      <c r="G60" s="9" t="n">
        <f aca="false">1.75*$B$34/SQRT($A$18)*SQRT(1 + F60/VAR($B$2:$B$18))</f>
        <v>0.304732844094712</v>
      </c>
      <c r="H60" s="9" t="n">
        <f aca="false">B60-G60</f>
        <v>12.4184012825186</v>
      </c>
      <c r="I60" s="9" t="n">
        <f aca="false">B60+G60</f>
        <v>13.027866970708</v>
      </c>
      <c r="J60" s="27"/>
      <c r="K60" s="27"/>
      <c r="L60" s="27"/>
      <c r="M60" s="27"/>
      <c r="N60" s="27"/>
      <c r="O60" s="27"/>
      <c r="P60" s="27"/>
    </row>
    <row r="61" customFormat="false" ht="15" hidden="false" customHeight="false" outlineLevel="0" collapsed="false">
      <c r="A61" s="8" t="n">
        <v>11.47</v>
      </c>
      <c r="B61" s="9" t="n">
        <v>13.0073129555275</v>
      </c>
      <c r="C61" s="29" t="n">
        <v>11.35</v>
      </c>
      <c r="D61" s="9" t="n">
        <v>-1.65731295552749</v>
      </c>
      <c r="E61" s="44" t="n">
        <f aca="false">B11-AVERAGE($B$2:$B$18)</f>
        <v>1.04294117647059</v>
      </c>
      <c r="F61" s="9" t="n">
        <f aca="false">E61^2</f>
        <v>1.08772629757786</v>
      </c>
      <c r="G61" s="9" t="n">
        <f aca="false">1.75*$B$34/SQRT($A$18)*SQRT(1 + F61/VAR($B$2:$B$18))</f>
        <v>0.311615763980037</v>
      </c>
      <c r="H61" s="9" t="n">
        <f aca="false">B61-G61</f>
        <v>12.6956971915475</v>
      </c>
      <c r="I61" s="9" t="n">
        <f aca="false">B61+G61</f>
        <v>13.3189287195075</v>
      </c>
      <c r="J61" s="27"/>
      <c r="K61" s="27"/>
      <c r="L61" s="27"/>
      <c r="M61" s="27"/>
      <c r="N61" s="27"/>
      <c r="O61" s="27"/>
      <c r="P61" s="27"/>
    </row>
    <row r="62" customFormat="false" ht="15" hidden="false" customHeight="false" outlineLevel="0" collapsed="false">
      <c r="A62" s="8" t="n">
        <v>14.08</v>
      </c>
      <c r="B62" s="9" t="n">
        <v>13.771959082812</v>
      </c>
      <c r="C62" s="29" t="n">
        <v>14</v>
      </c>
      <c r="D62" s="9" t="n">
        <v>0.228040917187972</v>
      </c>
      <c r="E62" s="44" t="n">
        <f aca="false">B12-AVERAGE($B$2:$B$18)</f>
        <v>3.65294117647059</v>
      </c>
      <c r="F62" s="9" t="n">
        <f aca="false">E62^2</f>
        <v>13.3439792387543</v>
      </c>
      <c r="G62" s="9" t="n">
        <f aca="false">1.75*$B$34/SQRT($A$18)*SQRT(1 + F62/VAR($B$2:$B$18))</f>
        <v>0.380972925434882</v>
      </c>
      <c r="H62" s="9" t="n">
        <f aca="false">B62-G62</f>
        <v>13.3909861573771</v>
      </c>
      <c r="I62" s="9" t="n">
        <f aca="false">B62+G62</f>
        <v>14.1529320082469</v>
      </c>
      <c r="J62" s="27"/>
      <c r="K62" s="27"/>
      <c r="L62" s="27"/>
      <c r="M62" s="27"/>
      <c r="N62" s="27"/>
      <c r="O62" s="27"/>
      <c r="P62" s="27"/>
    </row>
    <row r="63" customFormat="false" ht="15" hidden="false" customHeight="false" outlineLevel="0" collapsed="false">
      <c r="A63" s="8" t="n">
        <v>14.21</v>
      </c>
      <c r="B63" s="9" t="n">
        <v>13.8100449052438</v>
      </c>
      <c r="C63" s="29" t="n">
        <v>14.09</v>
      </c>
      <c r="D63" s="9" t="n">
        <v>0.279955094756174</v>
      </c>
      <c r="E63" s="44" t="n">
        <f aca="false">B13-AVERAGE($B$2:$B$18)</f>
        <v>3.78294117647059</v>
      </c>
      <c r="F63" s="9" t="n">
        <f aca="false">E63^2</f>
        <v>14.3106439446367</v>
      </c>
      <c r="G63" s="9" t="n">
        <f aca="false">1.75*$B$34/SQRT($A$18)*SQRT(1 + F63/VAR($B$2:$B$18))</f>
        <v>0.385913232615817</v>
      </c>
      <c r="H63" s="9" t="n">
        <f aca="false">B63-G63</f>
        <v>13.424131672628</v>
      </c>
      <c r="I63" s="9" t="n">
        <f aca="false">B63+G63</f>
        <v>14.1959581378596</v>
      </c>
      <c r="J63" s="27"/>
      <c r="K63" s="27"/>
      <c r="L63" s="27"/>
      <c r="M63" s="27"/>
      <c r="N63" s="27"/>
      <c r="O63" s="27"/>
      <c r="P63" s="27"/>
    </row>
    <row r="64" customFormat="false" ht="15" hidden="false" customHeight="false" outlineLevel="0" collapsed="false">
      <c r="A64" s="8" t="n">
        <v>14.43</v>
      </c>
      <c r="B64" s="9" t="n">
        <v>13.874497835513</v>
      </c>
      <c r="C64" s="29" t="n">
        <v>13.21</v>
      </c>
      <c r="D64" s="9" t="n">
        <v>-0.66449783551302</v>
      </c>
      <c r="E64" s="44" t="n">
        <f aca="false">B14-AVERAGE($B$2:$B$18)</f>
        <v>4.00294117647059</v>
      </c>
      <c r="F64" s="9" t="n">
        <f aca="false">E64^2</f>
        <v>16.0235380622837</v>
      </c>
      <c r="G64" s="9" t="n">
        <f aca="false">1.75*$B$34/SQRT($A$18)*SQRT(1 + F64/VAR($B$2:$B$18))</f>
        <v>0.394515369138468</v>
      </c>
      <c r="H64" s="9" t="n">
        <f aca="false">B64-G64</f>
        <v>13.4799824663746</v>
      </c>
      <c r="I64" s="9" t="n">
        <f aca="false">B64+G64</f>
        <v>14.2690132046515</v>
      </c>
      <c r="J64" s="27"/>
      <c r="K64" s="27"/>
      <c r="L64" s="27"/>
      <c r="M64" s="27"/>
      <c r="N64" s="27"/>
      <c r="O64" s="27"/>
      <c r="P64" s="27"/>
    </row>
    <row r="65" customFormat="false" ht="15" hidden="false" customHeight="false" outlineLevel="0" collapsed="false">
      <c r="A65" s="8" t="n">
        <v>15.59</v>
      </c>
      <c r="B65" s="9" t="n">
        <v>14.2143405587506</v>
      </c>
      <c r="C65" s="29" t="n">
        <v>15.28</v>
      </c>
      <c r="D65" s="9" t="n">
        <v>1.06565944124941</v>
      </c>
      <c r="E65" s="44" t="n">
        <f aca="false">B15-AVERAGE($B$2:$B$18)</f>
        <v>5.16294117647059</v>
      </c>
      <c r="F65" s="9" t="n">
        <f aca="false">E65^2</f>
        <v>26.6559615916955</v>
      </c>
      <c r="G65" s="9" t="n">
        <f aca="false">1.75*$B$34/SQRT($A$18)*SQRT(1 + F65/VAR($B$2:$B$18))</f>
        <v>0.444200495667626</v>
      </c>
      <c r="H65" s="9" t="n">
        <f aca="false">B65-G65</f>
        <v>13.770140063083</v>
      </c>
      <c r="I65" s="9" t="n">
        <f aca="false">B65+G65</f>
        <v>14.6585410544182</v>
      </c>
      <c r="J65" s="27"/>
      <c r="K65" s="27"/>
      <c r="L65" s="27"/>
      <c r="M65" s="27"/>
      <c r="N65" s="27"/>
      <c r="O65" s="27"/>
      <c r="P65" s="27"/>
    </row>
    <row r="66" customFormat="false" ht="15" hidden="false" customHeight="false" outlineLevel="0" collapsed="false">
      <c r="A66" s="8" t="n">
        <v>15.77</v>
      </c>
      <c r="B66" s="9" t="n">
        <v>14.2670747744254</v>
      </c>
      <c r="C66" s="29" t="n">
        <v>14.4</v>
      </c>
      <c r="D66" s="9" t="n">
        <v>0.132925225574612</v>
      </c>
      <c r="E66" s="44" t="n">
        <f aca="false">B16-AVERAGE($B$2:$B$18)</f>
        <v>5.34294117647059</v>
      </c>
      <c r="F66" s="9" t="n">
        <f aca="false">E66^2</f>
        <v>28.5470204152249</v>
      </c>
      <c r="G66" s="9" t="n">
        <f aca="false">1.75*$B$34/SQRT($A$18)*SQRT(1 + F66/VAR($B$2:$B$18))</f>
        <v>0.452466258894379</v>
      </c>
      <c r="H66" s="9" t="n">
        <f aca="false">B66-G66</f>
        <v>13.814608515531</v>
      </c>
      <c r="I66" s="9" t="n">
        <f aca="false">B66+G66</f>
        <v>14.7195410333198</v>
      </c>
      <c r="J66" s="27"/>
      <c r="K66" s="27"/>
      <c r="L66" s="27"/>
      <c r="M66" s="27"/>
      <c r="N66" s="27"/>
      <c r="O66" s="27"/>
      <c r="P66" s="27"/>
    </row>
    <row r="67" customFormat="false" ht="15" hidden="false" customHeight="false" outlineLevel="0" collapsed="false">
      <c r="A67" s="8" t="n">
        <v>16</v>
      </c>
      <c r="B67" s="9" t="n">
        <v>14.3344573833432</v>
      </c>
      <c r="C67" s="29" t="n">
        <v>14.9</v>
      </c>
      <c r="D67" s="9" t="n">
        <v>0.565542616656819</v>
      </c>
      <c r="E67" s="44" t="n">
        <f aca="false">B17-AVERAGE($B$2:$B$18)</f>
        <v>5.57294117647059</v>
      </c>
      <c r="F67" s="9" t="n">
        <f aca="false">E67^2</f>
        <v>31.0576733564014</v>
      </c>
      <c r="G67" s="9" t="n">
        <f aca="false">1.75*$B$34/SQRT($A$18)*SQRT(1 + F67/VAR($B$2:$B$18))</f>
        <v>0.463212401009825</v>
      </c>
      <c r="H67" s="9" t="n">
        <f aca="false">B67-G67</f>
        <v>13.8712449823334</v>
      </c>
      <c r="I67" s="9" t="n">
        <f aca="false">B67+G67</f>
        <v>14.797669784353</v>
      </c>
      <c r="J67" s="27"/>
      <c r="K67" s="27"/>
      <c r="L67" s="27"/>
      <c r="M67" s="27"/>
      <c r="N67" s="27"/>
      <c r="O67" s="27"/>
      <c r="P67" s="27"/>
    </row>
    <row r="68" customFormat="false" ht="15" hidden="false" customHeight="false" outlineLevel="0" collapsed="false">
      <c r="A68" s="46" t="n">
        <v>16.02</v>
      </c>
      <c r="B68" s="24" t="n">
        <v>14.3403167406404</v>
      </c>
      <c r="C68" s="23" t="n">
        <v>13.6</v>
      </c>
      <c r="D68" s="24" t="n">
        <v>-0.740316740640383</v>
      </c>
      <c r="E68" s="47" t="n">
        <f aca="false">B18-AVERAGE($B$2:$B$18)</f>
        <v>5.59294117647059</v>
      </c>
      <c r="F68" s="24" t="n">
        <f aca="false">E68^2</f>
        <v>31.2809910034602</v>
      </c>
      <c r="G68" s="24" t="n">
        <f aca="false">1.75*$B$34/SQRT($A$18)*SQRT(1 + F68/VAR($B$2:$B$18))</f>
        <v>0.464156200299438</v>
      </c>
      <c r="H68" s="24" t="n">
        <f aca="false">B68-G68</f>
        <v>13.8761605403409</v>
      </c>
      <c r="I68" s="24" t="n">
        <f aca="false">B68+G68</f>
        <v>14.8044729409398</v>
      </c>
      <c r="J68" s="27"/>
      <c r="K68" s="27"/>
      <c r="L68" s="27"/>
      <c r="M68" s="27"/>
      <c r="N68" s="27"/>
      <c r="O68" s="27"/>
      <c r="P68" s="27"/>
    </row>
    <row r="69" customFormat="false" ht="12.8" hidden="false" customHeight="false" outlineLevel="0" collapsed="false">
      <c r="A69" s="1"/>
    </row>
    <row r="70" customFormat="false" ht="12.8" hidden="false" customHeight="false" outlineLevel="0" collapsed="false">
      <c r="A70" s="1"/>
    </row>
    <row r="71" customFormat="false" ht="12.8" hidden="false" customHeight="false" outlineLevel="0" collapsed="false">
      <c r="A71" s="1"/>
    </row>
    <row r="72" customFormat="false" ht="12.8" hidden="false" customHeight="false" outlineLevel="0" collapsed="false">
      <c r="A72" s="1"/>
    </row>
    <row r="73" customFormat="false" ht="15" hidden="false" customHeight="false" outlineLevel="0" collapsed="false">
      <c r="D73" s="48"/>
      <c r="E73" s="29"/>
      <c r="F73" s="48"/>
      <c r="G73" s="29"/>
      <c r="H73" s="27"/>
      <c r="I73" s="27"/>
      <c r="J73" s="27"/>
    </row>
    <row r="74" customFormat="false" ht="15" hidden="false" customHeight="false" outlineLevel="0" collapsed="false">
      <c r="D74" s="48"/>
      <c r="E74" s="29"/>
      <c r="F74" s="48"/>
      <c r="G74" s="29"/>
      <c r="H74" s="27"/>
      <c r="I74" s="27"/>
      <c r="J74" s="27"/>
    </row>
    <row r="75" customFormat="false" ht="15" hidden="false" customHeight="false" outlineLevel="0" collapsed="false">
      <c r="D75" s="48"/>
      <c r="E75" s="29"/>
      <c r="F75" s="48"/>
      <c r="G75" s="29"/>
      <c r="H75" s="27"/>
      <c r="I75" s="27"/>
      <c r="J75" s="27"/>
    </row>
    <row r="76" customFormat="false" ht="15" hidden="false" customHeight="false" outlineLevel="0" collapsed="false">
      <c r="D76" s="48"/>
      <c r="E76" s="29"/>
      <c r="F76" s="48"/>
      <c r="G76" s="29"/>
      <c r="H76" s="27"/>
      <c r="I76" s="27"/>
      <c r="J76" s="27"/>
    </row>
    <row r="77" customFormat="false" ht="15" hidden="false" customHeight="false" outlineLevel="0" collapsed="false">
      <c r="D77" s="48"/>
      <c r="E77" s="29"/>
      <c r="F77" s="48"/>
      <c r="G77" s="29"/>
      <c r="H77" s="27"/>
      <c r="I77" s="27"/>
      <c r="J77" s="27"/>
    </row>
    <row r="78" customFormat="false" ht="15" hidden="false" customHeight="false" outlineLevel="0" collapsed="false">
      <c r="D78" s="48"/>
      <c r="E78" s="29"/>
      <c r="F78" s="48"/>
      <c r="G78" s="29"/>
      <c r="H78" s="27"/>
      <c r="I78" s="27"/>
      <c r="J78" s="27"/>
    </row>
    <row r="79" customFormat="false" ht="15" hidden="false" customHeight="false" outlineLevel="0" collapsed="false">
      <c r="D79" s="48"/>
      <c r="E79" s="29"/>
      <c r="F79" s="48"/>
      <c r="G79" s="29"/>
      <c r="H79" s="27"/>
      <c r="I79" s="27"/>
      <c r="J79" s="27"/>
    </row>
    <row r="80" customFormat="false" ht="15" hidden="false" customHeight="false" outlineLevel="0" collapsed="false">
      <c r="D80" s="48"/>
      <c r="E80" s="29"/>
      <c r="F80" s="48"/>
      <c r="G80" s="29"/>
      <c r="H80" s="27"/>
      <c r="I80" s="27"/>
      <c r="J80" s="27"/>
    </row>
    <row r="81" customFormat="false" ht="15" hidden="false" customHeight="false" outlineLevel="0" collapsed="false">
      <c r="D81" s="48"/>
      <c r="E81" s="29"/>
      <c r="F81" s="48"/>
      <c r="G81" s="29"/>
      <c r="H81" s="27"/>
      <c r="I81" s="27"/>
      <c r="J81" s="27"/>
    </row>
    <row r="82" customFormat="false" ht="12.8" hidden="false" customHeight="false" outlineLevel="0" collapsed="false">
      <c r="D82" s="49"/>
      <c r="E82" s="49"/>
      <c r="F82" s="49"/>
      <c r="G82" s="49"/>
    </row>
    <row r="83" customFormat="false" ht="12.8" hidden="false" customHeight="false" outlineLevel="0" collapsed="false">
      <c r="D83" s="49"/>
      <c r="E83" s="49"/>
      <c r="F83" s="49"/>
      <c r="G83" s="49"/>
    </row>
    <row r="84" customFormat="false" ht="12.8" hidden="false" customHeight="false" outlineLevel="0" collapsed="false">
      <c r="D84" s="49"/>
      <c r="E84" s="49"/>
      <c r="F84" s="49"/>
      <c r="G84" s="49"/>
    </row>
    <row r="85" customFormat="false" ht="12.8" hidden="false" customHeight="false" outlineLevel="0" collapsed="false">
      <c r="D85" s="49"/>
      <c r="E85" s="49"/>
      <c r="F85" s="49"/>
      <c r="G85" s="49"/>
    </row>
    <row r="86" customFormat="false" ht="12.8" hidden="false" customHeight="false" outlineLevel="0" collapsed="false">
      <c r="D86" s="49"/>
      <c r="E86" s="49"/>
      <c r="F86" s="49"/>
      <c r="G86" s="49"/>
    </row>
    <row r="87" customFormat="false" ht="12.8" hidden="false" customHeight="false" outlineLevel="0" collapsed="false">
      <c r="D87" s="49"/>
      <c r="E87" s="49"/>
      <c r="F87" s="49"/>
      <c r="G87" s="49"/>
    </row>
    <row r="88" customFormat="false" ht="12.8" hidden="false" customHeight="false" outlineLevel="0" collapsed="false">
      <c r="D88" s="49"/>
      <c r="E88" s="49"/>
      <c r="F88" s="49"/>
      <c r="G88" s="49"/>
    </row>
    <row r="89" customFormat="false" ht="12.8" hidden="false" customHeight="false" outlineLevel="0" collapsed="false">
      <c r="D89" s="49"/>
      <c r="E89" s="49"/>
      <c r="F89" s="49"/>
      <c r="G89" s="49"/>
    </row>
    <row r="90" customFormat="false" ht="12.8" hidden="false" customHeight="false" outlineLevel="0" collapsed="false">
      <c r="D90" s="49"/>
      <c r="E90" s="49"/>
      <c r="F90" s="49"/>
      <c r="G90" s="49"/>
    </row>
    <row r="91" customFormat="false" ht="12.8" hidden="false" customHeight="false" outlineLevel="0" collapsed="false">
      <c r="D91" s="49"/>
      <c r="E91" s="49"/>
      <c r="F91" s="49"/>
      <c r="G91" s="49"/>
    </row>
    <row r="92" customFormat="false" ht="12.8" hidden="false" customHeight="false" outlineLevel="0" collapsed="false">
      <c r="D92" s="49"/>
      <c r="E92" s="49"/>
      <c r="F92" s="49"/>
      <c r="G92" s="49"/>
    </row>
    <row r="93" customFormat="false" ht="12.8" hidden="false" customHeight="false" outlineLevel="0" collapsed="false">
      <c r="D93" s="49"/>
      <c r="E93" s="49"/>
      <c r="F93" s="49"/>
      <c r="G93" s="49"/>
    </row>
    <row r="94" customFormat="false" ht="12.8" hidden="false" customHeight="false" outlineLevel="0" collapsed="false">
      <c r="D94" s="49"/>
      <c r="E94" s="49"/>
      <c r="F94" s="49"/>
      <c r="G94" s="49"/>
    </row>
    <row r="95" customFormat="false" ht="12.8" hidden="false" customHeight="false" outlineLevel="0" collapsed="false">
      <c r="D95" s="49"/>
      <c r="E95" s="49"/>
      <c r="F95" s="49"/>
      <c r="G95" s="4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2023-10-16T21:38:22Z</dcterms:created>
  <dc:creator>Palina</dc:creator>
  <dc:description/>
  <dc:language>en-US</dc:language>
  <cp:lastModifiedBy/>
  <dcterms:modified xsi:type="dcterms:W3CDTF">2023-11-01T13:38:26Z</dcterms:modified>
  <cp:revision>110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