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3PGQslu/Agroforestry_example/csv/Poplar_data/"/>
    </mc:Choice>
  </mc:AlternateContent>
  <bookViews>
    <workbookView xWindow="0" yWindow="0" windowWidth="51600" windowHeight="18990" activeTab="3"/>
  </bookViews>
  <sheets>
    <sheet name="SoilWoodyCrop_BD" sheetId="27" r:id="rId1"/>
    <sheet name="SoilAgric2000_BD" sheetId="28" r:id="rId2"/>
    <sheet name="Summary2020" sheetId="17" r:id="rId3"/>
    <sheet name="Korrigering" sheetId="29" r:id="rId4"/>
    <sheet name="Clay content" sheetId="30" r:id="rId5"/>
    <sheet name="Deep_Bulk_density" sheetId="24" r:id="rId6"/>
    <sheet name="SoilAgriCrop" sheetId="2" r:id="rId7"/>
    <sheet name="SoilPoplar2000" sheetId="1" r:id="rId8"/>
    <sheet name="newSummary2000" sheetId="26" r:id="rId9"/>
    <sheet name="newSummary2020" sheetId="25" r:id="rId10"/>
    <sheet name="PoplarPlots(2000)" sheetId="3" r:id="rId11"/>
    <sheet name="S-01-03 (2020)" sheetId="4" r:id="rId12"/>
    <sheet name="S-04-06 (2020)" sheetId="21" r:id="rId13"/>
    <sheet name="S-07 (2020)" sheetId="22" r:id="rId14"/>
    <sheet name="S-08-12 (2020)" sheetId="19" r:id="rId15"/>
    <sheet name="S-13-14(2020)" sheetId="18" r:id="rId16"/>
    <sheet name="S-15-W(2020)" sheetId="10" r:id="rId17"/>
    <sheet name="S-16-W(2020)" sheetId="11" r:id="rId18"/>
    <sheet name="S-17-W(2020)" sheetId="6" r:id="rId19"/>
    <sheet name="S-18-W(2020)" sheetId="7" r:id="rId20"/>
    <sheet name="S-19-W(2020)" sheetId="8" r:id="rId21"/>
    <sheet name="S-20-W(2020)" sheetId="9" r:id="rId22"/>
    <sheet name="Bodarna(Björk)" sheetId="23" r:id="rId23"/>
    <sheet name="Malmön(Björk2A)" sheetId="12" r:id="rId24"/>
    <sheet name="Malmön(Björk2B)" sheetId="13" r:id="rId25"/>
    <sheet name="Malmön(SalixFragilis6A)" sheetId="14" r:id="rId26"/>
    <sheet name="Malmön(SalixFragilis6B)" sheetId="15" r:id="rId27"/>
    <sheet name="Malmön(S.fragilis+GrAl&amp;A3)" sheetId="16" r:id="rId28"/>
    <sheet name="Dg" sheetId="5" r:id="rId29"/>
  </sheets>
  <definedNames>
    <definedName name="_xlnm._FilterDatabase" localSheetId="4" hidden="1">'Clay content'!$A$1:$Q$104</definedName>
    <definedName name="_xlnm._FilterDatabase" localSheetId="3" hidden="1">Korrigering!$M$1:$M$93</definedName>
    <definedName name="_xlnm._FilterDatabase" localSheetId="2" hidden="1">Summary2020!$G$1:$G$167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6" i="29" l="1"/>
  <c r="Q155" i="29"/>
  <c r="Q154" i="29"/>
  <c r="Q153" i="29"/>
  <c r="H160" i="29"/>
  <c r="H159" i="29"/>
  <c r="H158" i="29"/>
  <c r="G160" i="29"/>
  <c r="G157" i="29"/>
  <c r="G159" i="29"/>
  <c r="G158" i="29"/>
  <c r="P145" i="29"/>
  <c r="P146" i="29"/>
  <c r="P147" i="29"/>
  <c r="P148" i="29"/>
  <c r="P149" i="29"/>
  <c r="P134" i="29"/>
  <c r="P135" i="29"/>
  <c r="P136" i="29"/>
  <c r="P137" i="29"/>
  <c r="P138" i="29"/>
  <c r="P123" i="29"/>
  <c r="P124" i="29"/>
  <c r="P125" i="29"/>
  <c r="P126" i="29"/>
  <c r="P127" i="29"/>
  <c r="P114" i="29"/>
  <c r="P155" i="29" s="1"/>
  <c r="P115" i="29"/>
  <c r="P116" i="29"/>
  <c r="P117" i="29"/>
  <c r="P156" i="29" s="1"/>
  <c r="P113" i="29"/>
  <c r="P153" i="29" l="1"/>
  <c r="P154" i="29"/>
  <c r="P152" i="29"/>
  <c r="G154" i="29"/>
  <c r="G153" i="29"/>
  <c r="G146" i="29"/>
  <c r="G147" i="29"/>
  <c r="G148" i="29"/>
  <c r="G149" i="29"/>
  <c r="G150" i="29"/>
  <c r="G151" i="29"/>
  <c r="G152" i="29"/>
  <c r="G143" i="29" l="1"/>
  <c r="G142" i="29"/>
  <c r="G141" i="29"/>
  <c r="G140" i="29"/>
  <c r="G134" i="29"/>
  <c r="G133" i="29"/>
  <c r="G132" i="29"/>
  <c r="G131" i="29"/>
  <c r="G125" i="29"/>
  <c r="G124" i="29"/>
  <c r="G123" i="29"/>
  <c r="G122" i="29"/>
  <c r="G114" i="29"/>
  <c r="G115" i="29"/>
  <c r="G116" i="29"/>
  <c r="G113" i="29"/>
  <c r="Q120" i="30" l="1"/>
  <c r="P120" i="30"/>
  <c r="Q119" i="30"/>
  <c r="P119" i="30"/>
  <c r="AS26" i="28"/>
  <c r="AR28" i="28"/>
  <c r="AR26" i="28"/>
  <c r="Q102" i="30"/>
  <c r="P102" i="30"/>
  <c r="Q99" i="30"/>
  <c r="Q117" i="30" s="1"/>
  <c r="P99" i="30"/>
  <c r="P117" i="30" s="1"/>
  <c r="Q96" i="30"/>
  <c r="P96" i="30"/>
  <c r="Q93" i="30"/>
  <c r="Q118" i="30" s="1"/>
  <c r="P93" i="30"/>
  <c r="P118" i="30" s="1"/>
  <c r="Q90" i="30"/>
  <c r="P90" i="30"/>
  <c r="Q87" i="30"/>
  <c r="P87" i="30"/>
  <c r="Q84" i="30"/>
  <c r="P84" i="30"/>
  <c r="Q81" i="30"/>
  <c r="Q109" i="30" s="1"/>
  <c r="P81" i="30"/>
  <c r="P109" i="30" s="1"/>
  <c r="Q78" i="30"/>
  <c r="P78" i="30"/>
  <c r="Q75" i="30"/>
  <c r="P75" i="30"/>
  <c r="P73" i="30"/>
  <c r="Q70" i="30"/>
  <c r="P70" i="30"/>
  <c r="Q67" i="30"/>
  <c r="P67" i="30"/>
  <c r="Q64" i="30"/>
  <c r="P64" i="30"/>
  <c r="Q61" i="30"/>
  <c r="P61" i="30"/>
  <c r="Q113" i="30" l="1"/>
  <c r="P113" i="30"/>
  <c r="Q108" i="30"/>
  <c r="P108" i="30"/>
  <c r="AQ26" i="27" l="1"/>
  <c r="AP28" i="27"/>
  <c r="AP26" i="27"/>
  <c r="Q58" i="30"/>
  <c r="P58" i="30"/>
  <c r="Q55" i="30"/>
  <c r="P55" i="30"/>
  <c r="Q52" i="30"/>
  <c r="P52" i="30"/>
  <c r="Q49" i="30"/>
  <c r="P49" i="30"/>
  <c r="Q46" i="30"/>
  <c r="P46" i="30"/>
  <c r="Q43" i="30"/>
  <c r="P43" i="30"/>
  <c r="Q40" i="30"/>
  <c r="P40" i="30"/>
  <c r="Q37" i="30"/>
  <c r="P37" i="30"/>
  <c r="Q34" i="30"/>
  <c r="P34" i="30"/>
  <c r="Q31" i="30"/>
  <c r="P31" i="30"/>
  <c r="Q28" i="30"/>
  <c r="P28" i="30"/>
  <c r="Q25" i="30"/>
  <c r="P25" i="30"/>
  <c r="Q22" i="30"/>
  <c r="P22" i="30"/>
  <c r="Q19" i="30"/>
  <c r="Q106" i="30" s="1"/>
  <c r="P19" i="30"/>
  <c r="P106" i="30" s="1"/>
  <c r="Q16" i="30"/>
  <c r="P16" i="30"/>
  <c r="P14" i="30"/>
  <c r="Q11" i="30"/>
  <c r="P11" i="30"/>
  <c r="Q8" i="30"/>
  <c r="P8" i="30"/>
  <c r="Q5" i="30"/>
  <c r="P5" i="30"/>
  <c r="Q2" i="30"/>
  <c r="P2" i="30"/>
  <c r="Q115" i="30" l="1"/>
  <c r="Q116" i="30"/>
  <c r="P115" i="30"/>
  <c r="P116" i="30"/>
  <c r="Q114" i="30"/>
  <c r="P112" i="30"/>
  <c r="P111" i="30"/>
  <c r="P114" i="30"/>
  <c r="Q112" i="30"/>
  <c r="Q111" i="30"/>
  <c r="P110" i="30"/>
  <c r="Q110" i="30"/>
  <c r="P107" i="30"/>
  <c r="Q107" i="30"/>
  <c r="I105" i="29"/>
  <c r="J107" i="29" s="1"/>
  <c r="G102" i="29"/>
  <c r="R90" i="29"/>
  <c r="Q90" i="29"/>
  <c r="S90" i="29" s="1"/>
  <c r="R86" i="29"/>
  <c r="Q86" i="29"/>
  <c r="R82" i="29"/>
  <c r="Q82" i="29"/>
  <c r="S82" i="29" s="1"/>
  <c r="R78" i="29"/>
  <c r="Q78" i="29"/>
  <c r="R74" i="29"/>
  <c r="Q74" i="29"/>
  <c r="S71" i="29"/>
  <c r="S67" i="29"/>
  <c r="S63" i="29"/>
  <c r="R63" i="29"/>
  <c r="S74" i="29" l="1"/>
  <c r="S78" i="29"/>
  <c r="S86" i="29"/>
  <c r="AN3" i="28"/>
  <c r="AN4" i="28"/>
  <c r="AN5" i="28"/>
  <c r="AN6" i="28"/>
  <c r="AN7" i="28"/>
  <c r="AN8" i="28"/>
  <c r="AN9" i="28"/>
  <c r="AN10" i="28"/>
  <c r="AN11" i="28"/>
  <c r="AN12" i="28"/>
  <c r="AN13" i="28"/>
  <c r="AN14" i="28"/>
  <c r="AN15" i="28"/>
  <c r="AN16" i="28"/>
  <c r="AN17" i="28"/>
  <c r="AN18" i="28"/>
  <c r="AN19" i="28"/>
  <c r="AN20" i="28"/>
  <c r="AN21" i="28"/>
  <c r="AN22" i="28"/>
  <c r="AN23" i="28"/>
  <c r="AN24" i="28"/>
  <c r="AN25" i="28"/>
  <c r="AN26" i="28"/>
  <c r="AN27" i="28"/>
  <c r="AN28" i="28"/>
  <c r="AN29" i="28"/>
  <c r="AN30" i="28"/>
  <c r="AN31" i="28"/>
  <c r="AN32" i="28"/>
  <c r="AN33" i="28"/>
  <c r="AN34" i="28"/>
  <c r="AN35" i="28"/>
  <c r="AN36" i="28"/>
  <c r="AN37" i="28"/>
  <c r="AN38" i="28"/>
  <c r="AN39" i="28"/>
  <c r="AN40" i="28"/>
  <c r="AN41" i="28"/>
  <c r="AN42" i="28"/>
  <c r="AN43" i="28"/>
  <c r="AN44" i="28"/>
  <c r="AN45" i="28"/>
  <c r="AN46" i="28"/>
  <c r="AN47" i="28"/>
  <c r="AN48" i="28"/>
  <c r="AN49" i="28"/>
  <c r="AN50" i="28"/>
  <c r="AN51" i="28"/>
  <c r="AN52" i="28"/>
  <c r="AN53" i="28"/>
  <c r="AN54" i="28"/>
  <c r="AN55" i="28"/>
  <c r="AN56" i="28"/>
  <c r="AN57" i="28"/>
  <c r="AN2" i="28"/>
  <c r="AM2" i="28"/>
  <c r="AM3" i="28"/>
  <c r="AM4" i="28"/>
  <c r="AM5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M29" i="28"/>
  <c r="AM30" i="28"/>
  <c r="AM31" i="28"/>
  <c r="AM32" i="28"/>
  <c r="AM33" i="28"/>
  <c r="AM34" i="28"/>
  <c r="AM35" i="28"/>
  <c r="AM36" i="28"/>
  <c r="AM37" i="28"/>
  <c r="AM38" i="28"/>
  <c r="AM39" i="28"/>
  <c r="AM40" i="28"/>
  <c r="AM41" i="28"/>
  <c r="AM42" i="28"/>
  <c r="AM43" i="28"/>
  <c r="AM44" i="28"/>
  <c r="AM45" i="28"/>
  <c r="AM46" i="28"/>
  <c r="AM47" i="28"/>
  <c r="AM48" i="28"/>
  <c r="AM49" i="28"/>
  <c r="AM50" i="28"/>
  <c r="AM51" i="28"/>
  <c r="AM52" i="28"/>
  <c r="AM53" i="28"/>
  <c r="AM54" i="28"/>
  <c r="AM55" i="28"/>
  <c r="AM56" i="28"/>
  <c r="AM57" i="28"/>
  <c r="J5" i="28"/>
  <c r="J4" i="28"/>
  <c r="J3" i="28"/>
  <c r="C74" i="22" l="1"/>
  <c r="B74" i="22"/>
  <c r="I93" i="17"/>
  <c r="I89" i="17"/>
  <c r="I70" i="17"/>
  <c r="I85" i="17"/>
  <c r="BM50" i="21"/>
  <c r="I81" i="17"/>
  <c r="I77" i="17"/>
  <c r="I73" i="17"/>
  <c r="I69" i="17"/>
  <c r="I66" i="17"/>
  <c r="CF31" i="21"/>
  <c r="BY31" i="21"/>
  <c r="BL50" i="21"/>
  <c r="AY47" i="21"/>
  <c r="AL47" i="21"/>
  <c r="Z47" i="21"/>
  <c r="N48" i="21"/>
  <c r="B50" i="21"/>
  <c r="BD25" i="19"/>
  <c r="BD26" i="19"/>
  <c r="BD27" i="19"/>
  <c r="BD28" i="19"/>
  <c r="BD29" i="19"/>
  <c r="BD30" i="19"/>
  <c r="BD31" i="19"/>
  <c r="BD32" i="19"/>
  <c r="BD24" i="19"/>
  <c r="R29" i="19"/>
  <c r="E32" i="19"/>
  <c r="E31" i="19"/>
  <c r="E48" i="22"/>
  <c r="E49" i="22"/>
  <c r="E50" i="22"/>
  <c r="E51" i="22"/>
  <c r="E52" i="22"/>
  <c r="E53" i="22"/>
  <c r="E54" i="22"/>
  <c r="E55" i="22"/>
  <c r="E56" i="22"/>
  <c r="E47" i="22"/>
  <c r="CI6" i="21"/>
  <c r="CI7" i="21"/>
  <c r="CI8" i="21"/>
  <c r="CI9" i="21"/>
  <c r="CI10" i="21"/>
  <c r="CI11" i="21"/>
  <c r="CI12" i="21"/>
  <c r="CI13" i="21"/>
  <c r="CI14" i="21"/>
  <c r="CI5" i="21"/>
  <c r="CB6" i="21"/>
  <c r="CB7" i="21"/>
  <c r="CB8" i="21"/>
  <c r="CB9" i="21"/>
  <c r="CB10" i="21"/>
  <c r="CB11" i="21"/>
  <c r="CB12" i="21"/>
  <c r="CB13" i="21"/>
  <c r="CB14" i="21"/>
  <c r="CB5" i="21"/>
  <c r="BO25" i="21"/>
  <c r="BO26" i="21"/>
  <c r="BO27" i="21"/>
  <c r="BO28" i="21"/>
  <c r="BO29" i="21"/>
  <c r="BO30" i="21"/>
  <c r="BO31" i="21"/>
  <c r="BO32" i="21"/>
  <c r="BO33" i="21"/>
  <c r="BO24" i="21"/>
  <c r="BB22" i="21"/>
  <c r="BB23" i="21"/>
  <c r="BB24" i="21"/>
  <c r="BB25" i="21"/>
  <c r="BB26" i="21"/>
  <c r="BB27" i="21"/>
  <c r="BB28" i="21"/>
  <c r="BB29" i="21"/>
  <c r="BB30" i="21"/>
  <c r="BB21" i="21"/>
  <c r="AO22" i="21"/>
  <c r="AO23" i="21"/>
  <c r="AO24" i="21"/>
  <c r="AO25" i="21"/>
  <c r="AO26" i="21"/>
  <c r="AO27" i="21"/>
  <c r="AO28" i="21"/>
  <c r="AO29" i="21"/>
  <c r="AO30" i="21"/>
  <c r="AO21" i="21"/>
  <c r="AC22" i="21"/>
  <c r="AC23" i="21"/>
  <c r="AC24" i="21"/>
  <c r="AC25" i="21"/>
  <c r="AC26" i="21"/>
  <c r="AC27" i="21"/>
  <c r="AC28" i="21"/>
  <c r="AC29" i="21"/>
  <c r="AC30" i="21"/>
  <c r="AC21" i="21"/>
  <c r="R23" i="21"/>
  <c r="R24" i="21"/>
  <c r="R25" i="21"/>
  <c r="R26" i="21"/>
  <c r="R27" i="21"/>
  <c r="R28" i="21"/>
  <c r="R29" i="21"/>
  <c r="R30" i="21"/>
  <c r="R31" i="21"/>
  <c r="R22" i="21"/>
  <c r="E23" i="21"/>
  <c r="E24" i="21"/>
  <c r="E25" i="21"/>
  <c r="E26" i="21"/>
  <c r="E27" i="21"/>
  <c r="E28" i="21"/>
  <c r="E29" i="21"/>
  <c r="E30" i="21"/>
  <c r="E31" i="21"/>
  <c r="E22" i="21"/>
  <c r="AV4" i="4"/>
  <c r="AP11" i="4"/>
  <c r="AC32" i="4"/>
  <c r="AC33" i="4"/>
  <c r="AC34" i="4"/>
  <c r="AC35" i="4"/>
  <c r="AC36" i="4"/>
  <c r="AC37" i="4"/>
  <c r="AC38" i="4"/>
  <c r="AC39" i="4"/>
  <c r="AD39" i="4" s="1"/>
  <c r="AC40" i="4"/>
  <c r="AC31" i="4"/>
  <c r="AD32" i="4"/>
  <c r="AD33" i="4"/>
  <c r="AD34" i="4"/>
  <c r="AD36" i="4"/>
  <c r="AD37" i="4"/>
  <c r="R38" i="4"/>
  <c r="R30" i="4"/>
  <c r="R31" i="4"/>
  <c r="R32" i="4"/>
  <c r="R33" i="4"/>
  <c r="R34" i="4"/>
  <c r="R35" i="4"/>
  <c r="R36" i="4"/>
  <c r="R37" i="4"/>
  <c r="R29" i="4"/>
  <c r="E23" i="4"/>
  <c r="E24" i="4"/>
  <c r="E25" i="4"/>
  <c r="E26" i="4"/>
  <c r="E27" i="4"/>
  <c r="E28" i="4"/>
  <c r="E29" i="4"/>
  <c r="E30" i="4"/>
  <c r="E31" i="4"/>
  <c r="E22" i="4"/>
  <c r="AN6" i="17" l="1"/>
  <c r="I96" i="17" l="1"/>
  <c r="I95" i="17"/>
  <c r="V96" i="17"/>
  <c r="V120" i="17"/>
  <c r="V124" i="17"/>
  <c r="V128" i="17"/>
  <c r="V132" i="17"/>
  <c r="V136" i="17"/>
  <c r="V140" i="17"/>
  <c r="V160" i="17"/>
  <c r="V164" i="17"/>
  <c r="AO36" i="17"/>
  <c r="AO40" i="17"/>
  <c r="AO44" i="17"/>
  <c r="AO48" i="17"/>
  <c r="AO95" i="17"/>
  <c r="AO99" i="17"/>
  <c r="AO103" i="17"/>
  <c r="AO107" i="17"/>
  <c r="AO111" i="17"/>
  <c r="AO115" i="17"/>
  <c r="AO119" i="17"/>
  <c r="AO123" i="17"/>
  <c r="AO127" i="17"/>
  <c r="AO131" i="17"/>
  <c r="AO135" i="17"/>
  <c r="AO139" i="17"/>
  <c r="AO143" i="17"/>
  <c r="AO147" i="17"/>
  <c r="AO151" i="17"/>
  <c r="AO155" i="17"/>
  <c r="AO159" i="17"/>
  <c r="AO163" i="17"/>
  <c r="AO6" i="17"/>
  <c r="AO4" i="17"/>
  <c r="AG20" i="28"/>
  <c r="AG16" i="28"/>
  <c r="AG21" i="28"/>
  <c r="AG56" i="28"/>
  <c r="AG52" i="28"/>
  <c r="AG48" i="28"/>
  <c r="AG44" i="28"/>
  <c r="AG40" i="28"/>
  <c r="AG36" i="28"/>
  <c r="AG32" i="28"/>
  <c r="AG24" i="28"/>
  <c r="AG28" i="28"/>
  <c r="AG12" i="28"/>
  <c r="AG8" i="28"/>
  <c r="AG4" i="28"/>
  <c r="AJ12" i="27"/>
  <c r="AK12" i="27"/>
  <c r="AL12" i="27" s="1"/>
  <c r="AF20" i="27"/>
  <c r="AL20" i="27" s="1"/>
  <c r="AF21" i="27"/>
  <c r="AL21" i="27"/>
  <c r="AF80" i="27"/>
  <c r="AL80" i="27" s="1"/>
  <c r="AF76" i="27"/>
  <c r="AL76" i="27" s="1"/>
  <c r="AF72" i="27"/>
  <c r="AF68" i="27"/>
  <c r="AF64" i="27"/>
  <c r="AL64" i="27" s="1"/>
  <c r="AF60" i="27"/>
  <c r="AL60" i="27" s="1"/>
  <c r="AF56" i="27"/>
  <c r="AF52" i="27"/>
  <c r="AF48" i="27"/>
  <c r="AL48" i="27" s="1"/>
  <c r="AF44" i="27"/>
  <c r="AL44" i="27" s="1"/>
  <c r="AF40" i="27"/>
  <c r="AF36" i="27"/>
  <c r="AL36" i="27" s="1"/>
  <c r="AF32" i="27"/>
  <c r="AL32" i="27" s="1"/>
  <c r="AF28" i="27"/>
  <c r="AL28" i="27" s="1"/>
  <c r="AF24" i="27"/>
  <c r="AL24" i="27" s="1"/>
  <c r="AF16" i="27"/>
  <c r="AL16" i="27" s="1"/>
  <c r="AF12" i="27"/>
  <c r="AF8" i="27"/>
  <c r="AF4" i="27"/>
  <c r="AL4" i="27" s="1"/>
  <c r="AL8" i="27"/>
  <c r="AL3" i="27"/>
  <c r="AL5" i="27"/>
  <c r="AL6" i="27"/>
  <c r="AL7" i="27"/>
  <c r="AL9" i="27"/>
  <c r="AL10" i="27"/>
  <c r="AL11" i="27"/>
  <c r="AL13" i="27"/>
  <c r="AL14" i="27"/>
  <c r="AL15" i="27"/>
  <c r="AL17" i="27"/>
  <c r="AL18" i="27"/>
  <c r="AL19" i="27"/>
  <c r="AL22" i="27"/>
  <c r="AL23" i="27"/>
  <c r="AL25" i="27"/>
  <c r="AL26" i="27"/>
  <c r="AL27" i="27"/>
  <c r="AL29" i="27"/>
  <c r="AL30" i="27"/>
  <c r="AL31" i="27"/>
  <c r="AL33" i="27"/>
  <c r="AL34" i="27"/>
  <c r="AL35" i="27"/>
  <c r="AL37" i="27"/>
  <c r="AL38" i="27"/>
  <c r="AL39" i="27"/>
  <c r="AL40" i="27"/>
  <c r="AL41" i="27"/>
  <c r="AL42" i="27"/>
  <c r="AL43" i="27"/>
  <c r="AL45" i="27"/>
  <c r="AL46" i="27"/>
  <c r="AL47" i="27"/>
  <c r="AL49" i="27"/>
  <c r="AL50" i="27"/>
  <c r="AL51" i="27"/>
  <c r="AL52" i="27"/>
  <c r="AL53" i="27"/>
  <c r="AL54" i="27"/>
  <c r="AL55" i="27"/>
  <c r="AL56" i="27"/>
  <c r="AL57" i="27"/>
  <c r="AL58" i="27"/>
  <c r="AL59" i="27"/>
  <c r="AL61" i="27"/>
  <c r="AL62" i="27"/>
  <c r="AL63" i="27"/>
  <c r="AL65" i="27"/>
  <c r="AL66" i="27"/>
  <c r="AL67" i="27"/>
  <c r="AL68" i="27"/>
  <c r="AL69" i="27"/>
  <c r="AL70" i="27"/>
  <c r="AL71" i="27"/>
  <c r="AL72" i="27"/>
  <c r="AL73" i="27"/>
  <c r="AL74" i="27"/>
  <c r="AL75" i="27"/>
  <c r="AL77" i="27"/>
  <c r="AL78" i="27"/>
  <c r="AL79" i="27"/>
  <c r="AL81" i="27"/>
  <c r="AL2" i="27"/>
  <c r="I165" i="17"/>
  <c r="I164" i="17"/>
  <c r="I163" i="17"/>
  <c r="I161" i="17"/>
  <c r="I160" i="17"/>
  <c r="I159" i="17"/>
  <c r="I157" i="17"/>
  <c r="I156" i="17"/>
  <c r="I155" i="17"/>
  <c r="I153" i="17"/>
  <c r="I152" i="17"/>
  <c r="I151" i="17"/>
  <c r="I149" i="17"/>
  <c r="I148" i="17"/>
  <c r="I147" i="17"/>
  <c r="I145" i="17"/>
  <c r="I144" i="17"/>
  <c r="I143" i="17"/>
  <c r="I141" i="17"/>
  <c r="I140" i="17"/>
  <c r="I139" i="17"/>
  <c r="I137" i="17"/>
  <c r="I136" i="17"/>
  <c r="I135" i="17"/>
  <c r="I133" i="17"/>
  <c r="I132" i="17"/>
  <c r="I131" i="17"/>
  <c r="I129" i="17"/>
  <c r="I128" i="17"/>
  <c r="I127" i="17"/>
  <c r="I125" i="17"/>
  <c r="I124" i="17"/>
  <c r="I123" i="17"/>
  <c r="I121" i="17"/>
  <c r="I120" i="17"/>
  <c r="I119" i="17"/>
  <c r="I117" i="17"/>
  <c r="I116" i="17"/>
  <c r="I115" i="17"/>
  <c r="I113" i="17"/>
  <c r="I112" i="17"/>
  <c r="I111" i="17"/>
  <c r="I109" i="17"/>
  <c r="I108" i="17"/>
  <c r="I107" i="17"/>
  <c r="I105" i="17"/>
  <c r="I104" i="17"/>
  <c r="I103" i="17"/>
  <c r="I101" i="17"/>
  <c r="I100" i="17"/>
  <c r="I99" i="17"/>
  <c r="I97" i="17"/>
  <c r="I92" i="17"/>
  <c r="I91" i="17"/>
  <c r="I88" i="17"/>
  <c r="I87" i="17"/>
  <c r="I84" i="17"/>
  <c r="I83" i="17"/>
  <c r="I80" i="17"/>
  <c r="I79" i="17"/>
  <c r="I76" i="17"/>
  <c r="I75" i="17"/>
  <c r="I72" i="17"/>
  <c r="I68" i="17"/>
  <c r="I65" i="17"/>
  <c r="I64" i="17"/>
  <c r="I62" i="17"/>
  <c r="I61" i="17"/>
  <c r="I60" i="17"/>
  <c r="I58" i="17"/>
  <c r="I57" i="17"/>
  <c r="I56" i="17"/>
  <c r="I54" i="17"/>
  <c r="I53" i="17"/>
  <c r="I52" i="17"/>
  <c r="I50" i="17"/>
  <c r="I49" i="17"/>
  <c r="I48" i="17"/>
  <c r="I46" i="17"/>
  <c r="I45" i="17"/>
  <c r="I44" i="17"/>
  <c r="I42" i="17"/>
  <c r="I41" i="17"/>
  <c r="I40" i="17"/>
  <c r="I38" i="17"/>
  <c r="I37" i="17"/>
  <c r="I36" i="17"/>
  <c r="I34" i="17"/>
  <c r="I33" i="17"/>
  <c r="I32" i="17"/>
  <c r="I30" i="17"/>
  <c r="I29" i="17"/>
  <c r="I28" i="17"/>
  <c r="I26" i="17"/>
  <c r="I25" i="17"/>
  <c r="I24" i="17"/>
  <c r="I22" i="17"/>
  <c r="I21" i="17"/>
  <c r="I20" i="17"/>
  <c r="I18" i="17"/>
  <c r="I17" i="17"/>
  <c r="I16" i="17"/>
  <c r="I13" i="17"/>
  <c r="I12" i="17"/>
  <c r="I8" i="17"/>
  <c r="I6" i="17"/>
  <c r="I5" i="17"/>
  <c r="I4" i="17"/>
  <c r="V57" i="28"/>
  <c r="V56" i="28"/>
  <c r="V55" i="28"/>
  <c r="V53" i="28"/>
  <c r="V52" i="28"/>
  <c r="V51" i="28"/>
  <c r="V49" i="28"/>
  <c r="V48" i="28"/>
  <c r="V47" i="28"/>
  <c r="V45" i="28"/>
  <c r="V44" i="28"/>
  <c r="V43" i="28"/>
  <c r="V41" i="28"/>
  <c r="V40" i="28"/>
  <c r="V39" i="28"/>
  <c r="V37" i="28"/>
  <c r="V36" i="28"/>
  <c r="V35" i="28"/>
  <c r="V33" i="28"/>
  <c r="V32" i="28"/>
  <c r="V31" i="28"/>
  <c r="V29" i="28"/>
  <c r="V28" i="28"/>
  <c r="V27" i="28"/>
  <c r="V25" i="28"/>
  <c r="V24" i="28"/>
  <c r="V23" i="28"/>
  <c r="V21" i="28"/>
  <c r="V20" i="28"/>
  <c r="V19" i="28"/>
  <c r="V17" i="28"/>
  <c r="V16" i="28"/>
  <c r="V15" i="28"/>
  <c r="V13" i="28"/>
  <c r="V12" i="28"/>
  <c r="V11" i="28"/>
  <c r="V9" i="28"/>
  <c r="V8" i="28"/>
  <c r="V7" i="28"/>
  <c r="V5" i="28"/>
  <c r="V4" i="28"/>
  <c r="V3" i="28"/>
  <c r="J81" i="27"/>
  <c r="J80" i="27"/>
  <c r="J79" i="27"/>
  <c r="J77" i="27"/>
  <c r="J76" i="27"/>
  <c r="J75" i="27"/>
  <c r="J73" i="27"/>
  <c r="J72" i="27"/>
  <c r="J71" i="27"/>
  <c r="J69" i="27"/>
  <c r="J68" i="27"/>
  <c r="J67" i="27"/>
  <c r="J65" i="27"/>
  <c r="J64" i="27"/>
  <c r="J63" i="27"/>
  <c r="J61" i="27"/>
  <c r="J60" i="27"/>
  <c r="J59" i="27"/>
  <c r="J57" i="27"/>
  <c r="J56" i="27"/>
  <c r="J55" i="27"/>
  <c r="J53" i="27"/>
  <c r="J52" i="27"/>
  <c r="J51" i="27"/>
  <c r="J49" i="27"/>
  <c r="J48" i="27"/>
  <c r="J47" i="27"/>
  <c r="J45" i="27"/>
  <c r="J44" i="27"/>
  <c r="J43" i="27"/>
  <c r="J41" i="27"/>
  <c r="J40" i="27"/>
  <c r="J39" i="27"/>
  <c r="J37" i="27"/>
  <c r="J36" i="27"/>
  <c r="J35" i="27"/>
  <c r="J33" i="27"/>
  <c r="J32" i="27"/>
  <c r="J31" i="27"/>
  <c r="J29" i="27"/>
  <c r="J28" i="27"/>
  <c r="J27" i="27"/>
  <c r="J25" i="27"/>
  <c r="J24" i="27"/>
  <c r="J23" i="27"/>
  <c r="J21" i="27"/>
  <c r="J20" i="27"/>
  <c r="J19" i="27"/>
  <c r="J17" i="27"/>
  <c r="J16" i="27"/>
  <c r="J15" i="27"/>
  <c r="J13" i="27"/>
  <c r="J12" i="27"/>
  <c r="J11" i="27"/>
  <c r="J9" i="27"/>
  <c r="J8" i="27"/>
  <c r="J7" i="27"/>
  <c r="J5" i="27"/>
  <c r="J4" i="27"/>
  <c r="J3" i="27"/>
  <c r="AK21" i="27" l="1"/>
  <c r="AJ21" i="27"/>
  <c r="AJ20" i="27" s="1"/>
  <c r="AL21" i="28"/>
  <c r="AK21" i="28"/>
  <c r="AK20" i="28"/>
  <c r="AL56" i="28"/>
  <c r="AK56" i="28"/>
  <c r="AL52" i="28"/>
  <c r="AK52" i="28"/>
  <c r="AL48" i="28"/>
  <c r="AK48" i="28"/>
  <c r="AL44" i="28"/>
  <c r="AK44" i="28"/>
  <c r="AL40" i="28"/>
  <c r="AK40" i="28"/>
  <c r="AL36" i="28"/>
  <c r="AK36" i="28"/>
  <c r="AL32" i="28"/>
  <c r="AK32" i="28"/>
  <c r="AL28" i="28"/>
  <c r="AK28" i="28"/>
  <c r="AL24" i="28"/>
  <c r="AK24" i="28"/>
  <c r="AL20" i="28"/>
  <c r="AL16" i="28"/>
  <c r="AK16" i="28"/>
  <c r="AL12" i="28"/>
  <c r="AK12" i="28"/>
  <c r="AL8" i="28"/>
  <c r="AK8" i="28"/>
  <c r="AL4" i="28"/>
  <c r="AK4" i="28"/>
  <c r="AK80" i="27"/>
  <c r="AJ80" i="27"/>
  <c r="AK76" i="27"/>
  <c r="AJ76" i="27"/>
  <c r="AK72" i="27"/>
  <c r="AJ72" i="27"/>
  <c r="AK68" i="27"/>
  <c r="AJ68" i="27"/>
  <c r="AK64" i="27"/>
  <c r="AJ64" i="27"/>
  <c r="AK60" i="27"/>
  <c r="AJ60" i="27"/>
  <c r="AK56" i="27"/>
  <c r="AJ56" i="27"/>
  <c r="AK52" i="27"/>
  <c r="AJ52" i="27"/>
  <c r="AK20" i="27"/>
  <c r="AK48" i="27"/>
  <c r="AJ48" i="27"/>
  <c r="AK44" i="27"/>
  <c r="AJ44" i="27"/>
  <c r="AK40" i="27"/>
  <c r="AJ40" i="27"/>
  <c r="AK36" i="27"/>
  <c r="AJ36" i="27"/>
  <c r="AK32" i="27"/>
  <c r="AJ32" i="27"/>
  <c r="AK28" i="27"/>
  <c r="AJ28" i="27"/>
  <c r="AK24" i="27"/>
  <c r="AJ24" i="27"/>
  <c r="AK16" i="27"/>
  <c r="AJ16" i="27"/>
  <c r="AK8" i="27"/>
  <c r="AJ8" i="27"/>
  <c r="AK4" i="27"/>
  <c r="G20" i="28"/>
  <c r="G21" i="28" s="1"/>
  <c r="F20" i="28"/>
  <c r="F21" i="28" s="1"/>
  <c r="E20" i="28"/>
  <c r="E21" i="28" s="1"/>
  <c r="D20" i="28"/>
  <c r="D21" i="28" s="1"/>
  <c r="C20" i="28"/>
  <c r="C21" i="28" s="1"/>
  <c r="B21" i="28"/>
  <c r="B20" i="28"/>
  <c r="AJ4" i="27"/>
  <c r="F56" i="28" l="1"/>
  <c r="E56" i="28"/>
  <c r="D56" i="28"/>
  <c r="C56" i="28"/>
  <c r="B56" i="28"/>
  <c r="F52" i="28"/>
  <c r="E52" i="28"/>
  <c r="D52" i="28"/>
  <c r="C52" i="28"/>
  <c r="B52" i="28"/>
  <c r="F48" i="28"/>
  <c r="E48" i="28"/>
  <c r="D48" i="28"/>
  <c r="C48" i="28"/>
  <c r="B48" i="28"/>
  <c r="F44" i="28"/>
  <c r="E44" i="28"/>
  <c r="D44" i="28"/>
  <c r="C44" i="28"/>
  <c r="B44" i="28"/>
  <c r="F40" i="28"/>
  <c r="E40" i="28"/>
  <c r="D40" i="28"/>
  <c r="C40" i="28"/>
  <c r="B40" i="28"/>
  <c r="F36" i="28"/>
  <c r="E36" i="28"/>
  <c r="D36" i="28"/>
  <c r="C36" i="28"/>
  <c r="B36" i="28"/>
  <c r="F32" i="28"/>
  <c r="E32" i="28"/>
  <c r="D32" i="28"/>
  <c r="C32" i="28"/>
  <c r="B32" i="28"/>
  <c r="F28" i="28"/>
  <c r="E28" i="28"/>
  <c r="D28" i="28"/>
  <c r="C28" i="28"/>
  <c r="B28" i="28"/>
  <c r="F24" i="28"/>
  <c r="E24" i="28"/>
  <c r="D24" i="28"/>
  <c r="C24" i="28"/>
  <c r="B24" i="28"/>
  <c r="F16" i="28"/>
  <c r="E16" i="28"/>
  <c r="D16" i="28"/>
  <c r="C16" i="28"/>
  <c r="B16" i="28"/>
  <c r="F12" i="28"/>
  <c r="E12" i="28"/>
  <c r="D12" i="28"/>
  <c r="C12" i="28"/>
  <c r="B12" i="28"/>
  <c r="F8" i="28"/>
  <c r="E8" i="28"/>
  <c r="D8" i="28"/>
  <c r="C8" i="28"/>
  <c r="B8" i="28"/>
  <c r="F80" i="27"/>
  <c r="E80" i="27"/>
  <c r="D80" i="27"/>
  <c r="C80" i="27"/>
  <c r="B80" i="27"/>
  <c r="F76" i="27"/>
  <c r="E76" i="27"/>
  <c r="D76" i="27"/>
  <c r="C76" i="27"/>
  <c r="B76" i="27"/>
  <c r="F72" i="27"/>
  <c r="E72" i="27"/>
  <c r="D72" i="27"/>
  <c r="C72" i="27"/>
  <c r="B72" i="27"/>
  <c r="F68" i="27"/>
  <c r="E68" i="27"/>
  <c r="D68" i="27"/>
  <c r="C68" i="27"/>
  <c r="B68" i="27"/>
  <c r="F64" i="27"/>
  <c r="E64" i="27"/>
  <c r="D64" i="27"/>
  <c r="C64" i="27"/>
  <c r="B64" i="27"/>
  <c r="F60" i="27"/>
  <c r="E60" i="27"/>
  <c r="D60" i="27"/>
  <c r="C60" i="27"/>
  <c r="B60" i="27"/>
  <c r="F56" i="27"/>
  <c r="E56" i="27"/>
  <c r="D56" i="27"/>
  <c r="C56" i="27"/>
  <c r="B56" i="27"/>
  <c r="F52" i="27"/>
  <c r="E52" i="27"/>
  <c r="D52" i="27"/>
  <c r="C52" i="27"/>
  <c r="B52" i="27"/>
  <c r="F48" i="27"/>
  <c r="E48" i="27"/>
  <c r="D48" i="27"/>
  <c r="C48" i="27"/>
  <c r="B48" i="27"/>
  <c r="F44" i="27"/>
  <c r="E44" i="27"/>
  <c r="D44" i="27"/>
  <c r="C44" i="27"/>
  <c r="B44" i="27"/>
  <c r="F40" i="27"/>
  <c r="E40" i="27"/>
  <c r="D40" i="27"/>
  <c r="C40" i="27"/>
  <c r="B40" i="27"/>
  <c r="F36" i="27"/>
  <c r="E36" i="27"/>
  <c r="D36" i="27"/>
  <c r="C36" i="27"/>
  <c r="B36" i="27"/>
  <c r="F32" i="27"/>
  <c r="E32" i="27"/>
  <c r="D32" i="27"/>
  <c r="C32" i="27"/>
  <c r="B32" i="27"/>
  <c r="F28" i="27"/>
  <c r="E28" i="27"/>
  <c r="D28" i="27"/>
  <c r="C28" i="27"/>
  <c r="B28" i="27"/>
  <c r="F24" i="27"/>
  <c r="E24" i="27"/>
  <c r="D24" i="27"/>
  <c r="C24" i="27"/>
  <c r="B24" i="27"/>
  <c r="F21" i="27"/>
  <c r="E21" i="27"/>
  <c r="D21" i="27"/>
  <c r="C21" i="27"/>
  <c r="B21" i="27"/>
  <c r="F20" i="27"/>
  <c r="E20" i="27"/>
  <c r="D20" i="27"/>
  <c r="C20" i="27"/>
  <c r="B20" i="27"/>
  <c r="F16" i="27"/>
  <c r="E16" i="27"/>
  <c r="D16" i="27"/>
  <c r="C16" i="27"/>
  <c r="B16" i="27"/>
  <c r="F12" i="27"/>
  <c r="E12" i="27"/>
  <c r="D12" i="27"/>
  <c r="C12" i="27"/>
  <c r="B12" i="27"/>
  <c r="F8" i="27"/>
  <c r="E8" i="27"/>
  <c r="D8" i="27"/>
  <c r="C8" i="27"/>
  <c r="B8" i="27"/>
  <c r="F4" i="27"/>
  <c r="E4" i="27"/>
  <c r="D4" i="27"/>
  <c r="C4" i="27"/>
  <c r="B4" i="27"/>
  <c r="F4" i="28"/>
  <c r="E4" i="28"/>
  <c r="D4" i="28"/>
  <c r="C4" i="28"/>
  <c r="B4" i="28"/>
  <c r="AK18" i="27" l="1"/>
  <c r="AJ18" i="27"/>
  <c r="AK78" i="27"/>
  <c r="AJ78" i="27"/>
  <c r="AK74" i="27"/>
  <c r="AJ74" i="27"/>
  <c r="AK70" i="27"/>
  <c r="AJ70" i="27"/>
  <c r="AK66" i="27"/>
  <c r="AJ66" i="27"/>
  <c r="AK62" i="27"/>
  <c r="AJ62" i="27"/>
  <c r="AK58" i="27"/>
  <c r="AJ58" i="27"/>
  <c r="AK54" i="27"/>
  <c r="AJ54" i="27"/>
  <c r="AK50" i="27"/>
  <c r="AJ50" i="27"/>
  <c r="AK46" i="27"/>
  <c r="AJ46" i="27"/>
  <c r="AK42" i="27"/>
  <c r="AJ42" i="27"/>
  <c r="AK38" i="27"/>
  <c r="AJ38" i="27"/>
  <c r="AJ33" i="27"/>
  <c r="AK33" i="27" s="1"/>
  <c r="AK30" i="27" s="1"/>
  <c r="AJ30" i="27"/>
  <c r="AK34" i="27"/>
  <c r="AJ34" i="27"/>
  <c r="AK26" i="27"/>
  <c r="AJ26" i="27"/>
  <c r="AK22" i="27"/>
  <c r="AJ22" i="27"/>
  <c r="AK14" i="27"/>
  <c r="AJ14" i="27"/>
  <c r="AK10" i="27"/>
  <c r="AJ10" i="27"/>
  <c r="AK6" i="27"/>
  <c r="AJ6" i="27"/>
  <c r="AK2" i="27"/>
  <c r="AJ2" i="27"/>
  <c r="AK9" i="27"/>
  <c r="AJ9" i="27"/>
  <c r="AK81" i="27"/>
  <c r="AK77" i="27"/>
  <c r="AK73" i="27"/>
  <c r="AK69" i="27"/>
  <c r="AK65" i="27"/>
  <c r="AK61" i="27"/>
  <c r="AK57" i="27"/>
  <c r="AK53" i="27"/>
  <c r="AK49" i="27"/>
  <c r="AK45" i="27"/>
  <c r="AK41" i="27"/>
  <c r="AK37" i="27"/>
  <c r="AK29" i="27"/>
  <c r="AK25" i="27"/>
  <c r="AK17" i="27"/>
  <c r="AK13" i="27"/>
  <c r="AK5" i="27"/>
  <c r="AH2" i="26"/>
  <c r="AK57" i="28"/>
  <c r="AL57" i="28" s="1"/>
  <c r="AL54" i="28" s="1"/>
  <c r="AK53" i="28"/>
  <c r="AL53" i="28" s="1"/>
  <c r="AL50" i="28" s="1"/>
  <c r="AK49" i="28"/>
  <c r="AL49" i="28" s="1"/>
  <c r="AL46" i="28" s="1"/>
  <c r="AK45" i="28"/>
  <c r="AN149" i="17" s="1"/>
  <c r="AK41" i="28"/>
  <c r="AK38" i="28" s="1"/>
  <c r="AK37" i="28"/>
  <c r="AK33" i="28"/>
  <c r="AN38" i="17" s="1"/>
  <c r="AK29" i="28"/>
  <c r="AK26" i="28" s="1"/>
  <c r="AK25" i="28"/>
  <c r="AL25" i="28" s="1"/>
  <c r="AL22" i="28" s="1"/>
  <c r="AK17" i="28"/>
  <c r="AN66" i="17" s="1"/>
  <c r="AO66" i="17" s="1"/>
  <c r="AK13" i="28"/>
  <c r="AN18" i="17" s="1"/>
  <c r="AK9" i="28"/>
  <c r="AL9" i="28" s="1"/>
  <c r="AL6" i="28" s="1"/>
  <c r="AK5" i="28"/>
  <c r="AK2" i="28" s="1"/>
  <c r="AJ81" i="27"/>
  <c r="AJ77" i="27"/>
  <c r="AJ73" i="27"/>
  <c r="AJ69" i="27"/>
  <c r="AJ65" i="27"/>
  <c r="AJ61" i="27"/>
  <c r="AJ57" i="27"/>
  <c r="AJ53" i="27"/>
  <c r="AJ49" i="27"/>
  <c r="AJ45" i="27"/>
  <c r="AJ41" i="27"/>
  <c r="AJ37" i="27"/>
  <c r="AJ29" i="27"/>
  <c r="AJ25" i="27"/>
  <c r="AJ17" i="27"/>
  <c r="AJ13" i="27"/>
  <c r="AJ5" i="27"/>
  <c r="AN165" i="17" l="1"/>
  <c r="AO149" i="17"/>
  <c r="AN62" i="17"/>
  <c r="AO62" i="17" s="1"/>
  <c r="AO38" i="17"/>
  <c r="AN34" i="17"/>
  <c r="AO34" i="17" s="1"/>
  <c r="AO18" i="17"/>
  <c r="AL5" i="28"/>
  <c r="AL2" i="28" s="1"/>
  <c r="AN97" i="17"/>
  <c r="AL29" i="28"/>
  <c r="AL26" i="28" s="1"/>
  <c r="AL37" i="28"/>
  <c r="AL34" i="28" s="1"/>
  <c r="AL41" i="28"/>
  <c r="AL38" i="28" s="1"/>
  <c r="AK10" i="28"/>
  <c r="AK46" i="28"/>
  <c r="AK14" i="28"/>
  <c r="AK50" i="28"/>
  <c r="AL33" i="28"/>
  <c r="AL30" i="28" s="1"/>
  <c r="AK22" i="28"/>
  <c r="AK54" i="28"/>
  <c r="AK30" i="28"/>
  <c r="AL13" i="28"/>
  <c r="AL10" i="28" s="1"/>
  <c r="AN10" i="17"/>
  <c r="AK34" i="28"/>
  <c r="AL17" i="28"/>
  <c r="AL14" i="28" s="1"/>
  <c r="AL18" i="28" s="1"/>
  <c r="AK6" i="28"/>
  <c r="AL45" i="28"/>
  <c r="AL42" i="28" s="1"/>
  <c r="AN113" i="17"/>
  <c r="AK42" i="28"/>
  <c r="AN70" i="17"/>
  <c r="AO70" i="17" s="1"/>
  <c r="AN85" i="17"/>
  <c r="AO85" i="17" s="1"/>
  <c r="AN77" i="17"/>
  <c r="AO77" i="17" s="1"/>
  <c r="AN93" i="17"/>
  <c r="AO93" i="17" s="1"/>
  <c r="AN89" i="17"/>
  <c r="AO89" i="17" s="1"/>
  <c r="AN81" i="17"/>
  <c r="AO81" i="17" s="1"/>
  <c r="AN26" i="17"/>
  <c r="AO26" i="17" s="1"/>
  <c r="AN30" i="17"/>
  <c r="AO30" i="17" s="1"/>
  <c r="AN42" i="17"/>
  <c r="AO42" i="17" s="1"/>
  <c r="AN46" i="17"/>
  <c r="AO46" i="17" s="1"/>
  <c r="AN50" i="17"/>
  <c r="AO50" i="17" s="1"/>
  <c r="AN153" i="17"/>
  <c r="AO153" i="17" s="1"/>
  <c r="AN22" i="17"/>
  <c r="AO22" i="17" s="1"/>
  <c r="AN54" i="17"/>
  <c r="AO54" i="17" s="1"/>
  <c r="AN157" i="17"/>
  <c r="AO157" i="17" s="1"/>
  <c r="AN58" i="17"/>
  <c r="AO58" i="17" s="1"/>
  <c r="AN161" i="17"/>
  <c r="AH48" i="26"/>
  <c r="AN160" i="17" l="1"/>
  <c r="AO160" i="17" s="1"/>
  <c r="AO161" i="17"/>
  <c r="AN137" i="17"/>
  <c r="AO113" i="17"/>
  <c r="AN109" i="17"/>
  <c r="AO109" i="17" s="1"/>
  <c r="AO97" i="17"/>
  <c r="AO165" i="17"/>
  <c r="AN164" i="17"/>
  <c r="AO164" i="17" s="1"/>
  <c r="AN101" i="17"/>
  <c r="AO101" i="17" s="1"/>
  <c r="AN105" i="17"/>
  <c r="AO105" i="17" s="1"/>
  <c r="AN133" i="17"/>
  <c r="AN117" i="17"/>
  <c r="AO117" i="17" s="1"/>
  <c r="AN141" i="17"/>
  <c r="AN125" i="17"/>
  <c r="AN145" i="17"/>
  <c r="AO145" i="17" s="1"/>
  <c r="AN129" i="17"/>
  <c r="AK18" i="28"/>
  <c r="AI3" i="26"/>
  <c r="AI6" i="26"/>
  <c r="AI9" i="26"/>
  <c r="AI12" i="26"/>
  <c r="AI15" i="26"/>
  <c r="AI17" i="26"/>
  <c r="AI20" i="26"/>
  <c r="AI23" i="26"/>
  <c r="AI26" i="26"/>
  <c r="AI29" i="26"/>
  <c r="AI32" i="26"/>
  <c r="AI35" i="26"/>
  <c r="AI38" i="26"/>
  <c r="AI41" i="26"/>
  <c r="AI44" i="26"/>
  <c r="AI46" i="26"/>
  <c r="AI49" i="26"/>
  <c r="AI52" i="26"/>
  <c r="AI55" i="26"/>
  <c r="AI58" i="26"/>
  <c r="AI60" i="26"/>
  <c r="AI63" i="26"/>
  <c r="AI66" i="26"/>
  <c r="AI69" i="26"/>
  <c r="AI72" i="26"/>
  <c r="AI75" i="26"/>
  <c r="AI78" i="26"/>
  <c r="AI81" i="26"/>
  <c r="AI84" i="26"/>
  <c r="AI87" i="26"/>
  <c r="AI90" i="26"/>
  <c r="AI93" i="26"/>
  <c r="AI96" i="26"/>
  <c r="AI99" i="26"/>
  <c r="AI102" i="26"/>
  <c r="AI105" i="26"/>
  <c r="AO133" i="17" l="1"/>
  <c r="AN132" i="17"/>
  <c r="AO132" i="17" s="1"/>
  <c r="AO125" i="17"/>
  <c r="AN124" i="17"/>
  <c r="AO124" i="17" s="1"/>
  <c r="AN136" i="17"/>
  <c r="AO136" i="17" s="1"/>
  <c r="AO137" i="17"/>
  <c r="AN140" i="17"/>
  <c r="AO140" i="17" s="1"/>
  <c r="AO141" i="17"/>
  <c r="AN128" i="17"/>
  <c r="AO128" i="17" s="1"/>
  <c r="AO129" i="17"/>
  <c r="AN121" i="17"/>
  <c r="AI94" i="26"/>
  <c r="AI91" i="26"/>
  <c r="AI88" i="26"/>
  <c r="AI85" i="26"/>
  <c r="AI47" i="26"/>
  <c r="AH45" i="26"/>
  <c r="AI45" i="26" s="1"/>
  <c r="AH42" i="26"/>
  <c r="AI42" i="26" s="1"/>
  <c r="AH39" i="26"/>
  <c r="AH36" i="26"/>
  <c r="AH33" i="26"/>
  <c r="AH30" i="26"/>
  <c r="AH27" i="26"/>
  <c r="AH24" i="26"/>
  <c r="AI24" i="26" s="1"/>
  <c r="AH21" i="26"/>
  <c r="AI21" i="26" s="1"/>
  <c r="AH18" i="26"/>
  <c r="AI18" i="26" s="1"/>
  <c r="AH13" i="26"/>
  <c r="AH10" i="26"/>
  <c r="AH7" i="26"/>
  <c r="AH4" i="26"/>
  <c r="AN120" i="17" l="1"/>
  <c r="AO120" i="17" s="1"/>
  <c r="AO121" i="17"/>
  <c r="AH19" i="26"/>
  <c r="AI19" i="26" s="1"/>
  <c r="AH22" i="26"/>
  <c r="AI22" i="26" s="1"/>
  <c r="AH92" i="26"/>
  <c r="AI92" i="26" s="1"/>
  <c r="AH34" i="26"/>
  <c r="AI34" i="26" s="1"/>
  <c r="AI36" i="26"/>
  <c r="AH65" i="26"/>
  <c r="AI65" i="26" s="1"/>
  <c r="AI67" i="26"/>
  <c r="AH104" i="26"/>
  <c r="AI104" i="26" s="1"/>
  <c r="AI106" i="26"/>
  <c r="AH40" i="26"/>
  <c r="AI40" i="26" s="1"/>
  <c r="AH71" i="26"/>
  <c r="AI71" i="26" s="1"/>
  <c r="AI73" i="26"/>
  <c r="AH101" i="26"/>
  <c r="AI101" i="26" s="1"/>
  <c r="AI103" i="26"/>
  <c r="AH43" i="26"/>
  <c r="AI43" i="26" s="1"/>
  <c r="AH8" i="26"/>
  <c r="AI8" i="26" s="1"/>
  <c r="AI10" i="26"/>
  <c r="AH62" i="26"/>
  <c r="AI62" i="26" s="1"/>
  <c r="AI64" i="26"/>
  <c r="AH11" i="26"/>
  <c r="AI11" i="26" s="1"/>
  <c r="AI13" i="26"/>
  <c r="AH25" i="26"/>
  <c r="AI25" i="26" s="1"/>
  <c r="AI27" i="26"/>
  <c r="AH74" i="26"/>
  <c r="AI74" i="26" s="1"/>
  <c r="AI76" i="26"/>
  <c r="AI4" i="26"/>
  <c r="AI2" i="26"/>
  <c r="AH51" i="26"/>
  <c r="AI51" i="26" s="1"/>
  <c r="AI53" i="26"/>
  <c r="AH77" i="26"/>
  <c r="AI77" i="26" s="1"/>
  <c r="AI79" i="26"/>
  <c r="AH95" i="26"/>
  <c r="AI95" i="26" s="1"/>
  <c r="AI97" i="26"/>
  <c r="AH89" i="26"/>
  <c r="AI89" i="26" s="1"/>
  <c r="AH37" i="26"/>
  <c r="AI37" i="26" s="1"/>
  <c r="AI39" i="26"/>
  <c r="AH68" i="26"/>
  <c r="AI68" i="26" s="1"/>
  <c r="AI70" i="26"/>
  <c r="AI48" i="26"/>
  <c r="AI50" i="26"/>
  <c r="AH98" i="26"/>
  <c r="AI98" i="26" s="1"/>
  <c r="AI100" i="26"/>
  <c r="AH28" i="26"/>
  <c r="AI28" i="26" s="1"/>
  <c r="AI30" i="26"/>
  <c r="AH5" i="26"/>
  <c r="AI5" i="26" s="1"/>
  <c r="AI7" i="26"/>
  <c r="AH31" i="26"/>
  <c r="AI31" i="26" s="1"/>
  <c r="AI33" i="26"/>
  <c r="AH54" i="26"/>
  <c r="AI54" i="26" s="1"/>
  <c r="AI56" i="26"/>
  <c r="AH80" i="26"/>
  <c r="AI80" i="26" s="1"/>
  <c r="AI82" i="26"/>
  <c r="AH86" i="26"/>
  <c r="AI86" i="26" s="1"/>
  <c r="AI59" i="26"/>
  <c r="AI61" i="26"/>
  <c r="AH16" i="26"/>
  <c r="AH83" i="26"/>
  <c r="AI83" i="26" s="1"/>
  <c r="AN153" i="25"/>
  <c r="AN150" i="25"/>
  <c r="AN146" i="25"/>
  <c r="AN142" i="25"/>
  <c r="AN138" i="25"/>
  <c r="AN134" i="25"/>
  <c r="AN131" i="25"/>
  <c r="AN128" i="25"/>
  <c r="AN125" i="25"/>
  <c r="AN122" i="25"/>
  <c r="AN119" i="25"/>
  <c r="AN116" i="25"/>
  <c r="AN112" i="25"/>
  <c r="AN108" i="25"/>
  <c r="AN104" i="25"/>
  <c r="AN100" i="25"/>
  <c r="AN96" i="25"/>
  <c r="AN93" i="25"/>
  <c r="AN89" i="25"/>
  <c r="AN85" i="25"/>
  <c r="AN81" i="25"/>
  <c r="AN77" i="25"/>
  <c r="AN73" i="25"/>
  <c r="AN70" i="25"/>
  <c r="AN66" i="25"/>
  <c r="AN62" i="25"/>
  <c r="AN58" i="25"/>
  <c r="AN54" i="25"/>
  <c r="AN50" i="25"/>
  <c r="AN46" i="25"/>
  <c r="AN42" i="25"/>
  <c r="AN38" i="25"/>
  <c r="AN34" i="25"/>
  <c r="AN30" i="25"/>
  <c r="AN26" i="25"/>
  <c r="AN22" i="25"/>
  <c r="AN18" i="25"/>
  <c r="AN14" i="25"/>
  <c r="AN11" i="25"/>
  <c r="AN7" i="25"/>
  <c r="I5" i="25"/>
  <c r="I4" i="25"/>
  <c r="I3" i="25"/>
  <c r="AN3" i="25" s="1"/>
  <c r="AM154" i="25"/>
  <c r="AM152" i="25" s="1"/>
  <c r="AN152" i="25" s="1"/>
  <c r="AM151" i="25"/>
  <c r="AN151" i="25" s="1"/>
  <c r="AM136" i="25"/>
  <c r="AM133" i="25" s="1"/>
  <c r="AN133" i="25" s="1"/>
  <c r="AM120" i="25"/>
  <c r="AN120" i="25" s="1"/>
  <c r="AM102" i="25"/>
  <c r="AM99" i="25" s="1"/>
  <c r="AN99" i="25" s="1"/>
  <c r="AM98" i="25"/>
  <c r="AM97" i="25" s="1"/>
  <c r="AN97" i="25" s="1"/>
  <c r="AM91" i="25"/>
  <c r="AM90" i="25" s="1"/>
  <c r="AN90" i="25" s="1"/>
  <c r="AM64" i="25"/>
  <c r="AM61" i="25" s="1"/>
  <c r="AN61" i="25" s="1"/>
  <c r="AM56" i="25"/>
  <c r="AM53" i="25" s="1"/>
  <c r="AN53" i="25" s="1"/>
  <c r="AM52" i="25"/>
  <c r="AN52" i="25" s="1"/>
  <c r="AM48" i="25"/>
  <c r="AM47" i="25" s="1"/>
  <c r="AN47" i="25" s="1"/>
  <c r="AM40" i="25"/>
  <c r="AM39" i="25" s="1"/>
  <c r="AN39" i="25" s="1"/>
  <c r="AM36" i="25"/>
  <c r="AM35" i="25" s="1"/>
  <c r="AN35" i="25" s="1"/>
  <c r="AM32" i="25"/>
  <c r="AM31" i="25" s="1"/>
  <c r="AN31" i="25" s="1"/>
  <c r="AM24" i="25"/>
  <c r="AM23" i="25" s="1"/>
  <c r="AN23" i="25" s="1"/>
  <c r="AM20" i="25"/>
  <c r="AM17" i="25" s="1"/>
  <c r="AN17" i="25" s="1"/>
  <c r="AM16" i="25"/>
  <c r="AM13" i="25" s="1"/>
  <c r="AN13" i="25" s="1"/>
  <c r="AH14" i="26" l="1"/>
  <c r="AI14" i="26" s="1"/>
  <c r="AI16" i="26"/>
  <c r="AM49" i="25"/>
  <c r="AN49" i="25" s="1"/>
  <c r="AM149" i="25"/>
  <c r="AN149" i="25" s="1"/>
  <c r="AM37" i="25"/>
  <c r="AN37" i="25" s="1"/>
  <c r="AM118" i="25"/>
  <c r="AN118" i="25" s="1"/>
  <c r="AN16" i="25"/>
  <c r="AN40" i="25"/>
  <c r="AM51" i="25"/>
  <c r="AN51" i="25" s="1"/>
  <c r="AM55" i="25"/>
  <c r="AN55" i="25" s="1"/>
  <c r="AN24" i="25"/>
  <c r="AM15" i="25"/>
  <c r="AN15" i="25" s="1"/>
  <c r="AM45" i="25"/>
  <c r="AN45" i="25" s="1"/>
  <c r="AN20" i="25"/>
  <c r="AN32" i="25"/>
  <c r="AM33" i="25"/>
  <c r="AN33" i="25" s="1"/>
  <c r="AN98" i="25"/>
  <c r="AM135" i="25"/>
  <c r="AN135" i="25" s="1"/>
  <c r="AN64" i="25"/>
  <c r="AN36" i="25"/>
  <c r="AN91" i="25"/>
  <c r="AN136" i="25"/>
  <c r="AN48" i="25"/>
  <c r="AN56" i="25"/>
  <c r="AN102" i="25"/>
  <c r="AN154" i="25"/>
  <c r="AM63" i="25"/>
  <c r="AN63" i="25" s="1"/>
  <c r="AM101" i="25"/>
  <c r="AN101" i="25" s="1"/>
  <c r="AM95" i="25"/>
  <c r="AN95" i="25" s="1"/>
  <c r="AM88" i="25"/>
  <c r="AN88" i="25" s="1"/>
  <c r="AM21" i="25"/>
  <c r="AN21" i="25" s="1"/>
  <c r="AM19" i="25"/>
  <c r="AN19" i="25" s="1"/>
  <c r="AM29" i="25"/>
  <c r="AN29" i="25" s="1"/>
  <c r="AH20" i="17"/>
  <c r="CI16" i="21" l="1"/>
  <c r="AN91" i="17" s="1"/>
  <c r="AO91" i="17" s="1"/>
  <c r="CH6" i="21"/>
  <c r="CH7" i="21"/>
  <c r="CH8" i="21"/>
  <c r="CH9" i="21"/>
  <c r="CH10" i="21"/>
  <c r="CH11" i="21"/>
  <c r="CH12" i="21"/>
  <c r="CH13" i="21"/>
  <c r="CH14" i="21"/>
  <c r="CH5" i="21"/>
  <c r="CB16" i="21"/>
  <c r="AN87" i="17" s="1"/>
  <c r="AO87" i="17" s="1"/>
  <c r="CA6" i="21"/>
  <c r="CA7" i="21"/>
  <c r="CA8" i="21"/>
  <c r="CA9" i="21"/>
  <c r="CA10" i="21"/>
  <c r="CA11" i="21"/>
  <c r="CA12" i="21"/>
  <c r="CA13" i="21"/>
  <c r="CA14" i="21"/>
  <c r="CA5" i="21"/>
  <c r="AY82" i="17"/>
  <c r="AX82" i="17"/>
  <c r="AW82" i="17"/>
  <c r="AV82" i="17"/>
  <c r="AU82" i="17"/>
  <c r="BO35" i="21"/>
  <c r="AN83" i="17" s="1"/>
  <c r="AO83" i="17" s="1"/>
  <c r="BN25" i="21"/>
  <c r="BN26" i="21"/>
  <c r="BN27" i="21"/>
  <c r="BN28" i="21"/>
  <c r="BN29" i="21"/>
  <c r="BN30" i="21"/>
  <c r="BN31" i="21"/>
  <c r="BN32" i="21"/>
  <c r="BN33" i="21"/>
  <c r="BN24" i="21"/>
  <c r="BE13" i="21"/>
  <c r="BR13" i="21"/>
  <c r="BR6" i="21"/>
  <c r="BR7" i="21"/>
  <c r="BR8" i="21"/>
  <c r="BR9" i="21"/>
  <c r="BR14" i="21" s="1"/>
  <c r="BS5" i="21" s="1"/>
  <c r="BU5" i="21" s="1"/>
  <c r="BV5" i="21" s="1"/>
  <c r="BR10" i="21"/>
  <c r="BR11" i="21"/>
  <c r="BT13" i="21"/>
  <c r="BR5" i="21"/>
  <c r="BP6" i="21"/>
  <c r="BP7" i="21"/>
  <c r="BP8" i="21"/>
  <c r="BP9" i="21"/>
  <c r="BP10" i="21"/>
  <c r="BP11" i="21"/>
  <c r="BP5" i="21"/>
  <c r="BN6" i="21"/>
  <c r="BN7" i="21"/>
  <c r="BN8" i="21"/>
  <c r="BN9" i="21"/>
  <c r="BN10" i="21"/>
  <c r="BN11" i="21"/>
  <c r="BN5" i="21"/>
  <c r="AV78" i="17"/>
  <c r="AU78" i="17"/>
  <c r="BB32" i="21"/>
  <c r="AN79" i="17" s="1"/>
  <c r="AO79" i="17" s="1"/>
  <c r="BA22" i="21"/>
  <c r="BA23" i="21"/>
  <c r="BA24" i="21"/>
  <c r="BA25" i="21"/>
  <c r="BA26" i="21"/>
  <c r="BA27" i="21"/>
  <c r="BA28" i="21"/>
  <c r="BA29" i="21"/>
  <c r="BA30" i="21"/>
  <c r="BA21" i="21"/>
  <c r="BF5" i="21"/>
  <c r="BH5" i="21" s="1"/>
  <c r="BG13" i="21"/>
  <c r="BE14" i="21"/>
  <c r="BE6" i="21"/>
  <c r="BE7" i="21"/>
  <c r="BE8" i="21"/>
  <c r="BE9" i="21"/>
  <c r="BE10" i="21"/>
  <c r="BE11" i="21"/>
  <c r="BE5" i="21"/>
  <c r="BC6" i="21"/>
  <c r="BC7" i="21"/>
  <c r="BC8" i="21"/>
  <c r="BC9" i="21"/>
  <c r="BC10" i="21"/>
  <c r="BC11" i="21"/>
  <c r="BC5" i="21"/>
  <c r="BA6" i="21"/>
  <c r="BA7" i="21"/>
  <c r="BA8" i="21"/>
  <c r="BA9" i="21"/>
  <c r="BA10" i="21"/>
  <c r="BA11" i="21"/>
  <c r="BA5" i="21"/>
  <c r="AY74" i="17"/>
  <c r="AX74" i="17"/>
  <c r="AW74" i="17"/>
  <c r="AV74" i="17"/>
  <c r="AU74" i="17"/>
  <c r="AV5" i="21"/>
  <c r="AU5" i="21"/>
  <c r="AT5" i="21"/>
  <c r="AS5" i="21"/>
  <c r="AR12" i="21"/>
  <c r="AT12" i="21"/>
  <c r="AR13" i="21"/>
  <c r="AR6" i="21"/>
  <c r="AR7" i="21"/>
  <c r="AR8" i="21"/>
  <c r="AR9" i="21"/>
  <c r="AR10" i="21"/>
  <c r="AR5" i="21"/>
  <c r="AP6" i="21"/>
  <c r="AP7" i="21"/>
  <c r="AP8" i="21"/>
  <c r="AP9" i="21"/>
  <c r="AP10" i="21"/>
  <c r="AP5" i="21"/>
  <c r="AN6" i="21"/>
  <c r="AN7" i="21"/>
  <c r="AN8" i="21"/>
  <c r="AN9" i="21"/>
  <c r="AN10" i="21"/>
  <c r="AN5" i="21"/>
  <c r="AO32" i="21"/>
  <c r="AN75" i="17" s="1"/>
  <c r="AO75" i="17" s="1"/>
  <c r="AN22" i="21"/>
  <c r="AN23" i="21"/>
  <c r="AN24" i="21"/>
  <c r="AN25" i="21"/>
  <c r="AN26" i="21"/>
  <c r="AN27" i="21"/>
  <c r="AN28" i="21"/>
  <c r="AN29" i="21"/>
  <c r="AN30" i="21"/>
  <c r="AN21" i="21"/>
  <c r="AN72" i="17"/>
  <c r="AO72" i="17" s="1"/>
  <c r="AC32" i="21"/>
  <c r="AB22" i="21"/>
  <c r="AB23" i="21"/>
  <c r="AB24" i="21"/>
  <c r="AB25" i="21"/>
  <c r="AB26" i="21"/>
  <c r="AB27" i="21"/>
  <c r="AB28" i="21"/>
  <c r="AB29" i="21"/>
  <c r="AB30" i="21"/>
  <c r="AB21" i="21"/>
  <c r="AX71" i="17"/>
  <c r="AW71" i="17"/>
  <c r="AV71" i="17"/>
  <c r="AU71" i="17"/>
  <c r="AI5" i="21"/>
  <c r="AY71" i="17" s="1"/>
  <c r="AH5" i="21"/>
  <c r="AG5" i="21"/>
  <c r="AF5" i="21"/>
  <c r="AE6" i="21"/>
  <c r="AE7" i="21"/>
  <c r="AE8" i="21"/>
  <c r="AE9" i="21"/>
  <c r="AE11" i="21" s="1"/>
  <c r="AE12" i="21" s="1"/>
  <c r="AE5" i="21"/>
  <c r="AG11" i="21"/>
  <c r="AB6" i="21"/>
  <c r="AB7" i="21"/>
  <c r="AB8" i="21"/>
  <c r="AB9" i="21"/>
  <c r="AB5" i="21"/>
  <c r="AT71" i="17"/>
  <c r="AS71" i="17"/>
  <c r="AR71" i="17"/>
  <c r="AQ71" i="17"/>
  <c r="AP71" i="17"/>
  <c r="AX67" i="17"/>
  <c r="AV67" i="17"/>
  <c r="W5" i="21"/>
  <c r="AY67" i="17" s="1"/>
  <c r="V5" i="21"/>
  <c r="U5" i="21"/>
  <c r="AW67" i="17" s="1"/>
  <c r="T5" i="21"/>
  <c r="S6" i="21"/>
  <c r="S7" i="21"/>
  <c r="S8" i="21"/>
  <c r="S9" i="21"/>
  <c r="S10" i="21"/>
  <c r="S11" i="21"/>
  <c r="S5" i="21"/>
  <c r="S13" i="21"/>
  <c r="S14" i="21" s="1"/>
  <c r="U13" i="21"/>
  <c r="P6" i="21"/>
  <c r="P7" i="21"/>
  <c r="P8" i="21"/>
  <c r="P9" i="21"/>
  <c r="P10" i="21"/>
  <c r="P11" i="21"/>
  <c r="P5" i="21"/>
  <c r="AU67" i="17"/>
  <c r="AT67" i="17"/>
  <c r="AS67" i="17"/>
  <c r="AR67" i="17"/>
  <c r="AQ67" i="17"/>
  <c r="AP67" i="17"/>
  <c r="R33" i="21"/>
  <c r="AN68" i="17" s="1"/>
  <c r="AO68" i="17" s="1"/>
  <c r="Q23" i="21"/>
  <c r="Q24" i="21"/>
  <c r="Q25" i="21"/>
  <c r="Q26" i="21"/>
  <c r="Q27" i="21"/>
  <c r="Q28" i="21"/>
  <c r="Q29" i="21"/>
  <c r="Q30" i="21"/>
  <c r="Q31" i="21"/>
  <c r="Q22" i="21"/>
  <c r="AX63" i="17"/>
  <c r="AV63" i="17"/>
  <c r="AU63" i="17"/>
  <c r="AT63" i="17"/>
  <c r="AS63" i="17"/>
  <c r="AR63" i="17"/>
  <c r="AQ63" i="17"/>
  <c r="AP63" i="17"/>
  <c r="AN64" i="17"/>
  <c r="AO64" i="17" s="1"/>
  <c r="E33" i="21"/>
  <c r="D23" i="21"/>
  <c r="D24" i="21"/>
  <c r="D25" i="21"/>
  <c r="D26" i="21"/>
  <c r="D27" i="21"/>
  <c r="D28" i="21"/>
  <c r="D29" i="21"/>
  <c r="D30" i="21"/>
  <c r="D31" i="21"/>
  <c r="D22" i="21"/>
  <c r="I11" i="21"/>
  <c r="G9" i="21"/>
  <c r="D6" i="21"/>
  <c r="G6" i="21" s="1"/>
  <c r="D7" i="21"/>
  <c r="G7" i="21" s="1"/>
  <c r="D8" i="21"/>
  <c r="G8" i="21" s="1"/>
  <c r="D9" i="21"/>
  <c r="D5" i="21"/>
  <c r="G5" i="21" s="1"/>
  <c r="AV15" i="4"/>
  <c r="AN32" i="17" s="1"/>
  <c r="AO32" i="17" s="1"/>
  <c r="AV5" i="4"/>
  <c r="AV6" i="4"/>
  <c r="AV7" i="4"/>
  <c r="AV8" i="4"/>
  <c r="AV9" i="4"/>
  <c r="AV10" i="4"/>
  <c r="AV11" i="4"/>
  <c r="AV12" i="4"/>
  <c r="AV13" i="4"/>
  <c r="AU5" i="4"/>
  <c r="AU6" i="4"/>
  <c r="AU7" i="4"/>
  <c r="AU8" i="4"/>
  <c r="AU9" i="4"/>
  <c r="AU10" i="4"/>
  <c r="AU11" i="4"/>
  <c r="AU12" i="4"/>
  <c r="AU13" i="4"/>
  <c r="AU4" i="4"/>
  <c r="AP15" i="4"/>
  <c r="AN28" i="17" s="1"/>
  <c r="AO28" i="17" s="1"/>
  <c r="AP5" i="4"/>
  <c r="AP6" i="4"/>
  <c r="AP7" i="4"/>
  <c r="AP8" i="4"/>
  <c r="AP9" i="4"/>
  <c r="AP10" i="4"/>
  <c r="AP12" i="4"/>
  <c r="AP13" i="4"/>
  <c r="AP4" i="4"/>
  <c r="AO5" i="4"/>
  <c r="AO6" i="4"/>
  <c r="AO7" i="4"/>
  <c r="AO8" i="4"/>
  <c r="AO9" i="4"/>
  <c r="AO10" i="4"/>
  <c r="AO11" i="4"/>
  <c r="AO12" i="4"/>
  <c r="AO13" i="4"/>
  <c r="AO4" i="4"/>
  <c r="AY23" i="17"/>
  <c r="AX23" i="17"/>
  <c r="AW23" i="17"/>
  <c r="AV23" i="17"/>
  <c r="AU23" i="17"/>
  <c r="AT23" i="17"/>
  <c r="AS23" i="17"/>
  <c r="AR23" i="17"/>
  <c r="AQ23" i="17"/>
  <c r="AP23" i="17"/>
  <c r="AD35" i="4"/>
  <c r="AD38" i="4"/>
  <c r="AD40" i="4"/>
  <c r="AD31" i="4"/>
  <c r="AJ4" i="4"/>
  <c r="AI4" i="4"/>
  <c r="AH4" i="4"/>
  <c r="AG4" i="4"/>
  <c r="AF19" i="4"/>
  <c r="AH19" i="4"/>
  <c r="AF20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4" i="4"/>
  <c r="AY19" i="17"/>
  <c r="AX19" i="17"/>
  <c r="AW19" i="17"/>
  <c r="AV19" i="17"/>
  <c r="AU19" i="17"/>
  <c r="AT19" i="17"/>
  <c r="AS19" i="17"/>
  <c r="AR19" i="17"/>
  <c r="AQ19" i="17"/>
  <c r="AP19" i="17"/>
  <c r="R40" i="4"/>
  <c r="AN20" i="17" s="1"/>
  <c r="AO20" i="17" s="1"/>
  <c r="Q30" i="4"/>
  <c r="Q31" i="4"/>
  <c r="Q32" i="4"/>
  <c r="Q33" i="4"/>
  <c r="Q34" i="4"/>
  <c r="Q35" i="4"/>
  <c r="Q36" i="4"/>
  <c r="Q37" i="4"/>
  <c r="Q38" i="4"/>
  <c r="Q29" i="4"/>
  <c r="X4" i="4"/>
  <c r="W4" i="4"/>
  <c r="V4" i="4"/>
  <c r="U4" i="4"/>
  <c r="T24" i="4"/>
  <c r="V24" i="4"/>
  <c r="T25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4" i="4"/>
  <c r="AY15" i="17"/>
  <c r="AX15" i="17"/>
  <c r="AW15" i="17"/>
  <c r="AV15" i="17"/>
  <c r="K4" i="4"/>
  <c r="J4" i="4"/>
  <c r="I4" i="4"/>
  <c r="AU15" i="17"/>
  <c r="AT15" i="17"/>
  <c r="AS15" i="17"/>
  <c r="AR15" i="17"/>
  <c r="AQ15" i="17"/>
  <c r="AP15" i="17"/>
  <c r="H4" i="4"/>
  <c r="I17" i="4"/>
  <c r="C2" i="4"/>
  <c r="D5" i="4"/>
  <c r="G5" i="4" s="1"/>
  <c r="D6" i="4"/>
  <c r="G6" i="4" s="1"/>
  <c r="D7" i="4"/>
  <c r="G7" i="4" s="1"/>
  <c r="D8" i="4"/>
  <c r="G8" i="4" s="1"/>
  <c r="D9" i="4"/>
  <c r="G9" i="4" s="1"/>
  <c r="D10" i="4"/>
  <c r="G10" i="4" s="1"/>
  <c r="D11" i="4"/>
  <c r="G11" i="4" s="1"/>
  <c r="D12" i="4"/>
  <c r="G12" i="4" s="1"/>
  <c r="D13" i="4"/>
  <c r="G13" i="4" s="1"/>
  <c r="D14" i="4"/>
  <c r="G14" i="4" s="1"/>
  <c r="D15" i="4"/>
  <c r="G15" i="4" s="1"/>
  <c r="D4" i="4"/>
  <c r="G4" i="4" s="1"/>
  <c r="D23" i="4"/>
  <c r="D24" i="4"/>
  <c r="D25" i="4"/>
  <c r="D26" i="4"/>
  <c r="D27" i="4"/>
  <c r="D28" i="4"/>
  <c r="D29" i="4"/>
  <c r="D30" i="4"/>
  <c r="D31" i="4"/>
  <c r="D22" i="4"/>
  <c r="AY3" i="17"/>
  <c r="AX3" i="17"/>
  <c r="AW3" i="17"/>
  <c r="AU3" i="17"/>
  <c r="AV3" i="17"/>
  <c r="AT3" i="17"/>
  <c r="AS3" i="17"/>
  <c r="AR3" i="17"/>
  <c r="AQ3" i="17"/>
  <c r="AP3" i="17"/>
  <c r="AN4" i="17"/>
  <c r="J5" i="22"/>
  <c r="K5" i="22"/>
  <c r="I5" i="22"/>
  <c r="H5" i="22"/>
  <c r="E25" i="22"/>
  <c r="D25" i="22"/>
  <c r="G27" i="22"/>
  <c r="I26" i="22"/>
  <c r="G26" i="22"/>
  <c r="AD42" i="4" l="1"/>
  <c r="AN24" i="17" s="1"/>
  <c r="AO24" i="17" s="1"/>
  <c r="AN5" i="17"/>
  <c r="AO5" i="17" s="1"/>
  <c r="AN3" i="17"/>
  <c r="AO3" i="17" s="1"/>
  <c r="AN29" i="17"/>
  <c r="AO29" i="17" s="1"/>
  <c r="AN27" i="17"/>
  <c r="AO27" i="17" s="1"/>
  <c r="AN88" i="17"/>
  <c r="AO88" i="17" s="1"/>
  <c r="AN86" i="17"/>
  <c r="AO86" i="17" s="1"/>
  <c r="AN69" i="17"/>
  <c r="AO69" i="17" s="1"/>
  <c r="AN67" i="17"/>
  <c r="AO67" i="17" s="1"/>
  <c r="AN65" i="17"/>
  <c r="AO65" i="17" s="1"/>
  <c r="AN63" i="17"/>
  <c r="AO63" i="17" s="1"/>
  <c r="AN19" i="17"/>
  <c r="AO19" i="17" s="1"/>
  <c r="AN21" i="17"/>
  <c r="AO21" i="17" s="1"/>
  <c r="AN80" i="17"/>
  <c r="AO80" i="17" s="1"/>
  <c r="AN78" i="17"/>
  <c r="AN82" i="17"/>
  <c r="AO82" i="17" s="1"/>
  <c r="AN84" i="17"/>
  <c r="AO84" i="17" s="1"/>
  <c r="AN33" i="17"/>
  <c r="AO33" i="17" s="1"/>
  <c r="AN31" i="17"/>
  <c r="AO31" i="17" s="1"/>
  <c r="AN92" i="17"/>
  <c r="AO92" i="17" s="1"/>
  <c r="AN90" i="17"/>
  <c r="AO90" i="17" s="1"/>
  <c r="AX78" i="17"/>
  <c r="BI5" i="21"/>
  <c r="AY78" i="17" s="1"/>
  <c r="BG5" i="21"/>
  <c r="AW78" i="17" s="1"/>
  <c r="BT5" i="21"/>
  <c r="G11" i="21"/>
  <c r="G12" i="21" s="1"/>
  <c r="H5" i="21" s="1"/>
  <c r="E33" i="4"/>
  <c r="AN16" i="17" s="1"/>
  <c r="AO16" i="17" s="1"/>
  <c r="G17" i="4"/>
  <c r="G18" i="4" s="1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5" i="22"/>
  <c r="E58" i="22"/>
  <c r="E41" i="22"/>
  <c r="E31" i="22"/>
  <c r="E32" i="22"/>
  <c r="E33" i="22"/>
  <c r="E34" i="22"/>
  <c r="E35" i="22"/>
  <c r="E36" i="22"/>
  <c r="E37" i="22"/>
  <c r="E38" i="22"/>
  <c r="E39" i="22"/>
  <c r="E30" i="22"/>
  <c r="D48" i="22"/>
  <c r="D49" i="22"/>
  <c r="D50" i="22"/>
  <c r="D51" i="22"/>
  <c r="D52" i="22"/>
  <c r="D53" i="22"/>
  <c r="D54" i="22"/>
  <c r="D55" i="22"/>
  <c r="D56" i="22"/>
  <c r="D47" i="22"/>
  <c r="AY39" i="17"/>
  <c r="AX39" i="17"/>
  <c r="AW39" i="17"/>
  <c r="AV39" i="17"/>
  <c r="AU39" i="17"/>
  <c r="AT39" i="17"/>
  <c r="AS39" i="17"/>
  <c r="AR39" i="17"/>
  <c r="AQ39" i="17"/>
  <c r="AP39" i="17"/>
  <c r="AN40" i="17"/>
  <c r="AY35" i="17"/>
  <c r="AX35" i="17"/>
  <c r="AW35" i="17"/>
  <c r="AV35" i="17"/>
  <c r="AU35" i="17"/>
  <c r="AT35" i="17"/>
  <c r="AS35" i="17"/>
  <c r="AR35" i="17"/>
  <c r="AQ35" i="17"/>
  <c r="AP35" i="17"/>
  <c r="AN36" i="17"/>
  <c r="AN8" i="17" l="1"/>
  <c r="AN12" i="17"/>
  <c r="AO12" i="17" s="1"/>
  <c r="AO78" i="17"/>
  <c r="AN94" i="17"/>
  <c r="AO94" i="17" s="1"/>
  <c r="AN25" i="17"/>
  <c r="AO25" i="17" s="1"/>
  <c r="AN23" i="17"/>
  <c r="AO23" i="17" s="1"/>
  <c r="AN71" i="17"/>
  <c r="AN37" i="17"/>
  <c r="AO37" i="17" s="1"/>
  <c r="AN35" i="17"/>
  <c r="AO35" i="17" s="1"/>
  <c r="AN73" i="17"/>
  <c r="AN39" i="17"/>
  <c r="AO39" i="17" s="1"/>
  <c r="AN41" i="17"/>
  <c r="AO41" i="17" s="1"/>
  <c r="AN17" i="17"/>
  <c r="AO17" i="17" s="1"/>
  <c r="AN15" i="17"/>
  <c r="AO15" i="17" s="1"/>
  <c r="I5" i="21"/>
  <c r="AW63" i="17" s="1"/>
  <c r="J5" i="21"/>
  <c r="K5" i="21" s="1"/>
  <c r="AY63" i="17" s="1"/>
  <c r="AY59" i="17"/>
  <c r="AX59" i="17"/>
  <c r="AW59" i="17"/>
  <c r="AV59" i="17"/>
  <c r="AU59" i="17"/>
  <c r="AY55" i="17"/>
  <c r="AX55" i="17"/>
  <c r="AW55" i="17"/>
  <c r="AV55" i="17"/>
  <c r="AU55" i="17"/>
  <c r="AT51" i="17"/>
  <c r="AS51" i="17"/>
  <c r="AR51" i="17"/>
  <c r="AQ51" i="17"/>
  <c r="AT55" i="17"/>
  <c r="AS55" i="17"/>
  <c r="AR55" i="17"/>
  <c r="AQ55" i="17"/>
  <c r="AP55" i="17"/>
  <c r="AP51" i="17"/>
  <c r="AY51" i="17"/>
  <c r="AX51" i="17"/>
  <c r="AW51" i="17"/>
  <c r="AV51" i="17"/>
  <c r="AU51" i="17"/>
  <c r="AO8" i="17" l="1"/>
  <c r="AN9" i="17"/>
  <c r="AO9" i="17" s="1"/>
  <c r="AN7" i="17"/>
  <c r="AO7" i="17" s="1"/>
  <c r="AN74" i="17"/>
  <c r="AO74" i="17" s="1"/>
  <c r="AO71" i="17"/>
  <c r="AN76" i="17"/>
  <c r="AO76" i="17" s="1"/>
  <c r="AO73" i="17"/>
  <c r="AN11" i="17"/>
  <c r="AO11" i="17" s="1"/>
  <c r="AN13" i="17"/>
  <c r="AO13" i="17" s="1"/>
  <c r="AY102" i="17"/>
  <c r="AX102" i="17"/>
  <c r="AW102" i="17"/>
  <c r="AV102" i="17"/>
  <c r="AU102" i="17"/>
  <c r="BJ4" i="19"/>
  <c r="BI4" i="19"/>
  <c r="BH4" i="19"/>
  <c r="BG4" i="19"/>
  <c r="BF14" i="19"/>
  <c r="BH14" i="19"/>
  <c r="BF15" i="19"/>
  <c r="BF6" i="19"/>
  <c r="BF7" i="19"/>
  <c r="BF8" i="19"/>
  <c r="BF9" i="19"/>
  <c r="BF10" i="19"/>
  <c r="BF11" i="19"/>
  <c r="BF12" i="19"/>
  <c r="BF13" i="19"/>
  <c r="BF4" i="19"/>
  <c r="BF5" i="19"/>
  <c r="BC5" i="19"/>
  <c r="BC6" i="19"/>
  <c r="BC7" i="19"/>
  <c r="BC8" i="19"/>
  <c r="BC9" i="19"/>
  <c r="BC10" i="19"/>
  <c r="BC11" i="19"/>
  <c r="BC12" i="19"/>
  <c r="BC13" i="19"/>
  <c r="BC4" i="19"/>
  <c r="BC24" i="19"/>
  <c r="BC25" i="19"/>
  <c r="BC26" i="19"/>
  <c r="BC27" i="19"/>
  <c r="BC28" i="19"/>
  <c r="BC29" i="19"/>
  <c r="BC30" i="19"/>
  <c r="BC31" i="19"/>
  <c r="BC32" i="19"/>
  <c r="BC23" i="19"/>
  <c r="BD23" i="19" s="1"/>
  <c r="AV14" i="19"/>
  <c r="AQ5" i="19"/>
  <c r="AT5" i="19" s="1"/>
  <c r="AQ6" i="19"/>
  <c r="AT6" i="19" s="1"/>
  <c r="AQ7" i="19"/>
  <c r="AT7" i="19" s="1"/>
  <c r="AQ8" i="19"/>
  <c r="AT8" i="19" s="1"/>
  <c r="AQ9" i="19"/>
  <c r="AT9" i="19" s="1"/>
  <c r="AQ10" i="19"/>
  <c r="AT10" i="19" s="1"/>
  <c r="AQ11" i="19"/>
  <c r="AT11" i="19" s="1"/>
  <c r="AQ4" i="19"/>
  <c r="AT4" i="19" s="1"/>
  <c r="AQ24" i="19"/>
  <c r="AQ25" i="19"/>
  <c r="AQ26" i="19"/>
  <c r="AQ27" i="19"/>
  <c r="AQ28" i="19"/>
  <c r="AQ29" i="19"/>
  <c r="AQ30" i="19"/>
  <c r="AQ31" i="19"/>
  <c r="AQ32" i="19"/>
  <c r="AQ23" i="19"/>
  <c r="AQ34" i="19" s="1"/>
  <c r="AJ14" i="19"/>
  <c r="AD24" i="19"/>
  <c r="AD25" i="19"/>
  <c r="AD26" i="19"/>
  <c r="AD27" i="19"/>
  <c r="AD28" i="19"/>
  <c r="AD29" i="19"/>
  <c r="AD30" i="19"/>
  <c r="AD31" i="19"/>
  <c r="AD32" i="19"/>
  <c r="AD23" i="19"/>
  <c r="AD34" i="19" s="1"/>
  <c r="AF5" i="19"/>
  <c r="AF6" i="19"/>
  <c r="AF7" i="19"/>
  <c r="AF4" i="19"/>
  <c r="AD5" i="19"/>
  <c r="AD6" i="19"/>
  <c r="AD7" i="19"/>
  <c r="AD4" i="19"/>
  <c r="W14" i="19"/>
  <c r="S5" i="19"/>
  <c r="U5" i="19" s="1"/>
  <c r="S6" i="19"/>
  <c r="S7" i="19"/>
  <c r="S8" i="19"/>
  <c r="S4" i="19"/>
  <c r="Q5" i="19"/>
  <c r="Q6" i="19"/>
  <c r="U6" i="19" s="1"/>
  <c r="Q7" i="19"/>
  <c r="Q8" i="19"/>
  <c r="U8" i="19" s="1"/>
  <c r="Q4" i="19"/>
  <c r="U4" i="19" s="1"/>
  <c r="R24" i="19"/>
  <c r="R32" i="19"/>
  <c r="Q24" i="19"/>
  <c r="Q25" i="19"/>
  <c r="R25" i="19" s="1"/>
  <c r="Q26" i="19"/>
  <c r="R26" i="19" s="1"/>
  <c r="Q27" i="19"/>
  <c r="R27" i="19" s="1"/>
  <c r="Q28" i="19"/>
  <c r="R28" i="19" s="1"/>
  <c r="Q29" i="19"/>
  <c r="Q30" i="19"/>
  <c r="R30" i="19" s="1"/>
  <c r="Q31" i="19"/>
  <c r="R31" i="19" s="1"/>
  <c r="Q32" i="19"/>
  <c r="Q23" i="19"/>
  <c r="R23" i="19" s="1"/>
  <c r="E61" i="19"/>
  <c r="E62" i="19"/>
  <c r="E63" i="19"/>
  <c r="E64" i="19"/>
  <c r="E65" i="19"/>
  <c r="E66" i="19"/>
  <c r="E67" i="19"/>
  <c r="E68" i="19"/>
  <c r="E69" i="19"/>
  <c r="E60" i="19"/>
  <c r="E71" i="19" s="1"/>
  <c r="AN44" i="17" s="1"/>
  <c r="E48" i="19"/>
  <c r="E52" i="19"/>
  <c r="D45" i="19"/>
  <c r="E45" i="19" s="1"/>
  <c r="D46" i="19"/>
  <c r="E46" i="19" s="1"/>
  <c r="D47" i="19"/>
  <c r="E47" i="19" s="1"/>
  <c r="D48" i="19"/>
  <c r="D49" i="19"/>
  <c r="E49" i="19" s="1"/>
  <c r="D50" i="19"/>
  <c r="E50" i="19" s="1"/>
  <c r="D51" i="19"/>
  <c r="E51" i="19" s="1"/>
  <c r="D52" i="19"/>
  <c r="D53" i="19"/>
  <c r="E53" i="19" s="1"/>
  <c r="D44" i="19"/>
  <c r="E44" i="19" s="1"/>
  <c r="D32" i="19"/>
  <c r="D31" i="19"/>
  <c r="D24" i="19"/>
  <c r="E24" i="19" s="1"/>
  <c r="D25" i="19"/>
  <c r="E25" i="19" s="1"/>
  <c r="D26" i="19"/>
  <c r="E26" i="19" s="1"/>
  <c r="D27" i="19"/>
  <c r="E27" i="19" s="1"/>
  <c r="D28" i="19"/>
  <c r="E28" i="19" s="1"/>
  <c r="D29" i="19"/>
  <c r="E29" i="19" s="1"/>
  <c r="D30" i="19"/>
  <c r="E30" i="19" s="1"/>
  <c r="D23" i="19"/>
  <c r="E23" i="19" s="1"/>
  <c r="P2" i="9"/>
  <c r="P3" i="9"/>
  <c r="P4" i="9"/>
  <c r="P5" i="9"/>
  <c r="P6" i="9"/>
  <c r="P7" i="9"/>
  <c r="P8" i="9"/>
  <c r="P9" i="9"/>
  <c r="P10" i="9"/>
  <c r="J14" i="19"/>
  <c r="H6" i="19"/>
  <c r="F5" i="19"/>
  <c r="F6" i="19"/>
  <c r="F7" i="19"/>
  <c r="H7" i="19" s="1"/>
  <c r="F8" i="19"/>
  <c r="F9" i="19"/>
  <c r="F10" i="19"/>
  <c r="F4" i="19"/>
  <c r="H4" i="19" s="1"/>
  <c r="D5" i="19"/>
  <c r="AH5" i="19" s="1"/>
  <c r="D6" i="19"/>
  <c r="AH6" i="19" s="1"/>
  <c r="D7" i="19"/>
  <c r="AH7" i="19" s="1"/>
  <c r="D8" i="19"/>
  <c r="H8" i="19" s="1"/>
  <c r="D9" i="19"/>
  <c r="D10" i="19"/>
  <c r="H10" i="19" s="1"/>
  <c r="D4" i="19"/>
  <c r="AN107" i="17"/>
  <c r="AN103" i="17"/>
  <c r="AE4" i="18"/>
  <c r="AD4" i="18"/>
  <c r="AC4" i="18"/>
  <c r="AB4" i="18"/>
  <c r="AA29" i="18"/>
  <c r="AC29" i="18"/>
  <c r="AA30" i="18" s="1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4" i="18"/>
  <c r="V62" i="18"/>
  <c r="V46" i="18"/>
  <c r="V36" i="18"/>
  <c r="V37" i="18"/>
  <c r="V38" i="18"/>
  <c r="V39" i="18"/>
  <c r="V40" i="18"/>
  <c r="V41" i="18"/>
  <c r="V42" i="18"/>
  <c r="V43" i="18"/>
  <c r="V44" i="18"/>
  <c r="V35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4" i="18"/>
  <c r="AY94" i="17"/>
  <c r="AX94" i="17"/>
  <c r="AW94" i="17"/>
  <c r="AV94" i="17"/>
  <c r="AU94" i="17"/>
  <c r="AN99" i="17"/>
  <c r="AN95" i="17"/>
  <c r="D58" i="18"/>
  <c r="D48" i="18"/>
  <c r="D49" i="18"/>
  <c r="D50" i="18"/>
  <c r="D51" i="18"/>
  <c r="D52" i="18"/>
  <c r="D53" i="18"/>
  <c r="D54" i="18"/>
  <c r="D55" i="18"/>
  <c r="D56" i="18"/>
  <c r="D47" i="18"/>
  <c r="M4" i="18"/>
  <c r="L4" i="18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3" i="13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3" i="12"/>
  <c r="K4" i="18"/>
  <c r="J4" i="18"/>
  <c r="I24" i="18"/>
  <c r="I25" i="18"/>
  <c r="K2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4" i="18"/>
  <c r="AN100" i="17" l="1"/>
  <c r="AO100" i="17" s="1"/>
  <c r="AN98" i="17"/>
  <c r="AO98" i="17" s="1"/>
  <c r="AN102" i="17"/>
  <c r="AO102" i="17" s="1"/>
  <c r="AN104" i="17"/>
  <c r="AN106" i="17"/>
  <c r="AO106" i="17" s="1"/>
  <c r="AN108" i="17"/>
  <c r="AO108" i="17" s="1"/>
  <c r="AN45" i="17"/>
  <c r="AO45" i="17" s="1"/>
  <c r="AN43" i="17"/>
  <c r="AO43" i="17" s="1"/>
  <c r="BD34" i="19"/>
  <c r="AN60" i="17" s="1"/>
  <c r="AO60" i="17" s="1"/>
  <c r="AH4" i="19"/>
  <c r="AH14" i="19" s="1"/>
  <c r="AH15" i="19" s="1"/>
  <c r="AI4" i="19" s="1"/>
  <c r="E55" i="19"/>
  <c r="AN48" i="17" s="1"/>
  <c r="U7" i="19"/>
  <c r="U14" i="19" s="1"/>
  <c r="U15" i="19" s="1"/>
  <c r="V4" i="19" s="1"/>
  <c r="X4" i="19" s="1"/>
  <c r="Y4" i="19" s="1"/>
  <c r="H9" i="19"/>
  <c r="R34" i="19"/>
  <c r="AN56" i="17" s="1"/>
  <c r="AT14" i="19"/>
  <c r="AT15" i="19" s="1"/>
  <c r="AU4" i="19" s="1"/>
  <c r="H5" i="19"/>
  <c r="H14" i="19" s="1"/>
  <c r="H15" i="19" s="1"/>
  <c r="I4" i="19" s="1"/>
  <c r="E34" i="19"/>
  <c r="AN52" i="17" s="1"/>
  <c r="AN96" i="17" l="1"/>
  <c r="AO96" i="17" s="1"/>
  <c r="AO104" i="17"/>
  <c r="AO56" i="17"/>
  <c r="AN55" i="17"/>
  <c r="AO55" i="17" s="1"/>
  <c r="AN57" i="17"/>
  <c r="AO57" i="17" s="1"/>
  <c r="AO52" i="17"/>
  <c r="AN53" i="17"/>
  <c r="AO53" i="17" s="1"/>
  <c r="AN51" i="17"/>
  <c r="AO51" i="17" s="1"/>
  <c r="AN59" i="17"/>
  <c r="AO59" i="17" s="1"/>
  <c r="AN61" i="17"/>
  <c r="AO61" i="17" s="1"/>
  <c r="AN49" i="17"/>
  <c r="AO49" i="17" s="1"/>
  <c r="AN47" i="17"/>
  <c r="AO47" i="17" s="1"/>
  <c r="AK4" i="19"/>
  <c r="AL4" i="19" s="1"/>
  <c r="AJ4" i="19"/>
  <c r="J4" i="19"/>
  <c r="K4" i="19"/>
  <c r="L4" i="19" s="1"/>
  <c r="W4" i="19"/>
  <c r="AW4" i="19"/>
  <c r="AX4" i="19" s="1"/>
  <c r="AV4" i="19"/>
  <c r="BB27" i="23" l="1"/>
  <c r="AZ27" i="23"/>
  <c r="AZ28" i="23" s="1"/>
  <c r="AZ5" i="23"/>
  <c r="AZ6" i="23"/>
  <c r="AZ7" i="23"/>
  <c r="AZ8" i="23"/>
  <c r="AZ9" i="23"/>
  <c r="AZ10" i="23"/>
  <c r="AZ11" i="23"/>
  <c r="AZ12" i="23"/>
  <c r="AZ13" i="23"/>
  <c r="AZ14" i="23"/>
  <c r="AZ15" i="23"/>
  <c r="AZ16" i="23"/>
  <c r="AZ17" i="23"/>
  <c r="AZ18" i="23"/>
  <c r="AZ19" i="23"/>
  <c r="AZ20" i="23"/>
  <c r="AZ21" i="23"/>
  <c r="AZ22" i="23"/>
  <c r="AZ23" i="23"/>
  <c r="AZ24" i="23"/>
  <c r="AZ25" i="23"/>
  <c r="AZ4" i="23"/>
  <c r="X27" i="23"/>
  <c r="Z27" i="23"/>
  <c r="X28" i="23"/>
  <c r="X5" i="23"/>
  <c r="X6" i="23"/>
  <c r="X7" i="23"/>
  <c r="X8" i="23"/>
  <c r="X9" i="23"/>
  <c r="X10" i="23"/>
  <c r="X11" i="23"/>
  <c r="X12" i="23"/>
  <c r="X13" i="23"/>
  <c r="X14" i="23"/>
  <c r="X15" i="23"/>
  <c r="X16" i="23"/>
  <c r="X17" i="23"/>
  <c r="X18" i="23"/>
  <c r="X19" i="23"/>
  <c r="X20" i="23"/>
  <c r="X21" i="23"/>
  <c r="X22" i="23"/>
  <c r="X23" i="23"/>
  <c r="X24" i="23"/>
  <c r="X25" i="23"/>
  <c r="X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4" i="23"/>
  <c r="K4" i="23" l="1"/>
  <c r="F5" i="23"/>
  <c r="F6" i="23"/>
  <c r="F7" i="23"/>
  <c r="F8" i="23"/>
  <c r="J8" i="23" s="1"/>
  <c r="F9" i="23"/>
  <c r="F10" i="23"/>
  <c r="F11" i="23"/>
  <c r="F12" i="23"/>
  <c r="J12" i="23" s="1"/>
  <c r="F13" i="23"/>
  <c r="F14" i="23"/>
  <c r="F15" i="23"/>
  <c r="F16" i="23"/>
  <c r="J16" i="23" s="1"/>
  <c r="F17" i="23"/>
  <c r="F18" i="23"/>
  <c r="F19" i="23"/>
  <c r="F20" i="23"/>
  <c r="J20" i="23" s="1"/>
  <c r="F21" i="23"/>
  <c r="F22" i="23"/>
  <c r="F23" i="23"/>
  <c r="F24" i="23"/>
  <c r="J24" i="23" s="1"/>
  <c r="F25" i="23"/>
  <c r="F26" i="23"/>
  <c r="F27" i="23"/>
  <c r="F28" i="23"/>
  <c r="J28" i="23" s="1"/>
  <c r="F29" i="23"/>
  <c r="F30" i="23"/>
  <c r="F31" i="23"/>
  <c r="F32" i="23"/>
  <c r="J32" i="23" s="1"/>
  <c r="F33" i="23"/>
  <c r="F34" i="23"/>
  <c r="F4" i="23"/>
  <c r="L36" i="23"/>
  <c r="J4" i="23"/>
  <c r="J5" i="23"/>
  <c r="J36" i="23" s="1"/>
  <c r="J37" i="23" s="1"/>
  <c r="J6" i="23"/>
  <c r="J7" i="23"/>
  <c r="J9" i="23"/>
  <c r="J10" i="23"/>
  <c r="J11" i="23"/>
  <c r="J13" i="23"/>
  <c r="J14" i="23"/>
  <c r="J15" i="23"/>
  <c r="J17" i="23"/>
  <c r="J18" i="23"/>
  <c r="J19" i="23"/>
  <c r="J21" i="23"/>
  <c r="J22" i="23"/>
  <c r="J23" i="23"/>
  <c r="J25" i="23"/>
  <c r="J26" i="23"/>
  <c r="J27" i="23"/>
  <c r="J29" i="23"/>
  <c r="J30" i="23"/>
  <c r="J31" i="23"/>
  <c r="J33" i="23"/>
  <c r="J3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4" i="23"/>
  <c r="AU158" i="17"/>
  <c r="AU154" i="17"/>
  <c r="AU150" i="17"/>
  <c r="AU142" i="17"/>
  <c r="AN123" i="17"/>
  <c r="AN122" i="17" s="1"/>
  <c r="AO122" i="17" s="1"/>
  <c r="AN119" i="17"/>
  <c r="O134" i="17"/>
  <c r="R134" i="17"/>
  <c r="U134" i="17"/>
  <c r="O135" i="17"/>
  <c r="R135" i="17"/>
  <c r="U135" i="17"/>
  <c r="AU138" i="17"/>
  <c r="AN135" i="17"/>
  <c r="AN134" i="17" s="1"/>
  <c r="AO134" i="17" s="1"/>
  <c r="D43" i="8"/>
  <c r="AN131" i="17"/>
  <c r="AN130" i="17" s="1"/>
  <c r="AO130" i="17" s="1"/>
  <c r="D51" i="7"/>
  <c r="AY130" i="17"/>
  <c r="AX130" i="17"/>
  <c r="AW130" i="17"/>
  <c r="AV130" i="17"/>
  <c r="AU130" i="17"/>
  <c r="AT130" i="17"/>
  <c r="AS130" i="17"/>
  <c r="AR130" i="17"/>
  <c r="AQ130" i="17"/>
  <c r="AP126" i="17"/>
  <c r="AT126" i="17"/>
  <c r="AS126" i="17"/>
  <c r="AR126" i="17"/>
  <c r="AQ126" i="17"/>
  <c r="AY126" i="17"/>
  <c r="AX126" i="17"/>
  <c r="AW126" i="17"/>
  <c r="AV126" i="17"/>
  <c r="AN127" i="17"/>
  <c r="AN126" i="17" s="1"/>
  <c r="AO126" i="17" s="1"/>
  <c r="D32" i="6"/>
  <c r="AX138" i="17"/>
  <c r="AW138" i="17"/>
  <c r="AV138" i="17"/>
  <c r="AN139" i="17"/>
  <c r="AN138" i="17" s="1"/>
  <c r="AO138" i="17" s="1"/>
  <c r="Q26" i="9"/>
  <c r="J26" i="9"/>
  <c r="D26" i="9"/>
  <c r="AN155" i="17"/>
  <c r="D49" i="13"/>
  <c r="AX154" i="17"/>
  <c r="AW154" i="17"/>
  <c r="AV154" i="17"/>
  <c r="AX150" i="17"/>
  <c r="AW150" i="17"/>
  <c r="AV150" i="17"/>
  <c r="AN151" i="17"/>
  <c r="D47" i="12"/>
  <c r="AN143" i="17"/>
  <c r="AY142" i="17"/>
  <c r="AX142" i="17"/>
  <c r="AW142" i="17"/>
  <c r="AV142" i="17"/>
  <c r="AY158" i="17"/>
  <c r="AX158" i="17"/>
  <c r="AW158" i="17"/>
  <c r="AV158" i="17"/>
  <c r="E38" i="10"/>
  <c r="E29" i="10"/>
  <c r="E30" i="10"/>
  <c r="E31" i="10"/>
  <c r="E32" i="10"/>
  <c r="E33" i="10"/>
  <c r="E34" i="10"/>
  <c r="E35" i="10"/>
  <c r="E36" i="10"/>
  <c r="E37" i="10"/>
  <c r="E28" i="10"/>
  <c r="AN159" i="17"/>
  <c r="AN158" i="17" s="1"/>
  <c r="AO158" i="17" s="1"/>
  <c r="AN163" i="17"/>
  <c r="AN162" i="17" s="1"/>
  <c r="AO162" i="17" s="1"/>
  <c r="AN147" i="17"/>
  <c r="AT158" i="17"/>
  <c r="AS158" i="17"/>
  <c r="AR158" i="17"/>
  <c r="AQ158" i="17"/>
  <c r="P39" i="10"/>
  <c r="D39" i="10"/>
  <c r="J39" i="10"/>
  <c r="M24" i="10"/>
  <c r="O23" i="10"/>
  <c r="M23" i="10"/>
  <c r="D37" i="12"/>
  <c r="D38" i="12"/>
  <c r="D39" i="12"/>
  <c r="D40" i="12"/>
  <c r="D41" i="12"/>
  <c r="D42" i="12"/>
  <c r="D43" i="12"/>
  <c r="D44" i="12"/>
  <c r="D45" i="12"/>
  <c r="D36" i="12"/>
  <c r="D39" i="13"/>
  <c r="D40" i="13"/>
  <c r="D41" i="13"/>
  <c r="D42" i="13"/>
  <c r="D43" i="13"/>
  <c r="D44" i="13"/>
  <c r="D45" i="13"/>
  <c r="D46" i="13"/>
  <c r="D47" i="13"/>
  <c r="D38" i="13"/>
  <c r="P29" i="10"/>
  <c r="P30" i="10"/>
  <c r="P31" i="10"/>
  <c r="P32" i="10"/>
  <c r="P33" i="10"/>
  <c r="P34" i="10"/>
  <c r="P35" i="10"/>
  <c r="P36" i="10"/>
  <c r="P37" i="10"/>
  <c r="P28" i="10"/>
  <c r="AN142" i="17" l="1"/>
  <c r="AO142" i="17" s="1"/>
  <c r="AN144" i="17"/>
  <c r="AO144" i="17" s="1"/>
  <c r="AN148" i="17"/>
  <c r="AO148" i="17" s="1"/>
  <c r="AN146" i="17"/>
  <c r="AO146" i="17" s="1"/>
  <c r="AN150" i="17"/>
  <c r="AO150" i="17" s="1"/>
  <c r="AN152" i="17"/>
  <c r="AO152" i="17" s="1"/>
  <c r="AN156" i="17"/>
  <c r="AO156" i="17" s="1"/>
  <c r="AN154" i="17"/>
  <c r="AO154" i="17" s="1"/>
  <c r="D22" i="11"/>
  <c r="D23" i="11"/>
  <c r="D24" i="11"/>
  <c r="D25" i="11"/>
  <c r="D26" i="11"/>
  <c r="D27" i="11"/>
  <c r="D28" i="11"/>
  <c r="D29" i="11"/>
  <c r="D30" i="11"/>
  <c r="D21" i="11"/>
  <c r="AV57" i="23"/>
  <c r="D58" i="23"/>
  <c r="AV56" i="23"/>
  <c r="D57" i="23"/>
  <c r="AV55" i="23"/>
  <c r="D56" i="23"/>
  <c r="AV54" i="23"/>
  <c r="D55" i="23"/>
  <c r="AV53" i="23"/>
  <c r="D54" i="23"/>
  <c r="AV52" i="23"/>
  <c r="D53" i="23"/>
  <c r="AV51" i="23"/>
  <c r="D52" i="23"/>
  <c r="AV50" i="23"/>
  <c r="D51" i="23"/>
  <c r="AV49" i="23"/>
  <c r="D50" i="23"/>
  <c r="AV48" i="23"/>
  <c r="AV59" i="23" s="1"/>
  <c r="AN115" i="17" s="1"/>
  <c r="D49" i="23"/>
  <c r="AN114" i="17" l="1"/>
  <c r="AN116" i="17"/>
  <c r="AO116" i="17" s="1"/>
  <c r="D60" i="23"/>
  <c r="AN111" i="17" s="1"/>
  <c r="D32" i="11"/>
  <c r="Q16" i="9"/>
  <c r="Q17" i="9"/>
  <c r="Q18" i="9"/>
  <c r="Q19" i="9"/>
  <c r="Q20" i="9"/>
  <c r="Q21" i="9"/>
  <c r="Q22" i="9"/>
  <c r="Q23" i="9"/>
  <c r="Q24" i="9"/>
  <c r="Q15" i="9"/>
  <c r="J16" i="9"/>
  <c r="J17" i="9"/>
  <c r="J18" i="9"/>
  <c r="J19" i="9"/>
  <c r="J20" i="9"/>
  <c r="J21" i="9"/>
  <c r="J22" i="9"/>
  <c r="J23" i="9"/>
  <c r="J24" i="9"/>
  <c r="J15" i="9"/>
  <c r="D28" i="10"/>
  <c r="J28" i="10"/>
  <c r="D29" i="10"/>
  <c r="J29" i="10"/>
  <c r="D30" i="10"/>
  <c r="J30" i="10"/>
  <c r="D31" i="10"/>
  <c r="J31" i="10"/>
  <c r="D32" i="10"/>
  <c r="J32" i="10"/>
  <c r="D33" i="10"/>
  <c r="J33" i="10"/>
  <c r="D34" i="10"/>
  <c r="J34" i="10"/>
  <c r="D35" i="10"/>
  <c r="J35" i="10"/>
  <c r="D36" i="10"/>
  <c r="J36" i="10"/>
  <c r="D37" i="10"/>
  <c r="J37" i="10"/>
  <c r="D17" i="9"/>
  <c r="D18" i="9"/>
  <c r="D19" i="9"/>
  <c r="D20" i="9"/>
  <c r="D21" i="9"/>
  <c r="D22" i="9"/>
  <c r="D23" i="9"/>
  <c r="D24" i="9"/>
  <c r="D16" i="9"/>
  <c r="D15" i="9"/>
  <c r="D33" i="8"/>
  <c r="D34" i="8"/>
  <c r="D35" i="8"/>
  <c r="D36" i="8"/>
  <c r="D37" i="8"/>
  <c r="D38" i="8"/>
  <c r="D39" i="8"/>
  <c r="D40" i="8"/>
  <c r="D41" i="8"/>
  <c r="D32" i="8"/>
  <c r="D41" i="7"/>
  <c r="D42" i="7"/>
  <c r="D43" i="7"/>
  <c r="D44" i="7"/>
  <c r="D45" i="7"/>
  <c r="D46" i="7"/>
  <c r="D47" i="7"/>
  <c r="D48" i="7"/>
  <c r="D49" i="7"/>
  <c r="D40" i="7"/>
  <c r="D22" i="6"/>
  <c r="D23" i="6"/>
  <c r="D24" i="6"/>
  <c r="D25" i="6"/>
  <c r="D26" i="6"/>
  <c r="D27" i="6"/>
  <c r="D28" i="6"/>
  <c r="D29" i="6"/>
  <c r="D30" i="6"/>
  <c r="D21" i="6"/>
  <c r="V60" i="18"/>
  <c r="D38" i="18"/>
  <c r="V59" i="18"/>
  <c r="D37" i="18"/>
  <c r="V58" i="18"/>
  <c r="D36" i="18"/>
  <c r="V57" i="18"/>
  <c r="D35" i="18"/>
  <c r="V56" i="18"/>
  <c r="D34" i="18"/>
  <c r="V55" i="18"/>
  <c r="D33" i="18"/>
  <c r="V54" i="18"/>
  <c r="D32" i="18"/>
  <c r="V53" i="18"/>
  <c r="D31" i="18"/>
  <c r="V52" i="18"/>
  <c r="D30" i="18"/>
  <c r="V51" i="18"/>
  <c r="D29" i="18"/>
  <c r="D40" i="18" s="1"/>
  <c r="AK165" i="17"/>
  <c r="AH165" i="17"/>
  <c r="AE165" i="17"/>
  <c r="AB165" i="17"/>
  <c r="AK163" i="17"/>
  <c r="AH163" i="17"/>
  <c r="AE163" i="17"/>
  <c r="AB163" i="17"/>
  <c r="AK162" i="17"/>
  <c r="AH162" i="17"/>
  <c r="AE162" i="17"/>
  <c r="AB162" i="17"/>
  <c r="AK161" i="17"/>
  <c r="AH161" i="17"/>
  <c r="AE161" i="17"/>
  <c r="AB161" i="17"/>
  <c r="AK159" i="17"/>
  <c r="AH159" i="17"/>
  <c r="AE159" i="17"/>
  <c r="AB159" i="17"/>
  <c r="AK158" i="17"/>
  <c r="AH158" i="17"/>
  <c r="AE158" i="17"/>
  <c r="AB158" i="17"/>
  <c r="AK157" i="17"/>
  <c r="AH157" i="17"/>
  <c r="AE157" i="17"/>
  <c r="AB157" i="17"/>
  <c r="AK156" i="17"/>
  <c r="AH156" i="17"/>
  <c r="AE156" i="17"/>
  <c r="AB156" i="17"/>
  <c r="AK155" i="17"/>
  <c r="AH155" i="17"/>
  <c r="AE155" i="17"/>
  <c r="AB155" i="17"/>
  <c r="AK154" i="17"/>
  <c r="AH154" i="17"/>
  <c r="AE154" i="17"/>
  <c r="AB154" i="17"/>
  <c r="AK153" i="17"/>
  <c r="AH153" i="17"/>
  <c r="AE153" i="17"/>
  <c r="AB153" i="17"/>
  <c r="AK152" i="17"/>
  <c r="AH152" i="17"/>
  <c r="AE152" i="17"/>
  <c r="AB152" i="17"/>
  <c r="AK151" i="17"/>
  <c r="AH151" i="17"/>
  <c r="AE151" i="17"/>
  <c r="AB151" i="17"/>
  <c r="AK150" i="17"/>
  <c r="AH150" i="17"/>
  <c r="AE150" i="17"/>
  <c r="AB150" i="17"/>
  <c r="AK149" i="17"/>
  <c r="AH149" i="17"/>
  <c r="AE149" i="17"/>
  <c r="AB149" i="17"/>
  <c r="AK148" i="17"/>
  <c r="AH148" i="17"/>
  <c r="AE148" i="17"/>
  <c r="AB148" i="17"/>
  <c r="AK147" i="17"/>
  <c r="AH147" i="17"/>
  <c r="AE147" i="17"/>
  <c r="AB147" i="17"/>
  <c r="AK146" i="17"/>
  <c r="AH146" i="17"/>
  <c r="AE146" i="17"/>
  <c r="AB146" i="17"/>
  <c r="AK145" i="17"/>
  <c r="AH145" i="17"/>
  <c r="AE145" i="17"/>
  <c r="AB145" i="17"/>
  <c r="AK144" i="17"/>
  <c r="AH144" i="17"/>
  <c r="AE144" i="17"/>
  <c r="AB144" i="17"/>
  <c r="AK143" i="17"/>
  <c r="AH143" i="17"/>
  <c r="AE143" i="17"/>
  <c r="AB143" i="17"/>
  <c r="AK142" i="17"/>
  <c r="AH142" i="17"/>
  <c r="AE142" i="17"/>
  <c r="AB142" i="17"/>
  <c r="AK141" i="17"/>
  <c r="AH141" i="17"/>
  <c r="AE141" i="17"/>
  <c r="AB141" i="17"/>
  <c r="AK139" i="17"/>
  <c r="AH139" i="17"/>
  <c r="AE139" i="17"/>
  <c r="AB139" i="17"/>
  <c r="AK138" i="17"/>
  <c r="AH138" i="17"/>
  <c r="AE138" i="17"/>
  <c r="AB138" i="17"/>
  <c r="AK137" i="17"/>
  <c r="AH137" i="17"/>
  <c r="AE137" i="17"/>
  <c r="AB137" i="17"/>
  <c r="AK135" i="17"/>
  <c r="AH135" i="17"/>
  <c r="AE135" i="17"/>
  <c r="AB135" i="17"/>
  <c r="AK134" i="17"/>
  <c r="AH134" i="17"/>
  <c r="AE134" i="17"/>
  <c r="AB134" i="17"/>
  <c r="AK133" i="17"/>
  <c r="AH133" i="17"/>
  <c r="AE133" i="17"/>
  <c r="AB133" i="17"/>
  <c r="AK131" i="17"/>
  <c r="AH131" i="17"/>
  <c r="AE131" i="17"/>
  <c r="AB131" i="17"/>
  <c r="AK130" i="17"/>
  <c r="AH130" i="17"/>
  <c r="AE130" i="17"/>
  <c r="AB130" i="17"/>
  <c r="AK129" i="17"/>
  <c r="AH129" i="17"/>
  <c r="AE129" i="17"/>
  <c r="AB129" i="17"/>
  <c r="AK127" i="17"/>
  <c r="AH127" i="17"/>
  <c r="AE127" i="17"/>
  <c r="AB127" i="17"/>
  <c r="AK126" i="17"/>
  <c r="AH126" i="17"/>
  <c r="AE126" i="17"/>
  <c r="AB126" i="17"/>
  <c r="AK125" i="17"/>
  <c r="AH125" i="17"/>
  <c r="AE125" i="17"/>
  <c r="AB125" i="17"/>
  <c r="AK123" i="17"/>
  <c r="AH123" i="17"/>
  <c r="AE123" i="17"/>
  <c r="AB123" i="17"/>
  <c r="AK122" i="17"/>
  <c r="AH122" i="17"/>
  <c r="AE122" i="17"/>
  <c r="AB122" i="17"/>
  <c r="AK121" i="17"/>
  <c r="AH121" i="17"/>
  <c r="AE121" i="17"/>
  <c r="AB121" i="17"/>
  <c r="AK119" i="17"/>
  <c r="AH119" i="17"/>
  <c r="AE119" i="17"/>
  <c r="AB119" i="17"/>
  <c r="AK118" i="17"/>
  <c r="AH118" i="17"/>
  <c r="AE118" i="17"/>
  <c r="AB118" i="17"/>
  <c r="AK117" i="17"/>
  <c r="AH117" i="17"/>
  <c r="AE117" i="17"/>
  <c r="AB117" i="17"/>
  <c r="AK116" i="17"/>
  <c r="AH116" i="17"/>
  <c r="AE116" i="17"/>
  <c r="AB116" i="17"/>
  <c r="AK115" i="17"/>
  <c r="AH115" i="17"/>
  <c r="AE115" i="17"/>
  <c r="AB115" i="17"/>
  <c r="AK114" i="17"/>
  <c r="AH114" i="17"/>
  <c r="AE114" i="17"/>
  <c r="AB114" i="17"/>
  <c r="AK113" i="17"/>
  <c r="AH113" i="17"/>
  <c r="AE113" i="17"/>
  <c r="AB113" i="17"/>
  <c r="AK112" i="17"/>
  <c r="AH112" i="17"/>
  <c r="AE112" i="17"/>
  <c r="AB112" i="17"/>
  <c r="AK111" i="17"/>
  <c r="AH111" i="17"/>
  <c r="AE111" i="17"/>
  <c r="AB111" i="17"/>
  <c r="AK110" i="17"/>
  <c r="AH110" i="17"/>
  <c r="AE110" i="17"/>
  <c r="AB110" i="17"/>
  <c r="AK109" i="17"/>
  <c r="AH109" i="17"/>
  <c r="AE109" i="17"/>
  <c r="AB109" i="17"/>
  <c r="AK108" i="17"/>
  <c r="AH108" i="17"/>
  <c r="AE108" i="17"/>
  <c r="AB108" i="17"/>
  <c r="AK107" i="17"/>
  <c r="AH107" i="17"/>
  <c r="AE107" i="17"/>
  <c r="AB107" i="17"/>
  <c r="AK106" i="17"/>
  <c r="AH106" i="17"/>
  <c r="AE106" i="17"/>
  <c r="AB106" i="17"/>
  <c r="AK105" i="17"/>
  <c r="AH105" i="17"/>
  <c r="AE105" i="17"/>
  <c r="AB105" i="17"/>
  <c r="AK104" i="17"/>
  <c r="AH104" i="17"/>
  <c r="AE104" i="17"/>
  <c r="AB104" i="17"/>
  <c r="AK103" i="17"/>
  <c r="AH103" i="17"/>
  <c r="AE103" i="17"/>
  <c r="AB103" i="17"/>
  <c r="AK102" i="17"/>
  <c r="AH102" i="17"/>
  <c r="AE102" i="17"/>
  <c r="AB102" i="17"/>
  <c r="AK101" i="17"/>
  <c r="AH101" i="17"/>
  <c r="AE101" i="17"/>
  <c r="AB101" i="17"/>
  <c r="AK100" i="17"/>
  <c r="AH100" i="17"/>
  <c r="AE100" i="17"/>
  <c r="AB100" i="17"/>
  <c r="AK99" i="17"/>
  <c r="AH99" i="17"/>
  <c r="AE99" i="17"/>
  <c r="AB99" i="17"/>
  <c r="AK98" i="17"/>
  <c r="AH98" i="17"/>
  <c r="AE98" i="17"/>
  <c r="AB98" i="17"/>
  <c r="AK97" i="17"/>
  <c r="AH97" i="17"/>
  <c r="AE97" i="17"/>
  <c r="AB97" i="17"/>
  <c r="AK95" i="17"/>
  <c r="AH95" i="17"/>
  <c r="AE95" i="17"/>
  <c r="AB95" i="17"/>
  <c r="AK94" i="17"/>
  <c r="AH94" i="17"/>
  <c r="AE94" i="17"/>
  <c r="AB94" i="17"/>
  <c r="Y165" i="17"/>
  <c r="X165" i="17"/>
  <c r="U165" i="17"/>
  <c r="R165" i="17"/>
  <c r="O165" i="17"/>
  <c r="Y163" i="17"/>
  <c r="X163" i="17"/>
  <c r="U163" i="17"/>
  <c r="R163" i="17"/>
  <c r="O163" i="17"/>
  <c r="Y162" i="17"/>
  <c r="X162" i="17"/>
  <c r="U162" i="17"/>
  <c r="R162" i="17"/>
  <c r="O162" i="17"/>
  <c r="Y161" i="17"/>
  <c r="X161" i="17"/>
  <c r="U161" i="17"/>
  <c r="R161" i="17"/>
  <c r="O161" i="17"/>
  <c r="Y159" i="17"/>
  <c r="X159" i="17"/>
  <c r="U159" i="17"/>
  <c r="R159" i="17"/>
  <c r="O159" i="17"/>
  <c r="Y158" i="17"/>
  <c r="X158" i="17"/>
  <c r="U158" i="17"/>
  <c r="R158" i="17"/>
  <c r="O158" i="17"/>
  <c r="Y157" i="17"/>
  <c r="X157" i="17"/>
  <c r="U157" i="17"/>
  <c r="R157" i="17"/>
  <c r="O157" i="17"/>
  <c r="Y156" i="17"/>
  <c r="X156" i="17"/>
  <c r="U156" i="17"/>
  <c r="R156" i="17"/>
  <c r="O156" i="17"/>
  <c r="Y155" i="17"/>
  <c r="X155" i="17"/>
  <c r="U155" i="17"/>
  <c r="R155" i="17"/>
  <c r="O155" i="17"/>
  <c r="Y154" i="17"/>
  <c r="X154" i="17"/>
  <c r="U154" i="17"/>
  <c r="R154" i="17"/>
  <c r="O154" i="17"/>
  <c r="Y153" i="17"/>
  <c r="X153" i="17"/>
  <c r="U153" i="17"/>
  <c r="R153" i="17"/>
  <c r="O153" i="17"/>
  <c r="Y152" i="17"/>
  <c r="X152" i="17"/>
  <c r="U152" i="17"/>
  <c r="R152" i="17"/>
  <c r="O152" i="17"/>
  <c r="Y151" i="17"/>
  <c r="X151" i="17"/>
  <c r="U151" i="17"/>
  <c r="R151" i="17"/>
  <c r="O151" i="17"/>
  <c r="Y150" i="17"/>
  <c r="X150" i="17"/>
  <c r="U150" i="17"/>
  <c r="R150" i="17"/>
  <c r="O150" i="17"/>
  <c r="Y149" i="17"/>
  <c r="X149" i="17"/>
  <c r="U149" i="17"/>
  <c r="R149" i="17"/>
  <c r="O149" i="17"/>
  <c r="Y148" i="17"/>
  <c r="X148" i="17"/>
  <c r="U148" i="17"/>
  <c r="R148" i="17"/>
  <c r="O148" i="17"/>
  <c r="Y147" i="17"/>
  <c r="X147" i="17"/>
  <c r="U147" i="17"/>
  <c r="R147" i="17"/>
  <c r="O147" i="17"/>
  <c r="Y146" i="17"/>
  <c r="X146" i="17"/>
  <c r="U146" i="17"/>
  <c r="R146" i="17"/>
  <c r="O146" i="17"/>
  <c r="Y145" i="17"/>
  <c r="X145" i="17"/>
  <c r="U145" i="17"/>
  <c r="R145" i="17"/>
  <c r="O145" i="17"/>
  <c r="Y144" i="17"/>
  <c r="X144" i="17"/>
  <c r="U144" i="17"/>
  <c r="R144" i="17"/>
  <c r="O144" i="17"/>
  <c r="Y143" i="17"/>
  <c r="X143" i="17"/>
  <c r="U143" i="17"/>
  <c r="R143" i="17"/>
  <c r="O143" i="17"/>
  <c r="Y142" i="17"/>
  <c r="X142" i="17"/>
  <c r="U142" i="17"/>
  <c r="R142" i="17"/>
  <c r="O142" i="17"/>
  <c r="Y141" i="17"/>
  <c r="X141" i="17"/>
  <c r="U141" i="17"/>
  <c r="R141" i="17"/>
  <c r="O141" i="17"/>
  <c r="Y139" i="17"/>
  <c r="X139" i="17"/>
  <c r="U139" i="17"/>
  <c r="R139" i="17"/>
  <c r="O139" i="17"/>
  <c r="Y138" i="17"/>
  <c r="X138" i="17"/>
  <c r="U138" i="17"/>
  <c r="R138" i="17"/>
  <c r="O138" i="17"/>
  <c r="O105" i="17"/>
  <c r="R105" i="17"/>
  <c r="U105" i="17"/>
  <c r="X105" i="17"/>
  <c r="O106" i="17"/>
  <c r="R106" i="17"/>
  <c r="U106" i="17"/>
  <c r="X106" i="17"/>
  <c r="O107" i="17"/>
  <c r="R107" i="17"/>
  <c r="U107" i="17"/>
  <c r="X107" i="17"/>
  <c r="O108" i="17"/>
  <c r="R108" i="17"/>
  <c r="U108" i="17"/>
  <c r="X108" i="17"/>
  <c r="O109" i="17"/>
  <c r="R109" i="17"/>
  <c r="U109" i="17"/>
  <c r="X109" i="17"/>
  <c r="O110" i="17"/>
  <c r="R110" i="17"/>
  <c r="U110" i="17"/>
  <c r="X110" i="17"/>
  <c r="O111" i="17"/>
  <c r="R111" i="17"/>
  <c r="U111" i="17"/>
  <c r="X111" i="17"/>
  <c r="O112" i="17"/>
  <c r="R112" i="17"/>
  <c r="U112" i="17"/>
  <c r="X112" i="17"/>
  <c r="O113" i="17"/>
  <c r="R113" i="17"/>
  <c r="U113" i="17"/>
  <c r="X113" i="17"/>
  <c r="O114" i="17"/>
  <c r="R114" i="17"/>
  <c r="U114" i="17"/>
  <c r="X114" i="17"/>
  <c r="O115" i="17"/>
  <c r="R115" i="17"/>
  <c r="U115" i="17"/>
  <c r="X115" i="17"/>
  <c r="O116" i="17"/>
  <c r="R116" i="17"/>
  <c r="U116" i="17"/>
  <c r="X116" i="17"/>
  <c r="O117" i="17"/>
  <c r="R117" i="17"/>
  <c r="U117" i="17"/>
  <c r="X117" i="17"/>
  <c r="O118" i="17"/>
  <c r="R118" i="17"/>
  <c r="U118" i="17"/>
  <c r="X118" i="17"/>
  <c r="O119" i="17"/>
  <c r="R119" i="17"/>
  <c r="U119" i="17"/>
  <c r="X119" i="17"/>
  <c r="O121" i="17"/>
  <c r="R121" i="17"/>
  <c r="U121" i="17"/>
  <c r="X121" i="17"/>
  <c r="O122" i="17"/>
  <c r="R122" i="17"/>
  <c r="U122" i="17"/>
  <c r="X122" i="17"/>
  <c r="O123" i="17"/>
  <c r="R123" i="17"/>
  <c r="U123" i="17"/>
  <c r="X123" i="17"/>
  <c r="O125" i="17"/>
  <c r="R125" i="17"/>
  <c r="U125" i="17"/>
  <c r="X125" i="17"/>
  <c r="O126" i="17"/>
  <c r="R126" i="17"/>
  <c r="U126" i="17"/>
  <c r="X126" i="17"/>
  <c r="O127" i="17"/>
  <c r="R127" i="17"/>
  <c r="U127" i="17"/>
  <c r="X127" i="17"/>
  <c r="O129" i="17"/>
  <c r="R129" i="17"/>
  <c r="U129" i="17"/>
  <c r="X129" i="17"/>
  <c r="O130" i="17"/>
  <c r="R130" i="17"/>
  <c r="U130" i="17"/>
  <c r="X130" i="17"/>
  <c r="O131" i="17"/>
  <c r="R131" i="17"/>
  <c r="U131" i="17"/>
  <c r="X131" i="17"/>
  <c r="O133" i="17"/>
  <c r="R133" i="17"/>
  <c r="U133" i="17"/>
  <c r="X133" i="17"/>
  <c r="X134" i="17"/>
  <c r="X135" i="17"/>
  <c r="O137" i="17"/>
  <c r="R137" i="17"/>
  <c r="U137" i="17"/>
  <c r="X137" i="17"/>
  <c r="Y137" i="17"/>
  <c r="Y135" i="17"/>
  <c r="Y134" i="17"/>
  <c r="Y133" i="17"/>
  <c r="Y131" i="17"/>
  <c r="Y130" i="17"/>
  <c r="Y129" i="17"/>
  <c r="Y127" i="17"/>
  <c r="Y126" i="17"/>
  <c r="Y125" i="17"/>
  <c r="Y123" i="17"/>
  <c r="Y122" i="17"/>
  <c r="Y121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X104" i="17"/>
  <c r="U104" i="17"/>
  <c r="R104" i="17"/>
  <c r="O104" i="17"/>
  <c r="Y103" i="17"/>
  <c r="X103" i="17"/>
  <c r="U103" i="17"/>
  <c r="R103" i="17"/>
  <c r="O103" i="17"/>
  <c r="Y102" i="17"/>
  <c r="X102" i="17"/>
  <c r="U102" i="17"/>
  <c r="R102" i="17"/>
  <c r="O102" i="17"/>
  <c r="Y101" i="17"/>
  <c r="X101" i="17"/>
  <c r="U101" i="17"/>
  <c r="R101" i="17"/>
  <c r="O101" i="17"/>
  <c r="Y100" i="17"/>
  <c r="X100" i="17"/>
  <c r="U100" i="17"/>
  <c r="R100" i="17"/>
  <c r="O100" i="17"/>
  <c r="Y99" i="17"/>
  <c r="X99" i="17"/>
  <c r="U99" i="17"/>
  <c r="R99" i="17"/>
  <c r="O99" i="17"/>
  <c r="Y98" i="17"/>
  <c r="X98" i="17"/>
  <c r="U98" i="17"/>
  <c r="R98" i="17"/>
  <c r="O98" i="17"/>
  <c r="Y97" i="17"/>
  <c r="X97" i="17"/>
  <c r="U97" i="17"/>
  <c r="R97" i="17"/>
  <c r="O97" i="17"/>
  <c r="Y95" i="17"/>
  <c r="X95" i="17"/>
  <c r="U95" i="17"/>
  <c r="R95" i="17"/>
  <c r="O95" i="17"/>
  <c r="Y94" i="17"/>
  <c r="X94" i="17"/>
  <c r="U94" i="17"/>
  <c r="R94" i="17"/>
  <c r="O94" i="17"/>
  <c r="AK93" i="17"/>
  <c r="AH93" i="17"/>
  <c r="AE93" i="17"/>
  <c r="AB93" i="17"/>
  <c r="AK92" i="17"/>
  <c r="AH92" i="17"/>
  <c r="AE92" i="17"/>
  <c r="AB92" i="17"/>
  <c r="AK91" i="17"/>
  <c r="AH91" i="17"/>
  <c r="AE91" i="17"/>
  <c r="AB91" i="17"/>
  <c r="AK90" i="17"/>
  <c r="AH90" i="17"/>
  <c r="AE90" i="17"/>
  <c r="AB90" i="17"/>
  <c r="AK89" i="17"/>
  <c r="AH89" i="17"/>
  <c r="AE89" i="17"/>
  <c r="AB89" i="17"/>
  <c r="AK88" i="17"/>
  <c r="AH88" i="17"/>
  <c r="AE88" i="17"/>
  <c r="AB88" i="17"/>
  <c r="AK87" i="17"/>
  <c r="AH87" i="17"/>
  <c r="AE87" i="17"/>
  <c r="AB87" i="17"/>
  <c r="AK86" i="17"/>
  <c r="AH86" i="17"/>
  <c r="AE86" i="17"/>
  <c r="AB86" i="17"/>
  <c r="AK85" i="17"/>
  <c r="AH85" i="17"/>
  <c r="AE85" i="17"/>
  <c r="AB85" i="17"/>
  <c r="AK84" i="17"/>
  <c r="AH84" i="17"/>
  <c r="AE84" i="17"/>
  <c r="AB84" i="17"/>
  <c r="AK83" i="17"/>
  <c r="AH83" i="17"/>
  <c r="AE83" i="17"/>
  <c r="AB83" i="17"/>
  <c r="AK82" i="17"/>
  <c r="AH82" i="17"/>
  <c r="AE82" i="17"/>
  <c r="AB82" i="17"/>
  <c r="AK81" i="17"/>
  <c r="AH81" i="17"/>
  <c r="AE81" i="17"/>
  <c r="AB81" i="17"/>
  <c r="AK80" i="17"/>
  <c r="AH80" i="17"/>
  <c r="AE80" i="17"/>
  <c r="AB80" i="17"/>
  <c r="AK79" i="17"/>
  <c r="AH79" i="17"/>
  <c r="AE79" i="17"/>
  <c r="AB79" i="17"/>
  <c r="AK78" i="17"/>
  <c r="AH78" i="17"/>
  <c r="AE78" i="17"/>
  <c r="AB78" i="17"/>
  <c r="AK77" i="17"/>
  <c r="AH77" i="17"/>
  <c r="AE77" i="17"/>
  <c r="AB77" i="17"/>
  <c r="AK76" i="17"/>
  <c r="AH76" i="17"/>
  <c r="AE76" i="17"/>
  <c r="AB76" i="17"/>
  <c r="AK75" i="17"/>
  <c r="AH75" i="17"/>
  <c r="AE75" i="17"/>
  <c r="AB75" i="17"/>
  <c r="AK74" i="17"/>
  <c r="AH74" i="17"/>
  <c r="AE74" i="17"/>
  <c r="AB74" i="17"/>
  <c r="AK73" i="17"/>
  <c r="AH73" i="17"/>
  <c r="AE73" i="17"/>
  <c r="AB73" i="17"/>
  <c r="AK72" i="17"/>
  <c r="AH72" i="17"/>
  <c r="AE72" i="17"/>
  <c r="AB72" i="17"/>
  <c r="AK71" i="17"/>
  <c r="AH71" i="17"/>
  <c r="AE71" i="17"/>
  <c r="AB71" i="17"/>
  <c r="AK70" i="17"/>
  <c r="AH70" i="17"/>
  <c r="AE70" i="17"/>
  <c r="AB70" i="17"/>
  <c r="AK69" i="17"/>
  <c r="AH69" i="17"/>
  <c r="AE69" i="17"/>
  <c r="AB69" i="17"/>
  <c r="AK68" i="17"/>
  <c r="AH68" i="17"/>
  <c r="AE68" i="17"/>
  <c r="AB68" i="17"/>
  <c r="AK67" i="17"/>
  <c r="AH67" i="17"/>
  <c r="AE67" i="17"/>
  <c r="AB67" i="17"/>
  <c r="AK66" i="17"/>
  <c r="AH66" i="17"/>
  <c r="AE66" i="17"/>
  <c r="AB66" i="17"/>
  <c r="AK65" i="17"/>
  <c r="AH65" i="17"/>
  <c r="AE65" i="17"/>
  <c r="AB65" i="17"/>
  <c r="AK64" i="17"/>
  <c r="AH64" i="17"/>
  <c r="AE64" i="17"/>
  <c r="AB64" i="17"/>
  <c r="AK63" i="17"/>
  <c r="AH63" i="17"/>
  <c r="AE63" i="17"/>
  <c r="AB63" i="17"/>
  <c r="AK62" i="17"/>
  <c r="AH62" i="17"/>
  <c r="AE62" i="17"/>
  <c r="AB62" i="17"/>
  <c r="AK61" i="17"/>
  <c r="AH61" i="17"/>
  <c r="AE61" i="17"/>
  <c r="AB61" i="17"/>
  <c r="AK60" i="17"/>
  <c r="AH60" i="17"/>
  <c r="AE60" i="17"/>
  <c r="AB60" i="17"/>
  <c r="AK59" i="17"/>
  <c r="AH59" i="17"/>
  <c r="AE59" i="17"/>
  <c r="AB59" i="17"/>
  <c r="AK58" i="17"/>
  <c r="AH58" i="17"/>
  <c r="AE58" i="17"/>
  <c r="AB58" i="17"/>
  <c r="AK57" i="17"/>
  <c r="AH57" i="17"/>
  <c r="AE57" i="17"/>
  <c r="AB57" i="17"/>
  <c r="AK56" i="17"/>
  <c r="AH56" i="17"/>
  <c r="AE56" i="17"/>
  <c r="AB56" i="17"/>
  <c r="AK55" i="17"/>
  <c r="AH55" i="17"/>
  <c r="AE55" i="17"/>
  <c r="AB55" i="17"/>
  <c r="AK54" i="17"/>
  <c r="AH54" i="17"/>
  <c r="AE54" i="17"/>
  <c r="AB54" i="17"/>
  <c r="AK53" i="17"/>
  <c r="AH53" i="17"/>
  <c r="AE53" i="17"/>
  <c r="AB53" i="17"/>
  <c r="AK52" i="17"/>
  <c r="AH52" i="17"/>
  <c r="AE52" i="17"/>
  <c r="AB52" i="17"/>
  <c r="AK51" i="17"/>
  <c r="AH51" i="17"/>
  <c r="AE51" i="17"/>
  <c r="AB51" i="17"/>
  <c r="AK50" i="17"/>
  <c r="AH50" i="17"/>
  <c r="AE50" i="17"/>
  <c r="AB50" i="17"/>
  <c r="AK49" i="17"/>
  <c r="AH49" i="17"/>
  <c r="AE49" i="17"/>
  <c r="AB49" i="17"/>
  <c r="AK48" i="17"/>
  <c r="AH48" i="17"/>
  <c r="AE48" i="17"/>
  <c r="AB48" i="17"/>
  <c r="AK47" i="17"/>
  <c r="AH47" i="17"/>
  <c r="AE47" i="17"/>
  <c r="AB47" i="17"/>
  <c r="AK46" i="17"/>
  <c r="AH46" i="17"/>
  <c r="AE46" i="17"/>
  <c r="AB46" i="17"/>
  <c r="AK45" i="17"/>
  <c r="AH45" i="17"/>
  <c r="AE45" i="17"/>
  <c r="AB45" i="17"/>
  <c r="AK44" i="17"/>
  <c r="AH44" i="17"/>
  <c r="AE44" i="17"/>
  <c r="AB44" i="17"/>
  <c r="AK43" i="17"/>
  <c r="AH43" i="17"/>
  <c r="AE43" i="17"/>
  <c r="AB43" i="17"/>
  <c r="AK42" i="17"/>
  <c r="AH42" i="17"/>
  <c r="AE42" i="17"/>
  <c r="AB42" i="17"/>
  <c r="AK41" i="17"/>
  <c r="AH41" i="17"/>
  <c r="AE41" i="17"/>
  <c r="AB41" i="17"/>
  <c r="AK40" i="17"/>
  <c r="AH40" i="17"/>
  <c r="AE40" i="17"/>
  <c r="AB40" i="17"/>
  <c r="AK39" i="17"/>
  <c r="AH39" i="17"/>
  <c r="AE39" i="17"/>
  <c r="AB39" i="17"/>
  <c r="AK38" i="17"/>
  <c r="AH38" i="17"/>
  <c r="AE38" i="17"/>
  <c r="AB38" i="17"/>
  <c r="AK37" i="17"/>
  <c r="AH37" i="17"/>
  <c r="AE37" i="17"/>
  <c r="AB37" i="17"/>
  <c r="AK36" i="17"/>
  <c r="AH36" i="17"/>
  <c r="AE36" i="17"/>
  <c r="AB36" i="17"/>
  <c r="AK35" i="17"/>
  <c r="AH35" i="17"/>
  <c r="AE35" i="17"/>
  <c r="AB35" i="17"/>
  <c r="AK34" i="17"/>
  <c r="AH34" i="17"/>
  <c r="AE34" i="17"/>
  <c r="AB34" i="17"/>
  <c r="AK33" i="17"/>
  <c r="AH33" i="17"/>
  <c r="AE33" i="17"/>
  <c r="AB33" i="17"/>
  <c r="AK32" i="17"/>
  <c r="AH32" i="17"/>
  <c r="AE32" i="17"/>
  <c r="AB32" i="17"/>
  <c r="AK31" i="17"/>
  <c r="AH31" i="17"/>
  <c r="AE31" i="17"/>
  <c r="AB31" i="17"/>
  <c r="AK30" i="17"/>
  <c r="AH30" i="17"/>
  <c r="AE30" i="17"/>
  <c r="AB30" i="17"/>
  <c r="AK29" i="17"/>
  <c r="AH29" i="17"/>
  <c r="AE29" i="17"/>
  <c r="AB29" i="17"/>
  <c r="AK28" i="17"/>
  <c r="AH28" i="17"/>
  <c r="AE28" i="17"/>
  <c r="AB28" i="17"/>
  <c r="AK27" i="17"/>
  <c r="AH27" i="17"/>
  <c r="AE27" i="17"/>
  <c r="AB27" i="17"/>
  <c r="AK26" i="17"/>
  <c r="AH26" i="17"/>
  <c r="AE26" i="17"/>
  <c r="AB26" i="17"/>
  <c r="AK25" i="17"/>
  <c r="AH25" i="17"/>
  <c r="AE25" i="17"/>
  <c r="AB25" i="17"/>
  <c r="AK24" i="17"/>
  <c r="AH24" i="17"/>
  <c r="AE24" i="17"/>
  <c r="AB24" i="17"/>
  <c r="AK23" i="17"/>
  <c r="AH23" i="17"/>
  <c r="AE23" i="17"/>
  <c r="AB23" i="17"/>
  <c r="AK22" i="17"/>
  <c r="AH22" i="17"/>
  <c r="AE22" i="17"/>
  <c r="AB22" i="17"/>
  <c r="AK21" i="17"/>
  <c r="AH21" i="17"/>
  <c r="AE21" i="17"/>
  <c r="AB21" i="17"/>
  <c r="AK20" i="17"/>
  <c r="AE20" i="17"/>
  <c r="AB20" i="17"/>
  <c r="AK19" i="17"/>
  <c r="AH19" i="17"/>
  <c r="AE19" i="17"/>
  <c r="AB19" i="17"/>
  <c r="AK18" i="17"/>
  <c r="AH18" i="17"/>
  <c r="AE18" i="17"/>
  <c r="AB18" i="17"/>
  <c r="AK17" i="17"/>
  <c r="AH17" i="17"/>
  <c r="AE17" i="17"/>
  <c r="AB17" i="17"/>
  <c r="AK16" i="17"/>
  <c r="AH16" i="17"/>
  <c r="AE16" i="17"/>
  <c r="AB16" i="17"/>
  <c r="AK15" i="17"/>
  <c r="AH15" i="17"/>
  <c r="AE15" i="17"/>
  <c r="AB15" i="17"/>
  <c r="AK13" i="17"/>
  <c r="AH13" i="17"/>
  <c r="AE13" i="17"/>
  <c r="AB13" i="17"/>
  <c r="AK12" i="17"/>
  <c r="AH12" i="17"/>
  <c r="AE12" i="17"/>
  <c r="AB12" i="17"/>
  <c r="AK11" i="17"/>
  <c r="AH11" i="17"/>
  <c r="AE11" i="17"/>
  <c r="AB11" i="17"/>
  <c r="AK10" i="17"/>
  <c r="AH10" i="17"/>
  <c r="AE10" i="17"/>
  <c r="AB10" i="17"/>
  <c r="AK9" i="17"/>
  <c r="AH9" i="17"/>
  <c r="AE9" i="17"/>
  <c r="AB9" i="17"/>
  <c r="AK8" i="17"/>
  <c r="AH8" i="17"/>
  <c r="AE8" i="17"/>
  <c r="AB8" i="17"/>
  <c r="AK7" i="17"/>
  <c r="AH7" i="17"/>
  <c r="AE7" i="17"/>
  <c r="AB7" i="17"/>
  <c r="AK6" i="17"/>
  <c r="AH6" i="17"/>
  <c r="AE6" i="17"/>
  <c r="AB6" i="17"/>
  <c r="AK5" i="17"/>
  <c r="AH5" i="17"/>
  <c r="AE5" i="17"/>
  <c r="AB5" i="17"/>
  <c r="AK4" i="17"/>
  <c r="AH4" i="17"/>
  <c r="AE4" i="17"/>
  <c r="AB4" i="17"/>
  <c r="AK3" i="17"/>
  <c r="AH3" i="17"/>
  <c r="AE3" i="17"/>
  <c r="AB3" i="17"/>
  <c r="X93" i="17"/>
  <c r="U93" i="17"/>
  <c r="R93" i="17"/>
  <c r="O93" i="17"/>
  <c r="X92" i="17"/>
  <c r="U92" i="17"/>
  <c r="R92" i="17"/>
  <c r="O92" i="17"/>
  <c r="X91" i="17"/>
  <c r="U91" i="17"/>
  <c r="R91" i="17"/>
  <c r="O91" i="17"/>
  <c r="X90" i="17"/>
  <c r="U90" i="17"/>
  <c r="R90" i="17"/>
  <c r="O90" i="17"/>
  <c r="X89" i="17"/>
  <c r="U89" i="17"/>
  <c r="R89" i="17"/>
  <c r="O89" i="17"/>
  <c r="X88" i="17"/>
  <c r="U88" i="17"/>
  <c r="R88" i="17"/>
  <c r="O88" i="17"/>
  <c r="X87" i="17"/>
  <c r="U87" i="17"/>
  <c r="R87" i="17"/>
  <c r="O87" i="17"/>
  <c r="X86" i="17"/>
  <c r="U86" i="17"/>
  <c r="R86" i="17"/>
  <c r="O86" i="17"/>
  <c r="X85" i="17"/>
  <c r="U85" i="17"/>
  <c r="R85" i="17"/>
  <c r="O85" i="17"/>
  <c r="X84" i="17"/>
  <c r="U84" i="17"/>
  <c r="R84" i="17"/>
  <c r="O84" i="17"/>
  <c r="X83" i="17"/>
  <c r="U83" i="17"/>
  <c r="R83" i="17"/>
  <c r="O83" i="17"/>
  <c r="X82" i="17"/>
  <c r="U82" i="17"/>
  <c r="R82" i="17"/>
  <c r="O82" i="17"/>
  <c r="X81" i="17"/>
  <c r="U81" i="17"/>
  <c r="R81" i="17"/>
  <c r="O81" i="17"/>
  <c r="X80" i="17"/>
  <c r="U80" i="17"/>
  <c r="R80" i="17"/>
  <c r="O80" i="17"/>
  <c r="X79" i="17"/>
  <c r="U79" i="17"/>
  <c r="R79" i="17"/>
  <c r="O79" i="17"/>
  <c r="X78" i="17"/>
  <c r="U78" i="17"/>
  <c r="R78" i="17"/>
  <c r="O78" i="17"/>
  <c r="X77" i="17"/>
  <c r="U77" i="17"/>
  <c r="R77" i="17"/>
  <c r="O77" i="17"/>
  <c r="X76" i="17"/>
  <c r="U76" i="17"/>
  <c r="R76" i="17"/>
  <c r="O76" i="17"/>
  <c r="X75" i="17"/>
  <c r="U75" i="17"/>
  <c r="R75" i="17"/>
  <c r="O75" i="17"/>
  <c r="X74" i="17"/>
  <c r="U74" i="17"/>
  <c r="R74" i="17"/>
  <c r="O74" i="17"/>
  <c r="X73" i="17"/>
  <c r="U73" i="17"/>
  <c r="R73" i="17"/>
  <c r="O73" i="17"/>
  <c r="X72" i="17"/>
  <c r="U72" i="17"/>
  <c r="R72" i="17"/>
  <c r="O72" i="17"/>
  <c r="X71" i="17"/>
  <c r="U71" i="17"/>
  <c r="R71" i="17"/>
  <c r="O71" i="17"/>
  <c r="X70" i="17"/>
  <c r="U70" i="17"/>
  <c r="R70" i="17"/>
  <c r="O70" i="17"/>
  <c r="X69" i="17"/>
  <c r="U69" i="17"/>
  <c r="R69" i="17"/>
  <c r="O69" i="17"/>
  <c r="X68" i="17"/>
  <c r="U68" i="17"/>
  <c r="R68" i="17"/>
  <c r="O68" i="17"/>
  <c r="X67" i="17"/>
  <c r="U67" i="17"/>
  <c r="R67" i="17"/>
  <c r="O67" i="17"/>
  <c r="X66" i="17"/>
  <c r="U66" i="17"/>
  <c r="R66" i="17"/>
  <c r="O66" i="17"/>
  <c r="X65" i="17"/>
  <c r="U65" i="17"/>
  <c r="R65" i="17"/>
  <c r="O65" i="17"/>
  <c r="X64" i="17"/>
  <c r="U64" i="17"/>
  <c r="R64" i="17"/>
  <c r="O64" i="17"/>
  <c r="X63" i="17"/>
  <c r="U63" i="17"/>
  <c r="R63" i="17"/>
  <c r="O63" i="17"/>
  <c r="X62" i="17"/>
  <c r="U62" i="17"/>
  <c r="R62" i="17"/>
  <c r="O62" i="17"/>
  <c r="X61" i="17"/>
  <c r="U61" i="17"/>
  <c r="R61" i="17"/>
  <c r="O61" i="17"/>
  <c r="X60" i="17"/>
  <c r="U60" i="17"/>
  <c r="R60" i="17"/>
  <c r="O60" i="17"/>
  <c r="X59" i="17"/>
  <c r="U59" i="17"/>
  <c r="R59" i="17"/>
  <c r="O59" i="17"/>
  <c r="X58" i="17"/>
  <c r="U58" i="17"/>
  <c r="R58" i="17"/>
  <c r="O58" i="17"/>
  <c r="X57" i="17"/>
  <c r="U57" i="17"/>
  <c r="R57" i="17"/>
  <c r="O57" i="17"/>
  <c r="X56" i="17"/>
  <c r="U56" i="17"/>
  <c r="R56" i="17"/>
  <c r="O56" i="17"/>
  <c r="X55" i="17"/>
  <c r="U55" i="17"/>
  <c r="R55" i="17"/>
  <c r="O55" i="17"/>
  <c r="X54" i="17"/>
  <c r="U54" i="17"/>
  <c r="R54" i="17"/>
  <c r="O54" i="17"/>
  <c r="X53" i="17"/>
  <c r="U53" i="17"/>
  <c r="R53" i="17"/>
  <c r="O53" i="17"/>
  <c r="X52" i="17"/>
  <c r="U52" i="17"/>
  <c r="R52" i="17"/>
  <c r="O52" i="17"/>
  <c r="X51" i="17"/>
  <c r="U51" i="17"/>
  <c r="R51" i="17"/>
  <c r="O51" i="17"/>
  <c r="X50" i="17"/>
  <c r="U50" i="17"/>
  <c r="R50" i="17"/>
  <c r="O50" i="17"/>
  <c r="X49" i="17"/>
  <c r="U49" i="17"/>
  <c r="R49" i="17"/>
  <c r="O49" i="17"/>
  <c r="X48" i="17"/>
  <c r="U48" i="17"/>
  <c r="R48" i="17"/>
  <c r="O48" i="17"/>
  <c r="X47" i="17"/>
  <c r="U47" i="17"/>
  <c r="R47" i="17"/>
  <c r="O47" i="17"/>
  <c r="X46" i="17"/>
  <c r="U46" i="17"/>
  <c r="R46" i="17"/>
  <c r="O46" i="17"/>
  <c r="X45" i="17"/>
  <c r="U45" i="17"/>
  <c r="R45" i="17"/>
  <c r="O45" i="17"/>
  <c r="X44" i="17"/>
  <c r="U44" i="17"/>
  <c r="R44" i="17"/>
  <c r="O44" i="17"/>
  <c r="X43" i="17"/>
  <c r="U43" i="17"/>
  <c r="R43" i="17"/>
  <c r="O43" i="17"/>
  <c r="X42" i="17"/>
  <c r="U42" i="17"/>
  <c r="R42" i="17"/>
  <c r="O42" i="17"/>
  <c r="X41" i="17"/>
  <c r="U41" i="17"/>
  <c r="R41" i="17"/>
  <c r="O41" i="17"/>
  <c r="X40" i="17"/>
  <c r="U40" i="17"/>
  <c r="R40" i="17"/>
  <c r="O40" i="17"/>
  <c r="X39" i="17"/>
  <c r="U39" i="17"/>
  <c r="R39" i="17"/>
  <c r="O39" i="17"/>
  <c r="X38" i="17"/>
  <c r="U38" i="17"/>
  <c r="R38" i="17"/>
  <c r="O38" i="17"/>
  <c r="X37" i="17"/>
  <c r="U37" i="17"/>
  <c r="R37" i="17"/>
  <c r="O37" i="17"/>
  <c r="X36" i="17"/>
  <c r="U36" i="17"/>
  <c r="R36" i="17"/>
  <c r="O36" i="17"/>
  <c r="X35" i="17"/>
  <c r="U35" i="17"/>
  <c r="R35" i="17"/>
  <c r="O35" i="17"/>
  <c r="X34" i="17"/>
  <c r="U34" i="17"/>
  <c r="R34" i="17"/>
  <c r="O34" i="17"/>
  <c r="X33" i="17"/>
  <c r="U33" i="17"/>
  <c r="R33" i="17"/>
  <c r="O33" i="17"/>
  <c r="X32" i="17"/>
  <c r="U32" i="17"/>
  <c r="R32" i="17"/>
  <c r="O32" i="17"/>
  <c r="X31" i="17"/>
  <c r="U31" i="17"/>
  <c r="R31" i="17"/>
  <c r="O31" i="17"/>
  <c r="X30" i="17"/>
  <c r="U30" i="17"/>
  <c r="R30" i="17"/>
  <c r="O30" i="17"/>
  <c r="X29" i="17"/>
  <c r="U29" i="17"/>
  <c r="R29" i="17"/>
  <c r="O29" i="17"/>
  <c r="X28" i="17"/>
  <c r="U28" i="17"/>
  <c r="R28" i="17"/>
  <c r="O28" i="17"/>
  <c r="X27" i="17"/>
  <c r="U27" i="17"/>
  <c r="R27" i="17"/>
  <c r="O27" i="17"/>
  <c r="X26" i="17"/>
  <c r="U26" i="17"/>
  <c r="R26" i="17"/>
  <c r="O26" i="17"/>
  <c r="X25" i="17"/>
  <c r="U25" i="17"/>
  <c r="R25" i="17"/>
  <c r="O25" i="17"/>
  <c r="X24" i="17"/>
  <c r="U24" i="17"/>
  <c r="R24" i="17"/>
  <c r="O24" i="17"/>
  <c r="X23" i="17"/>
  <c r="U23" i="17"/>
  <c r="R23" i="17"/>
  <c r="O23" i="17"/>
  <c r="X22" i="17"/>
  <c r="U22" i="17"/>
  <c r="R22" i="17"/>
  <c r="O22" i="17"/>
  <c r="X21" i="17"/>
  <c r="U21" i="17"/>
  <c r="R21" i="17"/>
  <c r="O21" i="17"/>
  <c r="X20" i="17"/>
  <c r="U20" i="17"/>
  <c r="R20" i="17"/>
  <c r="O20" i="17"/>
  <c r="X19" i="17"/>
  <c r="U19" i="17"/>
  <c r="R19" i="17"/>
  <c r="O19" i="17"/>
  <c r="X18" i="17"/>
  <c r="U18" i="17"/>
  <c r="R18" i="17"/>
  <c r="O18" i="17"/>
  <c r="X17" i="17"/>
  <c r="U17" i="17"/>
  <c r="R17" i="17"/>
  <c r="O17" i="17"/>
  <c r="X16" i="17"/>
  <c r="U16" i="17"/>
  <c r="R16" i="17"/>
  <c r="O16" i="17"/>
  <c r="X15" i="17"/>
  <c r="U15" i="17"/>
  <c r="R15" i="17"/>
  <c r="O15" i="17"/>
  <c r="X13" i="17"/>
  <c r="U13" i="17"/>
  <c r="R13" i="17"/>
  <c r="O13" i="17"/>
  <c r="X12" i="17"/>
  <c r="U12" i="17"/>
  <c r="R12" i="17"/>
  <c r="O12" i="17"/>
  <c r="X11" i="17"/>
  <c r="U11" i="17"/>
  <c r="R11" i="17"/>
  <c r="O11" i="17"/>
  <c r="X10" i="17"/>
  <c r="U10" i="17"/>
  <c r="R10" i="17"/>
  <c r="O10" i="17"/>
  <c r="X9" i="17"/>
  <c r="U9" i="17"/>
  <c r="R9" i="17"/>
  <c r="O9" i="17"/>
  <c r="X8" i="17"/>
  <c r="U8" i="17"/>
  <c r="R8" i="17"/>
  <c r="O8" i="17"/>
  <c r="X7" i="17"/>
  <c r="U7" i="17"/>
  <c r="R7" i="17"/>
  <c r="O7" i="17"/>
  <c r="X6" i="17"/>
  <c r="U6" i="17"/>
  <c r="R6" i="17"/>
  <c r="O6" i="17"/>
  <c r="X5" i="17"/>
  <c r="U5" i="17"/>
  <c r="R5" i="17"/>
  <c r="O5" i="17"/>
  <c r="X4" i="17"/>
  <c r="U4" i="17"/>
  <c r="R4" i="17"/>
  <c r="O4" i="17"/>
  <c r="X3" i="17"/>
  <c r="U3" i="17"/>
  <c r="R3" i="17"/>
  <c r="O3" i="17"/>
  <c r="AO114" i="17" l="1"/>
  <c r="AN118" i="17"/>
  <c r="AO118" i="17" s="1"/>
  <c r="AN112" i="17"/>
  <c r="AO112" i="17" s="1"/>
  <c r="AN110" i="17"/>
  <c r="AO110" i="17" s="1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6" i="16" s="1"/>
  <c r="Q25" i="16"/>
  <c r="Q2" i="16"/>
  <c r="P24" i="16"/>
  <c r="P22" i="16"/>
  <c r="P20" i="16"/>
  <c r="P18" i="16"/>
  <c r="P16" i="16"/>
  <c r="P13" i="16"/>
  <c r="P11" i="16"/>
  <c r="P10" i="16"/>
  <c r="P9" i="16"/>
  <c r="P5" i="16"/>
  <c r="P6" i="16"/>
  <c r="P7" i="16"/>
  <c r="P4" i="16"/>
  <c r="P25" i="16"/>
  <c r="P23" i="16"/>
  <c r="P21" i="16"/>
  <c r="P19" i="16"/>
  <c r="P17" i="16"/>
  <c r="P14" i="16"/>
  <c r="P15" i="16"/>
  <c r="P12" i="16"/>
  <c r="P8" i="16"/>
  <c r="P3" i="16"/>
  <c r="P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" i="16"/>
  <c r="N24" i="16"/>
  <c r="N22" i="16"/>
  <c r="N20" i="16"/>
  <c r="N18" i="16"/>
  <c r="N16" i="16"/>
  <c r="N13" i="16"/>
  <c r="N10" i="16"/>
  <c r="N11" i="16"/>
  <c r="N9" i="16"/>
  <c r="N5" i="16"/>
  <c r="N6" i="16"/>
  <c r="N7" i="16"/>
  <c r="N4" i="16"/>
  <c r="N25" i="16"/>
  <c r="N23" i="16"/>
  <c r="N21" i="16"/>
  <c r="N19" i="16"/>
  <c r="N17" i="16"/>
  <c r="N15" i="16"/>
  <c r="N14" i="16"/>
  <c r="N12" i="16"/>
  <c r="N8" i="16"/>
  <c r="N3" i="16"/>
  <c r="N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" i="16"/>
  <c r="E24" i="16"/>
  <c r="E22" i="16"/>
  <c r="E20" i="16"/>
  <c r="E18" i="16"/>
  <c r="E16" i="16"/>
  <c r="E13" i="16"/>
  <c r="E10" i="16"/>
  <c r="E11" i="16"/>
  <c r="E9" i="16"/>
  <c r="E5" i="16"/>
  <c r="E6" i="16"/>
  <c r="E7" i="16"/>
  <c r="E4" i="16"/>
  <c r="E25" i="16"/>
  <c r="E23" i="16"/>
  <c r="E21" i="16"/>
  <c r="E19" i="16"/>
  <c r="E17" i="16"/>
  <c r="E15" i="16"/>
  <c r="E14" i="16"/>
  <c r="E12" i="16"/>
  <c r="E8" i="16"/>
  <c r="E3" i="16"/>
  <c r="E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" i="16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" i="15"/>
  <c r="P3" i="14"/>
  <c r="P4" i="14"/>
  <c r="Q4" i="14" s="1"/>
  <c r="P5" i="14"/>
  <c r="P6" i="14"/>
  <c r="Q6" i="14" s="1"/>
  <c r="P7" i="14"/>
  <c r="P8" i="14"/>
  <c r="Q8" i="14" s="1"/>
  <c r="P9" i="14"/>
  <c r="P10" i="14"/>
  <c r="Q10" i="14" s="1"/>
  <c r="P11" i="14"/>
  <c r="P12" i="14"/>
  <c r="Q12" i="14" s="1"/>
  <c r="P13" i="14"/>
  <c r="P14" i="14"/>
  <c r="Q14" i="14" s="1"/>
  <c r="P15" i="14"/>
  <c r="P16" i="14"/>
  <c r="Q16" i="14" s="1"/>
  <c r="P2" i="14"/>
  <c r="Q3" i="14"/>
  <c r="Q5" i="14"/>
  <c r="Q7" i="14"/>
  <c r="Q9" i="14"/>
  <c r="Q11" i="14"/>
  <c r="Q13" i="14"/>
  <c r="Q15" i="14"/>
  <c r="Q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2" i="14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3" i="13"/>
  <c r="AY154" i="17" s="1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3" i="13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3" i="12"/>
  <c r="AY150" i="17" s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3" i="12"/>
  <c r="M6" i="11"/>
  <c r="M10" i="11"/>
  <c r="M14" i="11"/>
  <c r="J4" i="11"/>
  <c r="M4" i="11" s="1"/>
  <c r="J5" i="11"/>
  <c r="M5" i="11" s="1"/>
  <c r="J6" i="11"/>
  <c r="J7" i="11"/>
  <c r="M7" i="11" s="1"/>
  <c r="J8" i="11"/>
  <c r="M8" i="11" s="1"/>
  <c r="J9" i="11"/>
  <c r="M9" i="11" s="1"/>
  <c r="J10" i="11"/>
  <c r="J11" i="11"/>
  <c r="M11" i="11" s="1"/>
  <c r="J12" i="11"/>
  <c r="M12" i="11" s="1"/>
  <c r="J13" i="11"/>
  <c r="M13" i="11" s="1"/>
  <c r="J14" i="11"/>
  <c r="J15" i="11"/>
  <c r="M15" i="11" s="1"/>
  <c r="J3" i="11"/>
  <c r="M3" i="11" s="1"/>
  <c r="F4" i="11"/>
  <c r="F8" i="11"/>
  <c r="F12" i="11"/>
  <c r="N12" i="11" s="1"/>
  <c r="F3" i="11"/>
  <c r="E4" i="11"/>
  <c r="E5" i="11"/>
  <c r="F5" i="11" s="1"/>
  <c r="E6" i="11"/>
  <c r="F6" i="11" s="1"/>
  <c r="N6" i="11" s="1"/>
  <c r="E7" i="11"/>
  <c r="F7" i="11" s="1"/>
  <c r="E8" i="11"/>
  <c r="E9" i="11"/>
  <c r="F9" i="11" s="1"/>
  <c r="E10" i="11"/>
  <c r="F10" i="11" s="1"/>
  <c r="N10" i="11" s="1"/>
  <c r="E11" i="11"/>
  <c r="F11" i="11" s="1"/>
  <c r="E12" i="11"/>
  <c r="E13" i="11"/>
  <c r="F13" i="11" s="1"/>
  <c r="E14" i="11"/>
  <c r="F14" i="11" s="1"/>
  <c r="N14" i="11" s="1"/>
  <c r="E15" i="11"/>
  <c r="F15" i="11" s="1"/>
  <c r="E3" i="11"/>
  <c r="J3" i="10"/>
  <c r="M3" i="10" s="1"/>
  <c r="J4" i="10"/>
  <c r="M4" i="10" s="1"/>
  <c r="J5" i="10"/>
  <c r="M5" i="10" s="1"/>
  <c r="J6" i="10"/>
  <c r="M6" i="10" s="1"/>
  <c r="J7" i="10"/>
  <c r="M7" i="10" s="1"/>
  <c r="J8" i="10"/>
  <c r="M8" i="10" s="1"/>
  <c r="J9" i="10"/>
  <c r="M9" i="10" s="1"/>
  <c r="J10" i="10"/>
  <c r="M10" i="10" s="1"/>
  <c r="J11" i="10"/>
  <c r="M11" i="10" s="1"/>
  <c r="J12" i="10"/>
  <c r="M12" i="10" s="1"/>
  <c r="J13" i="10"/>
  <c r="M13" i="10" s="1"/>
  <c r="J14" i="10"/>
  <c r="M14" i="10" s="1"/>
  <c r="J15" i="10"/>
  <c r="M15" i="10" s="1"/>
  <c r="J16" i="10"/>
  <c r="M16" i="10" s="1"/>
  <c r="J17" i="10"/>
  <c r="M17" i="10" s="1"/>
  <c r="J18" i="10"/>
  <c r="M18" i="10" s="1"/>
  <c r="J19" i="10"/>
  <c r="M19" i="10" s="1"/>
  <c r="J20" i="10"/>
  <c r="M20" i="10" s="1"/>
  <c r="J21" i="10"/>
  <c r="M21" i="10" s="1"/>
  <c r="J2" i="10"/>
  <c r="M2" i="10" s="1"/>
  <c r="E3" i="10"/>
  <c r="F3" i="10" s="1"/>
  <c r="E4" i="10"/>
  <c r="F4" i="10" s="1"/>
  <c r="E5" i="10"/>
  <c r="F5" i="10" s="1"/>
  <c r="N5" i="10" s="1"/>
  <c r="E6" i="10"/>
  <c r="F6" i="10" s="1"/>
  <c r="E7" i="10"/>
  <c r="F7" i="10" s="1"/>
  <c r="E8" i="10"/>
  <c r="F8" i="10" s="1"/>
  <c r="E9" i="10"/>
  <c r="F9" i="10" s="1"/>
  <c r="N9" i="10" s="1"/>
  <c r="E10" i="10"/>
  <c r="F10" i="10" s="1"/>
  <c r="E11" i="10"/>
  <c r="F11" i="10" s="1"/>
  <c r="E12" i="10"/>
  <c r="F12" i="10" s="1"/>
  <c r="E13" i="10"/>
  <c r="F13" i="10" s="1"/>
  <c r="N13" i="10" s="1"/>
  <c r="E14" i="10"/>
  <c r="F14" i="10" s="1"/>
  <c r="E15" i="10"/>
  <c r="F15" i="10" s="1"/>
  <c r="E16" i="10"/>
  <c r="F16" i="10" s="1"/>
  <c r="E17" i="10"/>
  <c r="F17" i="10" s="1"/>
  <c r="N17" i="10" s="1"/>
  <c r="E18" i="10"/>
  <c r="F18" i="10" s="1"/>
  <c r="E19" i="10"/>
  <c r="F19" i="10" s="1"/>
  <c r="E20" i="10"/>
  <c r="F20" i="10" s="1"/>
  <c r="E21" i="10"/>
  <c r="F21" i="10" s="1"/>
  <c r="N21" i="10" s="1"/>
  <c r="E2" i="10"/>
  <c r="F2" i="10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52" i="3"/>
  <c r="O153" i="3"/>
  <c r="O154" i="3"/>
  <c r="O155" i="3"/>
  <c r="O156" i="3"/>
  <c r="O157" i="3"/>
  <c r="O158" i="3"/>
  <c r="O159" i="3"/>
  <c r="O160" i="3"/>
  <c r="O161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4" i="3"/>
  <c r="O144" i="3" s="1"/>
  <c r="N148" i="3"/>
  <c r="O148" i="3" s="1"/>
  <c r="N152" i="3"/>
  <c r="N153" i="3"/>
  <c r="N154" i="3"/>
  <c r="N155" i="3"/>
  <c r="N156" i="3"/>
  <c r="N157" i="3"/>
  <c r="N158" i="3"/>
  <c r="N159" i="3"/>
  <c r="N160" i="3"/>
  <c r="N161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4" i="3"/>
  <c r="M145" i="3"/>
  <c r="M148" i="3"/>
  <c r="M149" i="3"/>
  <c r="M152" i="3"/>
  <c r="M153" i="3"/>
  <c r="M154" i="3"/>
  <c r="M155" i="3"/>
  <c r="M156" i="3"/>
  <c r="M157" i="3"/>
  <c r="M158" i="3"/>
  <c r="M159" i="3"/>
  <c r="M160" i="3"/>
  <c r="M161" i="3"/>
  <c r="M2" i="3"/>
  <c r="L153" i="3"/>
  <c r="L154" i="3"/>
  <c r="L155" i="3"/>
  <c r="L156" i="3"/>
  <c r="L157" i="3"/>
  <c r="L158" i="3"/>
  <c r="L159" i="3"/>
  <c r="L160" i="3"/>
  <c r="L161" i="3"/>
  <c r="L152" i="3"/>
  <c r="L143" i="3"/>
  <c r="M143" i="3" s="1"/>
  <c r="L144" i="3"/>
  <c r="L145" i="3"/>
  <c r="N145" i="3" s="1"/>
  <c r="O145" i="3" s="1"/>
  <c r="L146" i="3"/>
  <c r="M146" i="3" s="1"/>
  <c r="L147" i="3"/>
  <c r="M147" i="3" s="1"/>
  <c r="L148" i="3"/>
  <c r="L149" i="3"/>
  <c r="N149" i="3" s="1"/>
  <c r="O149" i="3" s="1"/>
  <c r="L150" i="3"/>
  <c r="M150" i="3" s="1"/>
  <c r="L151" i="3"/>
  <c r="M151" i="3" s="1"/>
  <c r="L142" i="3"/>
  <c r="M142" i="3" s="1"/>
  <c r="L133" i="3"/>
  <c r="L134" i="3"/>
  <c r="L135" i="3"/>
  <c r="L136" i="3"/>
  <c r="L137" i="3"/>
  <c r="L138" i="3"/>
  <c r="L139" i="3"/>
  <c r="L140" i="3"/>
  <c r="L141" i="3"/>
  <c r="L132" i="3"/>
  <c r="L123" i="3"/>
  <c r="L124" i="3"/>
  <c r="L125" i="3"/>
  <c r="L126" i="3"/>
  <c r="L127" i="3"/>
  <c r="L128" i="3"/>
  <c r="L129" i="3"/>
  <c r="L130" i="3"/>
  <c r="L131" i="3"/>
  <c r="L122" i="3"/>
  <c r="L113" i="3"/>
  <c r="L114" i="3"/>
  <c r="L115" i="3"/>
  <c r="L116" i="3"/>
  <c r="L117" i="3"/>
  <c r="L118" i="3"/>
  <c r="L119" i="3"/>
  <c r="L120" i="3"/>
  <c r="L121" i="3"/>
  <c r="L112" i="3"/>
  <c r="L103" i="3"/>
  <c r="L104" i="3"/>
  <c r="L105" i="3"/>
  <c r="L106" i="3"/>
  <c r="L107" i="3"/>
  <c r="L108" i="3"/>
  <c r="L109" i="3"/>
  <c r="L110" i="3"/>
  <c r="L111" i="3"/>
  <c r="L102" i="3"/>
  <c r="L93" i="3"/>
  <c r="L94" i="3"/>
  <c r="L95" i="3"/>
  <c r="L96" i="3"/>
  <c r="L97" i="3"/>
  <c r="L98" i="3"/>
  <c r="L99" i="3"/>
  <c r="L100" i="3"/>
  <c r="L101" i="3"/>
  <c r="L92" i="3"/>
  <c r="L83" i="3"/>
  <c r="L84" i="3"/>
  <c r="L85" i="3"/>
  <c r="L86" i="3"/>
  <c r="L87" i="3"/>
  <c r="L88" i="3"/>
  <c r="L89" i="3"/>
  <c r="L90" i="3"/>
  <c r="L91" i="3"/>
  <c r="L82" i="3"/>
  <c r="L81" i="3"/>
  <c r="L73" i="3"/>
  <c r="L74" i="3"/>
  <c r="L75" i="3"/>
  <c r="L76" i="3"/>
  <c r="L77" i="3"/>
  <c r="L78" i="3"/>
  <c r="L79" i="3"/>
  <c r="L80" i="3"/>
  <c r="L72" i="3"/>
  <c r="L63" i="3"/>
  <c r="L64" i="3"/>
  <c r="L65" i="3"/>
  <c r="L66" i="3"/>
  <c r="L67" i="3"/>
  <c r="L68" i="3"/>
  <c r="L69" i="3"/>
  <c r="L70" i="3"/>
  <c r="L71" i="3"/>
  <c r="L62" i="3"/>
  <c r="L53" i="3"/>
  <c r="L54" i="3"/>
  <c r="L55" i="3"/>
  <c r="L56" i="3"/>
  <c r="L57" i="3"/>
  <c r="L58" i="3"/>
  <c r="L59" i="3"/>
  <c r="L60" i="3"/>
  <c r="L61" i="3"/>
  <c r="L52" i="3"/>
  <c r="L43" i="3"/>
  <c r="L44" i="3"/>
  <c r="L45" i="3"/>
  <c r="L46" i="3"/>
  <c r="L47" i="3"/>
  <c r="L48" i="3"/>
  <c r="L49" i="3"/>
  <c r="L50" i="3"/>
  <c r="L51" i="3"/>
  <c r="L42" i="3"/>
  <c r="L33" i="3"/>
  <c r="L34" i="3"/>
  <c r="L35" i="3"/>
  <c r="L36" i="3"/>
  <c r="L37" i="3"/>
  <c r="L38" i="3"/>
  <c r="L39" i="3"/>
  <c r="L40" i="3"/>
  <c r="L41" i="3"/>
  <c r="L32" i="3"/>
  <c r="L23" i="3"/>
  <c r="L24" i="3"/>
  <c r="L25" i="3"/>
  <c r="L26" i="3"/>
  <c r="L27" i="3"/>
  <c r="L28" i="3"/>
  <c r="L29" i="3"/>
  <c r="L30" i="3"/>
  <c r="L31" i="3"/>
  <c r="L22" i="3"/>
  <c r="L13" i="3"/>
  <c r="L14" i="3"/>
  <c r="L15" i="3"/>
  <c r="L16" i="3"/>
  <c r="L17" i="3"/>
  <c r="L18" i="3"/>
  <c r="L19" i="3"/>
  <c r="L20" i="3"/>
  <c r="L21" i="3"/>
  <c r="L12" i="3"/>
  <c r="L3" i="3"/>
  <c r="L4" i="3"/>
  <c r="L5" i="3"/>
  <c r="L6" i="3"/>
  <c r="L7" i="3"/>
  <c r="L8" i="3"/>
  <c r="L9" i="3"/>
  <c r="L10" i="3"/>
  <c r="L1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2" i="3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" i="8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2" i="7"/>
  <c r="Q3" i="9"/>
  <c r="Q6" i="9"/>
  <c r="Q7" i="9"/>
  <c r="Q10" i="9"/>
  <c r="Q2" i="9"/>
  <c r="AY138" i="17" s="1"/>
  <c r="O6" i="9"/>
  <c r="O10" i="9"/>
  <c r="N3" i="9"/>
  <c r="O3" i="9" s="1"/>
  <c r="N4" i="9"/>
  <c r="Q4" i="9" s="1"/>
  <c r="N5" i="9"/>
  <c r="Q5" i="9" s="1"/>
  <c r="N6" i="9"/>
  <c r="N7" i="9"/>
  <c r="O7" i="9" s="1"/>
  <c r="N8" i="9"/>
  <c r="Q8" i="9" s="1"/>
  <c r="N9" i="9"/>
  <c r="Q9" i="9" s="1"/>
  <c r="N10" i="9"/>
  <c r="N2" i="9"/>
  <c r="O2" i="9" s="1"/>
  <c r="M3" i="9"/>
  <c r="M4" i="9"/>
  <c r="M5" i="9"/>
  <c r="M6" i="9"/>
  <c r="M7" i="9"/>
  <c r="M8" i="9"/>
  <c r="M9" i="9"/>
  <c r="M10" i="9"/>
  <c r="M2" i="9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" i="8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" i="7"/>
  <c r="O3" i="6"/>
  <c r="O4" i="6"/>
  <c r="O6" i="6"/>
  <c r="O7" i="6"/>
  <c r="O8" i="6"/>
  <c r="O10" i="6"/>
  <c r="O11" i="6"/>
  <c r="O12" i="6"/>
  <c r="O14" i="6"/>
  <c r="O15" i="6"/>
  <c r="O2" i="6"/>
  <c r="J3" i="9"/>
  <c r="J4" i="9"/>
  <c r="J5" i="9"/>
  <c r="J6" i="9"/>
  <c r="J7" i="9"/>
  <c r="J8" i="9"/>
  <c r="J9" i="9"/>
  <c r="J10" i="9"/>
  <c r="J2" i="9"/>
  <c r="F3" i="9"/>
  <c r="F4" i="9"/>
  <c r="F5" i="9"/>
  <c r="F6" i="9"/>
  <c r="F7" i="9"/>
  <c r="F8" i="9"/>
  <c r="F9" i="9"/>
  <c r="F10" i="9"/>
  <c r="F2" i="9"/>
  <c r="E3" i="9"/>
  <c r="E4" i="9"/>
  <c r="E5" i="9"/>
  <c r="E6" i="9"/>
  <c r="E7" i="9"/>
  <c r="E8" i="9"/>
  <c r="E9" i="9"/>
  <c r="E10" i="9"/>
  <c r="E2" i="9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" i="8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2" i="7"/>
  <c r="G3" i="6"/>
  <c r="G4" i="6"/>
  <c r="G5" i="6"/>
  <c r="H5" i="6" s="1"/>
  <c r="P5" i="6" s="1"/>
  <c r="G6" i="6"/>
  <c r="H6" i="6" s="1"/>
  <c r="G7" i="6"/>
  <c r="G8" i="6"/>
  <c r="G9" i="6"/>
  <c r="G10" i="6"/>
  <c r="H10" i="6" s="1"/>
  <c r="G11" i="6"/>
  <c r="G12" i="6"/>
  <c r="H12" i="6" s="1"/>
  <c r="G13" i="6"/>
  <c r="G14" i="6"/>
  <c r="G15" i="6"/>
  <c r="H7" i="6"/>
  <c r="H8" i="6"/>
  <c r="P8" i="6" s="1"/>
  <c r="H14" i="6"/>
  <c r="H15" i="6"/>
  <c r="H9" i="6"/>
  <c r="H13" i="6"/>
  <c r="P13" i="6" s="1"/>
  <c r="G2" i="6"/>
  <c r="H2" i="6" s="1"/>
  <c r="H3" i="6"/>
  <c r="H4" i="6"/>
  <c r="H11" i="6"/>
  <c r="P11" i="6" s="1"/>
  <c r="L3" i="6"/>
  <c r="L4" i="6"/>
  <c r="L5" i="6"/>
  <c r="O5" i="6" s="1"/>
  <c r="L6" i="6"/>
  <c r="L7" i="6"/>
  <c r="L8" i="6"/>
  <c r="L9" i="6"/>
  <c r="O9" i="6" s="1"/>
  <c r="L10" i="6"/>
  <c r="L11" i="6"/>
  <c r="L12" i="6"/>
  <c r="L13" i="6"/>
  <c r="O13" i="6" s="1"/>
  <c r="L14" i="6"/>
  <c r="L15" i="6"/>
  <c r="L2" i="6"/>
  <c r="P10" i="11" l="1"/>
  <c r="Q10" i="11" s="1"/>
  <c r="O10" i="11"/>
  <c r="N13" i="11"/>
  <c r="N9" i="11"/>
  <c r="N5" i="11"/>
  <c r="N8" i="11"/>
  <c r="P6" i="11"/>
  <c r="Q6" i="11" s="1"/>
  <c r="O6" i="11"/>
  <c r="N4" i="11"/>
  <c r="P14" i="11"/>
  <c r="Q14" i="11" s="1"/>
  <c r="O14" i="11"/>
  <c r="O12" i="11"/>
  <c r="P12" i="11"/>
  <c r="Q12" i="11" s="1"/>
  <c r="N15" i="11"/>
  <c r="N11" i="11"/>
  <c r="N7" i="11"/>
  <c r="N3" i="11"/>
  <c r="R11" i="6"/>
  <c r="S11" i="6" s="1"/>
  <c r="Q11" i="6"/>
  <c r="Q13" i="6"/>
  <c r="R13" i="6"/>
  <c r="S13" i="6" s="1"/>
  <c r="R8" i="6"/>
  <c r="S8" i="6" s="1"/>
  <c r="Q8" i="6"/>
  <c r="Q5" i="6"/>
  <c r="R5" i="6"/>
  <c r="S5" i="6" s="1"/>
  <c r="P4" i="6"/>
  <c r="P9" i="6"/>
  <c r="P7" i="6"/>
  <c r="P12" i="6"/>
  <c r="P3" i="6"/>
  <c r="P15" i="6"/>
  <c r="P14" i="6"/>
  <c r="P10" i="6"/>
  <c r="P6" i="6"/>
  <c r="P2" i="6"/>
  <c r="O9" i="9"/>
  <c r="O5" i="9"/>
  <c r="O8" i="9"/>
  <c r="O4" i="9"/>
  <c r="P17" i="10"/>
  <c r="Q17" i="10" s="1"/>
  <c r="O17" i="10"/>
  <c r="P9" i="10"/>
  <c r="Q9" i="10" s="1"/>
  <c r="O9" i="10"/>
  <c r="N20" i="10"/>
  <c r="N12" i="10"/>
  <c r="N19" i="10"/>
  <c r="N15" i="10"/>
  <c r="N11" i="10"/>
  <c r="N7" i="10"/>
  <c r="N3" i="10"/>
  <c r="O21" i="10"/>
  <c r="P21" i="10"/>
  <c r="Q21" i="10" s="1"/>
  <c r="O13" i="10"/>
  <c r="P13" i="10"/>
  <c r="Q13" i="10" s="1"/>
  <c r="O5" i="10"/>
  <c r="P5" i="10"/>
  <c r="Q5" i="10" s="1"/>
  <c r="N16" i="10"/>
  <c r="N8" i="10"/>
  <c r="N4" i="10"/>
  <c r="N2" i="10"/>
  <c r="N18" i="10"/>
  <c r="N14" i="10"/>
  <c r="N10" i="10"/>
  <c r="N6" i="10"/>
  <c r="N143" i="3"/>
  <c r="O143" i="3" s="1"/>
  <c r="N150" i="3"/>
  <c r="O150" i="3" s="1"/>
  <c r="N151" i="3"/>
  <c r="O151" i="3" s="1"/>
  <c r="N147" i="3"/>
  <c r="O147" i="3" s="1"/>
  <c r="N146" i="3"/>
  <c r="O146" i="3" s="1"/>
  <c r="N142" i="3"/>
  <c r="O142" i="3" s="1"/>
  <c r="F2" i="5"/>
  <c r="G2" i="5" s="1"/>
  <c r="F3" i="5"/>
  <c r="G3" i="5"/>
  <c r="F4" i="5"/>
  <c r="G4" i="5" s="1"/>
  <c r="F5" i="5"/>
  <c r="G5" i="5"/>
  <c r="F6" i="5"/>
  <c r="G6" i="5" s="1"/>
  <c r="F7" i="5"/>
  <c r="G7" i="5"/>
  <c r="F8" i="5"/>
  <c r="G8" i="5" s="1"/>
  <c r="P7" i="11" l="1"/>
  <c r="Q7" i="11" s="1"/>
  <c r="O7" i="11"/>
  <c r="P11" i="11"/>
  <c r="Q11" i="11" s="1"/>
  <c r="O11" i="11"/>
  <c r="O13" i="11"/>
  <c r="P13" i="11"/>
  <c r="Q13" i="11" s="1"/>
  <c r="P15" i="11"/>
  <c r="Q15" i="11" s="1"/>
  <c r="O15" i="11"/>
  <c r="O8" i="11"/>
  <c r="P8" i="11"/>
  <c r="Q8" i="11" s="1"/>
  <c r="O9" i="11"/>
  <c r="P9" i="11"/>
  <c r="Q9" i="11" s="1"/>
  <c r="P3" i="11"/>
  <c r="Q3" i="11" s="1"/>
  <c r="O3" i="11"/>
  <c r="P4" i="11"/>
  <c r="Q4" i="11" s="1"/>
  <c r="O4" i="11"/>
  <c r="O5" i="11"/>
  <c r="P5" i="11"/>
  <c r="Q5" i="11" s="1"/>
  <c r="Q10" i="6"/>
  <c r="R10" i="6"/>
  <c r="S10" i="6" s="1"/>
  <c r="R12" i="6"/>
  <c r="S12" i="6" s="1"/>
  <c r="Q12" i="6"/>
  <c r="Q14" i="6"/>
  <c r="R14" i="6"/>
  <c r="S14" i="6" s="1"/>
  <c r="R7" i="6"/>
  <c r="S7" i="6" s="1"/>
  <c r="Q7" i="6"/>
  <c r="R2" i="6"/>
  <c r="S2" i="6" s="1"/>
  <c r="Q2" i="6"/>
  <c r="R15" i="6"/>
  <c r="S15" i="6" s="1"/>
  <c r="Q15" i="6"/>
  <c r="Q9" i="6"/>
  <c r="R9" i="6"/>
  <c r="S9" i="6" s="1"/>
  <c r="Q6" i="6"/>
  <c r="R6" i="6"/>
  <c r="S6" i="6" s="1"/>
  <c r="R3" i="6"/>
  <c r="S3" i="6" s="1"/>
  <c r="Q3" i="6"/>
  <c r="R4" i="6"/>
  <c r="S4" i="6" s="1"/>
  <c r="Q4" i="6"/>
  <c r="P10" i="10"/>
  <c r="Q10" i="10" s="1"/>
  <c r="O10" i="10"/>
  <c r="P15" i="10"/>
  <c r="Q15" i="10" s="1"/>
  <c r="O15" i="10"/>
  <c r="P14" i="10"/>
  <c r="Q14" i="10" s="1"/>
  <c r="O14" i="10"/>
  <c r="P19" i="10"/>
  <c r="Q19" i="10" s="1"/>
  <c r="O19" i="10"/>
  <c r="P18" i="10"/>
  <c r="Q18" i="10" s="1"/>
  <c r="O18" i="10"/>
  <c r="P16" i="10"/>
  <c r="Q16" i="10" s="1"/>
  <c r="O16" i="10"/>
  <c r="P7" i="10"/>
  <c r="Q7" i="10" s="1"/>
  <c r="O7" i="10"/>
  <c r="O12" i="10"/>
  <c r="P12" i="10"/>
  <c r="Q12" i="10" s="1"/>
  <c r="P4" i="10"/>
  <c r="Q4" i="10" s="1"/>
  <c r="O4" i="10"/>
  <c r="P8" i="10"/>
  <c r="Q8" i="10" s="1"/>
  <c r="O8" i="10"/>
  <c r="P3" i="10"/>
  <c r="Q3" i="10" s="1"/>
  <c r="O3" i="10"/>
  <c r="P6" i="10"/>
  <c r="Q6" i="10" s="1"/>
  <c r="O6" i="10"/>
  <c r="P2" i="10"/>
  <c r="Q2" i="10" s="1"/>
  <c r="O2" i="10"/>
  <c r="P11" i="10"/>
  <c r="Q11" i="10" s="1"/>
  <c r="O11" i="10"/>
  <c r="O20" i="10"/>
  <c r="P20" i="10"/>
  <c r="Q20" i="10" s="1"/>
  <c r="K3" i="1"/>
  <c r="K4" i="1"/>
  <c r="S4" i="1" s="1"/>
  <c r="K5" i="1"/>
  <c r="K6" i="1"/>
  <c r="K7" i="1"/>
  <c r="R7" i="1" s="1"/>
  <c r="K8" i="1"/>
  <c r="S8" i="1" s="1"/>
  <c r="K9" i="1"/>
  <c r="K10" i="1"/>
  <c r="V10" i="1" s="1"/>
  <c r="K11" i="1"/>
  <c r="K12" i="1"/>
  <c r="S12" i="1" s="1"/>
  <c r="K13" i="1"/>
  <c r="K14" i="1"/>
  <c r="V14" i="1" s="1"/>
  <c r="K15" i="1"/>
  <c r="K16" i="1"/>
  <c r="K17" i="1"/>
  <c r="K18" i="1"/>
  <c r="Q18" i="1" s="1"/>
  <c r="K19" i="1"/>
  <c r="K20" i="1"/>
  <c r="S20" i="1" s="1"/>
  <c r="K21" i="1"/>
  <c r="K22" i="1"/>
  <c r="K23" i="1"/>
  <c r="R23" i="1" s="1"/>
  <c r="K24" i="1"/>
  <c r="S24" i="1" s="1"/>
  <c r="K25" i="1"/>
  <c r="K26" i="1"/>
  <c r="V26" i="1" s="1"/>
  <c r="K27" i="1"/>
  <c r="K28" i="1"/>
  <c r="S28" i="1" s="1"/>
  <c r="K29" i="1"/>
  <c r="K30" i="1"/>
  <c r="Q30" i="1" s="1"/>
  <c r="K31" i="1"/>
  <c r="R31" i="1" s="1"/>
  <c r="K32" i="1"/>
  <c r="K33" i="1"/>
  <c r="K34" i="1"/>
  <c r="Q34" i="1" s="1"/>
  <c r="K35" i="1"/>
  <c r="K36" i="1"/>
  <c r="S36" i="1" s="1"/>
  <c r="K37" i="1"/>
  <c r="K38" i="1"/>
  <c r="K39" i="1"/>
  <c r="R39" i="1" s="1"/>
  <c r="K40" i="1"/>
  <c r="S40" i="1" s="1"/>
  <c r="K41" i="1"/>
  <c r="K42" i="1"/>
  <c r="Q42" i="1" s="1"/>
  <c r="K43" i="1"/>
  <c r="K44" i="1"/>
  <c r="S44" i="1" s="1"/>
  <c r="K45" i="1"/>
  <c r="K46" i="1"/>
  <c r="R46" i="1" s="1"/>
  <c r="K47" i="1"/>
  <c r="K48" i="1"/>
  <c r="Q48" i="1" s="1"/>
  <c r="K49" i="1"/>
  <c r="R49" i="1" s="1"/>
  <c r="K50" i="1"/>
  <c r="R50" i="1" s="1"/>
  <c r="K51" i="1"/>
  <c r="K52" i="1"/>
  <c r="Q52" i="1" s="1"/>
  <c r="K53" i="1"/>
  <c r="K54" i="1"/>
  <c r="V54" i="1" s="1"/>
  <c r="K55" i="1"/>
  <c r="V55" i="1" s="1"/>
  <c r="K56" i="1"/>
  <c r="V56" i="1" s="1"/>
  <c r="K57" i="1"/>
  <c r="V57" i="1" s="1"/>
  <c r="K58" i="1"/>
  <c r="S58" i="1" s="1"/>
  <c r="K59" i="1"/>
  <c r="V59" i="1" s="1"/>
  <c r="K60" i="1"/>
  <c r="V60" i="1" s="1"/>
  <c r="K2" i="1"/>
  <c r="V2" i="1" s="1"/>
  <c r="K3" i="2"/>
  <c r="K4" i="2"/>
  <c r="K5" i="2"/>
  <c r="Q5" i="2" s="1"/>
  <c r="K6" i="2"/>
  <c r="Q6" i="2" s="1"/>
  <c r="K7" i="2"/>
  <c r="Q7" i="2" s="1"/>
  <c r="K8" i="2"/>
  <c r="K9" i="2"/>
  <c r="Q9" i="2" s="1"/>
  <c r="K10" i="2"/>
  <c r="S10" i="2" s="1"/>
  <c r="K11" i="2"/>
  <c r="K12" i="2"/>
  <c r="K13" i="2"/>
  <c r="Q13" i="2" s="1"/>
  <c r="K14" i="2"/>
  <c r="V14" i="2" s="1"/>
  <c r="K15" i="2"/>
  <c r="Q15" i="2" s="1"/>
  <c r="K16" i="2"/>
  <c r="K17" i="2"/>
  <c r="Q17" i="2" s="1"/>
  <c r="K18" i="2"/>
  <c r="S18" i="2" s="1"/>
  <c r="K19" i="2"/>
  <c r="K20" i="2"/>
  <c r="K21" i="2"/>
  <c r="Q21" i="2" s="1"/>
  <c r="K22" i="2"/>
  <c r="V22" i="2" s="1"/>
  <c r="K23" i="2"/>
  <c r="Q23" i="2" s="1"/>
  <c r="K24" i="2"/>
  <c r="Q24" i="2" s="1"/>
  <c r="K25" i="2"/>
  <c r="Q25" i="2" s="1"/>
  <c r="K26" i="2"/>
  <c r="S26" i="2" s="1"/>
  <c r="K27" i="2"/>
  <c r="V27" i="2" s="1"/>
  <c r="K28" i="2"/>
  <c r="K29" i="2"/>
  <c r="Q29" i="2" s="1"/>
  <c r="K30" i="2"/>
  <c r="V30" i="2" s="1"/>
  <c r="K31" i="2"/>
  <c r="Q31" i="2" s="1"/>
  <c r="K32" i="2"/>
  <c r="K33" i="2"/>
  <c r="Q33" i="2" s="1"/>
  <c r="K34" i="2"/>
  <c r="Q34" i="2" s="1"/>
  <c r="K35" i="2"/>
  <c r="Q35" i="2" s="1"/>
  <c r="K36" i="2"/>
  <c r="K37" i="2"/>
  <c r="Q37" i="2" s="1"/>
  <c r="K38" i="2"/>
  <c r="Q38" i="2" s="1"/>
  <c r="K39" i="2"/>
  <c r="Q39" i="2" s="1"/>
  <c r="K40" i="2"/>
  <c r="K41" i="2"/>
  <c r="K42" i="2"/>
  <c r="R42" i="2" s="1"/>
  <c r="K2" i="2"/>
  <c r="V2" i="2" s="1"/>
  <c r="S33" i="2" l="1"/>
  <c r="S9" i="2"/>
  <c r="Q10" i="2"/>
  <c r="V42" i="2"/>
  <c r="R25" i="2"/>
  <c r="Q42" i="2"/>
  <c r="V10" i="2"/>
  <c r="S42" i="2"/>
  <c r="Q22" i="2"/>
  <c r="Q2" i="1"/>
  <c r="R33" i="2"/>
  <c r="R17" i="2"/>
  <c r="S25" i="2"/>
  <c r="V26" i="2"/>
  <c r="R9" i="2"/>
  <c r="S17" i="2"/>
  <c r="R58" i="1"/>
  <c r="V50" i="1"/>
  <c r="S56" i="1"/>
  <c r="S48" i="1"/>
  <c r="Q10" i="1"/>
  <c r="V34" i="1"/>
  <c r="Q57" i="1"/>
  <c r="S60" i="1"/>
  <c r="R54" i="1"/>
  <c r="S46" i="1"/>
  <c r="Q26" i="1"/>
  <c r="V18" i="1"/>
  <c r="R38" i="2"/>
  <c r="T38" i="2" s="1"/>
  <c r="U38" i="2" s="1"/>
  <c r="R30" i="2"/>
  <c r="R22" i="2"/>
  <c r="R14" i="2"/>
  <c r="R6" i="2"/>
  <c r="S38" i="2"/>
  <c r="S30" i="2"/>
  <c r="S22" i="2"/>
  <c r="S14" i="2"/>
  <c r="S6" i="2"/>
  <c r="Q30" i="2"/>
  <c r="Q18" i="2"/>
  <c r="V38" i="2"/>
  <c r="V6" i="2"/>
  <c r="R37" i="2"/>
  <c r="R29" i="2"/>
  <c r="R21" i="2"/>
  <c r="T21" i="2" s="1"/>
  <c r="U21" i="2" s="1"/>
  <c r="R13" i="2"/>
  <c r="R5" i="2"/>
  <c r="S37" i="2"/>
  <c r="S29" i="2"/>
  <c r="S21" i="2"/>
  <c r="S13" i="2"/>
  <c r="S5" i="2"/>
  <c r="Q26" i="2"/>
  <c r="V34" i="2"/>
  <c r="V18" i="2"/>
  <c r="R2" i="2"/>
  <c r="R34" i="2"/>
  <c r="R26" i="2"/>
  <c r="R18" i="2"/>
  <c r="R10" i="2"/>
  <c r="S2" i="2"/>
  <c r="S34" i="2"/>
  <c r="Q2" i="2"/>
  <c r="Q14" i="2"/>
  <c r="V51" i="1"/>
  <c r="S51" i="1"/>
  <c r="Q51" i="1"/>
  <c r="V43" i="1"/>
  <c r="S43" i="1"/>
  <c r="Q43" i="1"/>
  <c r="V35" i="1"/>
  <c r="S35" i="1"/>
  <c r="Q35" i="1"/>
  <c r="V27" i="1"/>
  <c r="S27" i="1"/>
  <c r="Q27" i="1"/>
  <c r="V19" i="1"/>
  <c r="S19" i="1"/>
  <c r="Q19" i="1"/>
  <c r="V11" i="1"/>
  <c r="S11" i="1"/>
  <c r="Q11" i="1"/>
  <c r="V3" i="1"/>
  <c r="S3" i="1"/>
  <c r="Q3" i="1"/>
  <c r="S59" i="1"/>
  <c r="S55" i="1"/>
  <c r="R42" i="1"/>
  <c r="S42" i="1"/>
  <c r="R59" i="1"/>
  <c r="Q54" i="1"/>
  <c r="R19" i="1"/>
  <c r="Q14" i="1"/>
  <c r="R3" i="1"/>
  <c r="V46" i="1"/>
  <c r="Q53" i="1"/>
  <c r="V53" i="1"/>
  <c r="S53" i="1"/>
  <c r="Q49" i="1"/>
  <c r="V49" i="1"/>
  <c r="S49" i="1"/>
  <c r="Q45" i="1"/>
  <c r="R45" i="1"/>
  <c r="V45" i="1"/>
  <c r="S45" i="1"/>
  <c r="Q41" i="1"/>
  <c r="R41" i="1"/>
  <c r="V41" i="1"/>
  <c r="S41" i="1"/>
  <c r="Q37" i="1"/>
  <c r="R37" i="1"/>
  <c r="V37" i="1"/>
  <c r="S37" i="1"/>
  <c r="Q33" i="1"/>
  <c r="R33" i="1"/>
  <c r="V33" i="1"/>
  <c r="S33" i="1"/>
  <c r="Q29" i="1"/>
  <c r="R29" i="1"/>
  <c r="V29" i="1"/>
  <c r="S29" i="1"/>
  <c r="Q25" i="1"/>
  <c r="R25" i="1"/>
  <c r="V25" i="1"/>
  <c r="S25" i="1"/>
  <c r="Q21" i="1"/>
  <c r="R21" i="1"/>
  <c r="V21" i="1"/>
  <c r="S21" i="1"/>
  <c r="Q17" i="1"/>
  <c r="R17" i="1"/>
  <c r="V17" i="1"/>
  <c r="S17" i="1"/>
  <c r="Q13" i="1"/>
  <c r="R13" i="1"/>
  <c r="V13" i="1"/>
  <c r="S13" i="1"/>
  <c r="Q9" i="1"/>
  <c r="R9" i="1"/>
  <c r="V9" i="1"/>
  <c r="S9" i="1"/>
  <c r="Q5" i="1"/>
  <c r="R5" i="1"/>
  <c r="V5" i="1"/>
  <c r="S5" i="1"/>
  <c r="R2" i="1"/>
  <c r="R60" i="1"/>
  <c r="Q59" i="1"/>
  <c r="S57" i="1"/>
  <c r="R56" i="1"/>
  <c r="Q55" i="1"/>
  <c r="R53" i="1"/>
  <c r="S50" i="1"/>
  <c r="V58" i="1"/>
  <c r="V42" i="1"/>
  <c r="V47" i="1"/>
  <c r="S47" i="1"/>
  <c r="Q47" i="1"/>
  <c r="V39" i="1"/>
  <c r="S39" i="1"/>
  <c r="Q39" i="1"/>
  <c r="V31" i="1"/>
  <c r="S31" i="1"/>
  <c r="Q31" i="1"/>
  <c r="V23" i="1"/>
  <c r="S23" i="1"/>
  <c r="Q23" i="1"/>
  <c r="V15" i="1"/>
  <c r="S15" i="1"/>
  <c r="Q15" i="1"/>
  <c r="V7" i="1"/>
  <c r="S7" i="1"/>
  <c r="Q7" i="1"/>
  <c r="R15" i="1"/>
  <c r="R38" i="1"/>
  <c r="S38" i="1"/>
  <c r="R34" i="1"/>
  <c r="S34" i="1"/>
  <c r="R30" i="1"/>
  <c r="S30" i="1"/>
  <c r="R26" i="1"/>
  <c r="S26" i="1"/>
  <c r="R22" i="1"/>
  <c r="S22" i="1"/>
  <c r="R18" i="1"/>
  <c r="S18" i="1"/>
  <c r="R14" i="1"/>
  <c r="S14" i="1"/>
  <c r="R10" i="1"/>
  <c r="S10" i="1"/>
  <c r="R6" i="1"/>
  <c r="S6" i="1"/>
  <c r="Q58" i="1"/>
  <c r="R55" i="1"/>
  <c r="R51" i="1"/>
  <c r="Q46" i="1"/>
  <c r="T46" i="1" s="1"/>
  <c r="U46" i="1" s="1"/>
  <c r="R35" i="1"/>
  <c r="V30" i="1"/>
  <c r="V52" i="1"/>
  <c r="R52" i="1"/>
  <c r="V48" i="1"/>
  <c r="R48" i="1"/>
  <c r="V44" i="1"/>
  <c r="Q44" i="1"/>
  <c r="R44" i="1"/>
  <c r="V40" i="1"/>
  <c r="Q40" i="1"/>
  <c r="R40" i="1"/>
  <c r="V36" i="1"/>
  <c r="Q36" i="1"/>
  <c r="R36" i="1"/>
  <c r="V32" i="1"/>
  <c r="Q32" i="1"/>
  <c r="R32" i="1"/>
  <c r="V28" i="1"/>
  <c r="Q28" i="1"/>
  <c r="R28" i="1"/>
  <c r="V24" i="1"/>
  <c r="Q24" i="1"/>
  <c r="R24" i="1"/>
  <c r="V20" i="1"/>
  <c r="Q20" i="1"/>
  <c r="R20" i="1"/>
  <c r="V16" i="1"/>
  <c r="Q16" i="1"/>
  <c r="R16" i="1"/>
  <c r="V12" i="1"/>
  <c r="Q12" i="1"/>
  <c r="R12" i="1"/>
  <c r="V8" i="1"/>
  <c r="Q8" i="1"/>
  <c r="R8" i="1"/>
  <c r="V4" i="1"/>
  <c r="Q4" i="1"/>
  <c r="R4" i="1"/>
  <c r="S2" i="1"/>
  <c r="Q60" i="1"/>
  <c r="R57" i="1"/>
  <c r="Q56" i="1"/>
  <c r="S54" i="1"/>
  <c r="S52" i="1"/>
  <c r="Q50" i="1"/>
  <c r="T50" i="1" s="1"/>
  <c r="U50" i="1" s="1"/>
  <c r="R47" i="1"/>
  <c r="R43" i="1"/>
  <c r="Q38" i="1"/>
  <c r="S32" i="1"/>
  <c r="R27" i="1"/>
  <c r="Q22" i="1"/>
  <c r="S16" i="1"/>
  <c r="R11" i="1"/>
  <c r="Q6" i="1"/>
  <c r="V38" i="1"/>
  <c r="V22" i="1"/>
  <c r="V6" i="1"/>
  <c r="Q36" i="2"/>
  <c r="V36" i="2"/>
  <c r="S36" i="2"/>
  <c r="R36" i="2"/>
  <c r="Q28" i="2"/>
  <c r="V28" i="2"/>
  <c r="S28" i="2"/>
  <c r="R28" i="2"/>
  <c r="Q12" i="2"/>
  <c r="V12" i="2"/>
  <c r="S12" i="2"/>
  <c r="R12" i="2"/>
  <c r="Q4" i="2"/>
  <c r="V4" i="2"/>
  <c r="S4" i="2"/>
  <c r="R4" i="2"/>
  <c r="V39" i="2"/>
  <c r="S39" i="2"/>
  <c r="R39" i="2"/>
  <c r="V31" i="2"/>
  <c r="S31" i="2"/>
  <c r="R31" i="2"/>
  <c r="S27" i="2"/>
  <c r="R27" i="2"/>
  <c r="V19" i="2"/>
  <c r="S19" i="2"/>
  <c r="R19" i="2"/>
  <c r="V15" i="2"/>
  <c r="S15" i="2"/>
  <c r="R15" i="2"/>
  <c r="V11" i="2"/>
  <c r="S11" i="2"/>
  <c r="R11" i="2"/>
  <c r="V7" i="2"/>
  <c r="S7" i="2"/>
  <c r="R7" i="2"/>
  <c r="V3" i="2"/>
  <c r="S3" i="2"/>
  <c r="R3" i="2"/>
  <c r="Q27" i="2"/>
  <c r="Q19" i="2"/>
  <c r="Q11" i="2"/>
  <c r="Q3" i="2"/>
  <c r="Q41" i="2"/>
  <c r="V41" i="2"/>
  <c r="Q40" i="2"/>
  <c r="V40" i="2"/>
  <c r="S40" i="2"/>
  <c r="R40" i="2"/>
  <c r="Q32" i="2"/>
  <c r="V32" i="2"/>
  <c r="S32" i="2"/>
  <c r="R32" i="2"/>
  <c r="V24" i="2"/>
  <c r="S24" i="2"/>
  <c r="R24" i="2"/>
  <c r="Q20" i="2"/>
  <c r="V20" i="2"/>
  <c r="S20" i="2"/>
  <c r="R20" i="2"/>
  <c r="Q16" i="2"/>
  <c r="V16" i="2"/>
  <c r="S16" i="2"/>
  <c r="R16" i="2"/>
  <c r="Q8" i="2"/>
  <c r="V8" i="2"/>
  <c r="S8" i="2"/>
  <c r="R8" i="2"/>
  <c r="S41" i="2"/>
  <c r="V35" i="2"/>
  <c r="S35" i="2"/>
  <c r="R35" i="2"/>
  <c r="V23" i="2"/>
  <c r="S23" i="2"/>
  <c r="R23" i="2"/>
  <c r="R41" i="2"/>
  <c r="T10" i="2"/>
  <c r="U10" i="2" s="1"/>
  <c r="V37" i="2"/>
  <c r="V33" i="2"/>
  <c r="V29" i="2"/>
  <c r="V25" i="2"/>
  <c r="V21" i="2"/>
  <c r="V17" i="2"/>
  <c r="V13" i="2"/>
  <c r="V9" i="2"/>
  <c r="V5" i="2"/>
  <c r="T33" i="2" l="1"/>
  <c r="U33" i="2" s="1"/>
  <c r="T37" i="2"/>
  <c r="U37" i="2" s="1"/>
  <c r="T38" i="1"/>
  <c r="U38" i="1" s="1"/>
  <c r="T17" i="2"/>
  <c r="U17" i="2" s="1"/>
  <c r="T35" i="2"/>
  <c r="U35" i="2" s="1"/>
  <c r="T9" i="2"/>
  <c r="U9" i="2" s="1"/>
  <c r="T25" i="2"/>
  <c r="U25" i="2" s="1"/>
  <c r="T5" i="2"/>
  <c r="U5" i="2" s="1"/>
  <c r="T30" i="2"/>
  <c r="U30" i="2" s="1"/>
  <c r="T26" i="2"/>
  <c r="U26" i="2" s="1"/>
  <c r="T22" i="2"/>
  <c r="U22" i="2" s="1"/>
  <c r="T42" i="2"/>
  <c r="U42" i="2" s="1"/>
  <c r="T13" i="2"/>
  <c r="U13" i="2" s="1"/>
  <c r="T6" i="2"/>
  <c r="U6" i="2" s="1"/>
  <c r="T57" i="1"/>
  <c r="U57" i="1" s="1"/>
  <c r="T2" i="1"/>
  <c r="U2" i="1" s="1"/>
  <c r="T52" i="1"/>
  <c r="U52" i="1" s="1"/>
  <c r="T53" i="1"/>
  <c r="U53" i="1" s="1"/>
  <c r="T48" i="1"/>
  <c r="U48" i="1" s="1"/>
  <c r="T8" i="1"/>
  <c r="U8" i="1" s="1"/>
  <c r="T24" i="1"/>
  <c r="U24" i="1" s="1"/>
  <c r="T40" i="1"/>
  <c r="U40" i="1" s="1"/>
  <c r="T10" i="1"/>
  <c r="U10" i="1" s="1"/>
  <c r="T18" i="1"/>
  <c r="U18" i="1" s="1"/>
  <c r="T26" i="1"/>
  <c r="U26" i="1" s="1"/>
  <c r="T34" i="1"/>
  <c r="U34" i="1" s="1"/>
  <c r="T15" i="1"/>
  <c r="U15" i="1" s="1"/>
  <c r="T47" i="1"/>
  <c r="U47" i="1" s="1"/>
  <c r="T29" i="2"/>
  <c r="U29" i="2" s="1"/>
  <c r="T14" i="2"/>
  <c r="U14" i="2" s="1"/>
  <c r="T42" i="1"/>
  <c r="U42" i="1" s="1"/>
  <c r="T58" i="1"/>
  <c r="U58" i="1" s="1"/>
  <c r="T23" i="1"/>
  <c r="U23" i="1" s="1"/>
  <c r="T55" i="1"/>
  <c r="U55" i="1" s="1"/>
  <c r="T14" i="1"/>
  <c r="U14" i="1" s="1"/>
  <c r="T27" i="1"/>
  <c r="U27" i="1" s="1"/>
  <c r="T18" i="2"/>
  <c r="U18" i="2" s="1"/>
  <c r="T34" i="2"/>
  <c r="U34" i="2" s="1"/>
  <c r="T27" i="2"/>
  <c r="U27" i="2" s="1"/>
  <c r="T7" i="2"/>
  <c r="U7" i="2" s="1"/>
  <c r="T30" i="1"/>
  <c r="U30" i="1" s="1"/>
  <c r="T7" i="1"/>
  <c r="U7" i="1" s="1"/>
  <c r="T39" i="1"/>
  <c r="U39" i="1" s="1"/>
  <c r="T59" i="1"/>
  <c r="U59" i="1" s="1"/>
  <c r="T3" i="1"/>
  <c r="U3" i="1" s="1"/>
  <c r="T35" i="1"/>
  <c r="U35" i="1" s="1"/>
  <c r="T23" i="2"/>
  <c r="U23" i="2" s="1"/>
  <c r="T3" i="2"/>
  <c r="U3" i="2" s="1"/>
  <c r="T19" i="2"/>
  <c r="U19" i="2" s="1"/>
  <c r="T15" i="2"/>
  <c r="U15" i="2" s="1"/>
  <c r="T31" i="2"/>
  <c r="U31" i="2" s="1"/>
  <c r="T39" i="2"/>
  <c r="U39" i="2" s="1"/>
  <c r="T2" i="2"/>
  <c r="U2" i="2" s="1"/>
  <c r="T60" i="1"/>
  <c r="U60" i="1" s="1"/>
  <c r="T4" i="1"/>
  <c r="U4" i="1" s="1"/>
  <c r="T20" i="1"/>
  <c r="U20" i="1" s="1"/>
  <c r="T36" i="1"/>
  <c r="U36" i="1" s="1"/>
  <c r="T22" i="1"/>
  <c r="U22" i="1" s="1"/>
  <c r="T16" i="1"/>
  <c r="U16" i="1" s="1"/>
  <c r="T32" i="1"/>
  <c r="U32" i="1" s="1"/>
  <c r="T49" i="1"/>
  <c r="U49" i="1" s="1"/>
  <c r="T54" i="1"/>
  <c r="U54" i="1" s="1"/>
  <c r="T19" i="1"/>
  <c r="U19" i="1" s="1"/>
  <c r="T51" i="1"/>
  <c r="U51" i="1" s="1"/>
  <c r="T6" i="1"/>
  <c r="U6" i="1" s="1"/>
  <c r="T56" i="1"/>
  <c r="U56" i="1" s="1"/>
  <c r="T12" i="1"/>
  <c r="U12" i="1" s="1"/>
  <c r="T28" i="1"/>
  <c r="U28" i="1" s="1"/>
  <c r="T44" i="1"/>
  <c r="U44" i="1" s="1"/>
  <c r="T31" i="1"/>
  <c r="U31" i="1" s="1"/>
  <c r="T5" i="1"/>
  <c r="U5" i="1" s="1"/>
  <c r="T9" i="1"/>
  <c r="U9" i="1" s="1"/>
  <c r="T13" i="1"/>
  <c r="U13" i="1" s="1"/>
  <c r="T17" i="1"/>
  <c r="U17" i="1" s="1"/>
  <c r="T21" i="1"/>
  <c r="U21" i="1" s="1"/>
  <c r="T25" i="1"/>
  <c r="U25" i="1" s="1"/>
  <c r="T29" i="1"/>
  <c r="U29" i="1" s="1"/>
  <c r="T33" i="1"/>
  <c r="U33" i="1" s="1"/>
  <c r="T37" i="1"/>
  <c r="U37" i="1" s="1"/>
  <c r="T41" i="1"/>
  <c r="U41" i="1" s="1"/>
  <c r="T45" i="1"/>
  <c r="U45" i="1" s="1"/>
  <c r="T11" i="1"/>
  <c r="U11" i="1" s="1"/>
  <c r="T43" i="1"/>
  <c r="U43" i="1" s="1"/>
  <c r="T41" i="2"/>
  <c r="U41" i="2" s="1"/>
  <c r="T8" i="2"/>
  <c r="U8" i="2" s="1"/>
  <c r="T16" i="2"/>
  <c r="U16" i="2" s="1"/>
  <c r="T20" i="2"/>
  <c r="U20" i="2" s="1"/>
  <c r="T24" i="2"/>
  <c r="U24" i="2" s="1"/>
  <c r="T32" i="2"/>
  <c r="U32" i="2" s="1"/>
  <c r="T40" i="2"/>
  <c r="U40" i="2" s="1"/>
  <c r="T11" i="2"/>
  <c r="U11" i="2" s="1"/>
  <c r="T4" i="2"/>
  <c r="U4" i="2" s="1"/>
  <c r="T12" i="2"/>
  <c r="U12" i="2" s="1"/>
  <c r="T28" i="2"/>
  <c r="U28" i="2" s="1"/>
  <c r="T36" i="2"/>
  <c r="U36" i="2" s="1"/>
</calcChain>
</file>

<file path=xl/comments1.xml><?xml version="1.0" encoding="utf-8"?>
<comments xmlns="http://schemas.openxmlformats.org/spreadsheetml/2006/main">
  <authors>
    <author>Anneli Adler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Anneli Adler:</t>
        </r>
        <r>
          <rPr>
            <sz val="9"/>
            <color indexed="81"/>
            <rFont val="Tahoma"/>
            <family val="2"/>
          </rPr>
          <t xml:space="preserve">
If the plotcode includes a letter - it is sampled at the same location as 20 years ago. If the code does not include a letter, it is an additional plot sampled in 2020 (such as plots with birch and grassland).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Anneli Adler:</t>
        </r>
        <r>
          <rPr>
            <sz val="9"/>
            <color indexed="81"/>
            <rFont val="Tahoma"/>
            <family val="2"/>
          </rPr>
          <t xml:space="preserve">
If the plotcode includes a letter - it is sampled at the same location as 20 years ago. If the code does not include a letter, it is an additional plot sampled in 2020 (such as plots with birch and grassland).</t>
        </r>
      </text>
    </comment>
  </commentList>
</comments>
</file>

<file path=xl/sharedStrings.xml><?xml version="1.0" encoding="utf-8"?>
<sst xmlns="http://schemas.openxmlformats.org/spreadsheetml/2006/main" count="11051" uniqueCount="649">
  <si>
    <t>Depth</t>
  </si>
  <si>
    <t>Gravel</t>
  </si>
  <si>
    <t>Stones</t>
  </si>
  <si>
    <t>Soil</t>
  </si>
  <si>
    <t>Clay</t>
  </si>
  <si>
    <t>Fine silt</t>
  </si>
  <si>
    <t>Coarse silt</t>
  </si>
  <si>
    <t>Fine sand</t>
  </si>
  <si>
    <t>Coarse sand</t>
  </si>
  <si>
    <t>pH</t>
  </si>
  <si>
    <t>CaCO3</t>
  </si>
  <si>
    <t>P (P2O5)</t>
  </si>
  <si>
    <t>Ca</t>
  </si>
  <si>
    <t>Mg</t>
  </si>
  <si>
    <t>K</t>
  </si>
  <si>
    <t>C-organic</t>
  </si>
  <si>
    <t>N-organic</t>
  </si>
  <si>
    <t>Zn</t>
  </si>
  <si>
    <t>Cd</t>
  </si>
  <si>
    <t>Site cod</t>
  </si>
  <si>
    <t>&lt;1</t>
  </si>
  <si>
    <t>45-60</t>
  </si>
  <si>
    <t>S-01-W</t>
  </si>
  <si>
    <t>S-02-W</t>
  </si>
  <si>
    <t>S-03-W</t>
  </si>
  <si>
    <t>S-04-W</t>
  </si>
  <si>
    <t>S-05-W</t>
  </si>
  <si>
    <t>S-06-W</t>
  </si>
  <si>
    <t>S-07-W</t>
  </si>
  <si>
    <t>S-08-W</t>
  </si>
  <si>
    <t>S-09-W</t>
  </si>
  <si>
    <t>S-10-W</t>
  </si>
  <si>
    <t>S-11-W</t>
  </si>
  <si>
    <t>S-12-W</t>
  </si>
  <si>
    <t>S-13-W</t>
  </si>
  <si>
    <t>S-14-W</t>
  </si>
  <si>
    <t>S-15-W</t>
  </si>
  <si>
    <t>S-16-W</t>
  </si>
  <si>
    <t>S-17-W</t>
  </si>
  <si>
    <t>S-18-W</t>
  </si>
  <si>
    <t>A-19-W</t>
  </si>
  <si>
    <t>A-20-W</t>
  </si>
  <si>
    <t>A-21-W</t>
  </si>
  <si>
    <t>Site name</t>
  </si>
  <si>
    <t>Sångletorp 1</t>
  </si>
  <si>
    <t>Sångletorp 2</t>
  </si>
  <si>
    <t>Sångletorp 3</t>
  </si>
  <si>
    <t>Rydsgård 1</t>
  </si>
  <si>
    <t>Rydsgård 2</t>
  </si>
  <si>
    <t>Rydsgård 3</t>
  </si>
  <si>
    <t>Sturup</t>
  </si>
  <si>
    <t>Bullstofta 1</t>
  </si>
  <si>
    <t>Bullstofta 3</t>
  </si>
  <si>
    <t>Bullstofta 2</t>
  </si>
  <si>
    <t>Bullstofta 5</t>
  </si>
  <si>
    <t>Bullstofta 4</t>
  </si>
  <si>
    <t>Långa-Veka 1</t>
  </si>
  <si>
    <t>Långa-Veka 2</t>
  </si>
  <si>
    <t>Malmön 1</t>
  </si>
  <si>
    <t>Malmön 2</t>
  </si>
  <si>
    <t>Bodarna 1</t>
  </si>
  <si>
    <t>Bodarna 2</t>
  </si>
  <si>
    <t>Innertavle</t>
  </si>
  <si>
    <t>Bodarna 3</t>
  </si>
  <si>
    <t>Bodarna 4</t>
  </si>
  <si>
    <t>Crop</t>
  </si>
  <si>
    <t>S-01-A</t>
  </si>
  <si>
    <t>S-02-A</t>
  </si>
  <si>
    <t>S-03-A</t>
  </si>
  <si>
    <t>S-04-A</t>
  </si>
  <si>
    <t>S-05-A</t>
  </si>
  <si>
    <t>S-06-A</t>
  </si>
  <si>
    <t>S-07-A</t>
  </si>
  <si>
    <t>S-08-A</t>
  </si>
  <si>
    <t>S-13-A</t>
  </si>
  <si>
    <t>S-14-A</t>
  </si>
  <si>
    <t>S-15-16-A</t>
  </si>
  <si>
    <t>S-17-A</t>
  </si>
  <si>
    <t>S-18-A</t>
  </si>
  <si>
    <t>S-19-20-A</t>
  </si>
  <si>
    <t>S-21-A</t>
  </si>
  <si>
    <t>Poplar</t>
  </si>
  <si>
    <t>Clone</t>
  </si>
  <si>
    <t>OP42</t>
  </si>
  <si>
    <t>Age</t>
  </si>
  <si>
    <t>Previous LU</t>
  </si>
  <si>
    <t>Arable</t>
  </si>
  <si>
    <t>Density</t>
  </si>
  <si>
    <t>H</t>
  </si>
  <si>
    <t>D</t>
  </si>
  <si>
    <t>CanCov</t>
  </si>
  <si>
    <t>Hasp</t>
  </si>
  <si>
    <t>Comment</t>
  </si>
  <si>
    <t>Christmass trees</t>
  </si>
  <si>
    <t>Spring wheat</t>
  </si>
  <si>
    <t>Spring Rye</t>
  </si>
  <si>
    <t>Barley</t>
  </si>
  <si>
    <t>Birch</t>
  </si>
  <si>
    <t>Grassland</t>
  </si>
  <si>
    <t>Sugar beet</t>
  </si>
  <si>
    <t>Willow coppice</t>
  </si>
  <si>
    <t>Oats</t>
  </si>
  <si>
    <t>Wheat</t>
  </si>
  <si>
    <t>Woodland/grassland</t>
  </si>
  <si>
    <t>Sum</t>
  </si>
  <si>
    <t>MeCoarsn</t>
  </si>
  <si>
    <t>Clay%</t>
  </si>
  <si>
    <t>Silt%</t>
  </si>
  <si>
    <t>Sand%</t>
  </si>
  <si>
    <t>MeCoarn2</t>
  </si>
  <si>
    <t>Land use</t>
  </si>
  <si>
    <t>Agr</t>
  </si>
  <si>
    <t>Wood</t>
  </si>
  <si>
    <t>Grass</t>
  </si>
  <si>
    <t>SRWC</t>
  </si>
  <si>
    <t>Wood/Grass</t>
  </si>
  <si>
    <t>Silt</t>
  </si>
  <si>
    <t>Sand</t>
  </si>
  <si>
    <t>Dg(mm)</t>
  </si>
  <si>
    <t>H-aspen</t>
  </si>
  <si>
    <t>Ekebo</t>
  </si>
  <si>
    <t>Beaupré</t>
  </si>
  <si>
    <t>S-21-W</t>
  </si>
  <si>
    <t>51, 910</t>
  </si>
  <si>
    <t>Location</t>
  </si>
  <si>
    <t>Site</t>
  </si>
  <si>
    <t xml:space="preserve">Species </t>
  </si>
  <si>
    <t>Nr</t>
  </si>
  <si>
    <t>D1</t>
  </si>
  <si>
    <t>D2</t>
  </si>
  <si>
    <t>S-17-W(2020)</t>
  </si>
  <si>
    <t>Bodarna</t>
  </si>
  <si>
    <t>poplar</t>
  </si>
  <si>
    <t>B93</t>
  </si>
  <si>
    <t>GrSpace</t>
  </si>
  <si>
    <t>St/ha</t>
  </si>
  <si>
    <t>coppice generation</t>
  </si>
  <si>
    <t>Date</t>
  </si>
  <si>
    <t>S-18-W(2020)</t>
  </si>
  <si>
    <t>h-aspen</t>
  </si>
  <si>
    <t>lutar</t>
  </si>
  <si>
    <t>S-19-W(2020)</t>
  </si>
  <si>
    <t>S-20-W(2020)</t>
  </si>
  <si>
    <t>StVol</t>
  </si>
  <si>
    <t>Vol</t>
  </si>
  <si>
    <t>MAIVol</t>
  </si>
  <si>
    <t>TDW</t>
  </si>
  <si>
    <t>MAITDW</t>
  </si>
  <si>
    <t>Old Sw clones</t>
  </si>
  <si>
    <t>S-15-W(2020)</t>
  </si>
  <si>
    <t>S-16-W(2020)</t>
  </si>
  <si>
    <t>1626/1621</t>
  </si>
  <si>
    <t>Malmön(Björk2A)</t>
  </si>
  <si>
    <t>V=10^a*D^b*(D+20)^c*H^d*(H-1.3)^e</t>
  </si>
  <si>
    <t>a</t>
  </si>
  <si>
    <t>b</t>
  </si>
  <si>
    <t>c</t>
  </si>
  <si>
    <t>d</t>
  </si>
  <si>
    <t>e</t>
  </si>
  <si>
    <t>D(cm)</t>
  </si>
  <si>
    <t>H(m)</t>
  </si>
  <si>
    <t>Malmön(Björk2B)</t>
  </si>
  <si>
    <t>Björk</t>
  </si>
  <si>
    <t>Malmön(SalixFragilis6A)</t>
  </si>
  <si>
    <t>Salix fragilis</t>
  </si>
  <si>
    <t>Malmön(SalixFragilis6B)</t>
  </si>
  <si>
    <t>Malmön(S.fragilis+GrAl&amp;A3)</t>
  </si>
  <si>
    <t>Alnus incana</t>
  </si>
  <si>
    <t>dead</t>
  </si>
  <si>
    <t>broken</t>
  </si>
  <si>
    <t xml:space="preserve">C inorganic %****   </t>
  </si>
  <si>
    <t>±</t>
  </si>
  <si>
    <t>Haspen</t>
  </si>
  <si>
    <t>Depth (cm)</t>
  </si>
  <si>
    <t xml:space="preserve"> 0-7,5</t>
  </si>
  <si>
    <t>7,5-25</t>
  </si>
  <si>
    <t>25-45</t>
  </si>
  <si>
    <t>0-7,5</t>
  </si>
  <si>
    <t>Cropland</t>
  </si>
  <si>
    <t>Sångletorp</t>
  </si>
  <si>
    <t xml:space="preserve">Poplar1 </t>
  </si>
  <si>
    <t xml:space="preserve">Sångletorp </t>
  </si>
  <si>
    <t>Poplar1</t>
  </si>
  <si>
    <t>Poplar3</t>
  </si>
  <si>
    <t xml:space="preserve">Poplar2 </t>
  </si>
  <si>
    <t>Poplar2</t>
  </si>
  <si>
    <t xml:space="preserve">Poplar3 </t>
  </si>
  <si>
    <t xml:space="preserve">Bullstofta </t>
  </si>
  <si>
    <t xml:space="preserve"> 7,5-25</t>
  </si>
  <si>
    <t>Bullstofta</t>
  </si>
  <si>
    <t xml:space="preserve">Haspen1 </t>
  </si>
  <si>
    <t>Haspen1</t>
  </si>
  <si>
    <t xml:space="preserve">Haspen2 </t>
  </si>
  <si>
    <t xml:space="preserve">Birch </t>
  </si>
  <si>
    <t>Rydsgård</t>
  </si>
  <si>
    <t xml:space="preserve">Rydsgård </t>
  </si>
  <si>
    <t xml:space="preserve">Birch1 </t>
  </si>
  <si>
    <t>Birch1</t>
  </si>
  <si>
    <t>Birch2</t>
  </si>
  <si>
    <t xml:space="preserve">Birch2 </t>
  </si>
  <si>
    <t xml:space="preserve">Birch3 </t>
  </si>
  <si>
    <t xml:space="preserve">Cropfield </t>
  </si>
  <si>
    <t>Cropfield</t>
  </si>
  <si>
    <t>Poplar17</t>
  </si>
  <si>
    <t>Haspen18</t>
  </si>
  <si>
    <t>Haspen19</t>
  </si>
  <si>
    <t xml:space="preserve">Haspen 20 </t>
  </si>
  <si>
    <t xml:space="preserve">Bodarna </t>
  </si>
  <si>
    <t>Haspen 20</t>
  </si>
  <si>
    <t xml:space="preserve">Haspen </t>
  </si>
  <si>
    <t>Malmön</t>
  </si>
  <si>
    <t>N total mg/kg</t>
  </si>
  <si>
    <t>N (N-NO3 + N-NO2) mg/kg</t>
  </si>
  <si>
    <t>N  (N-NH4) mg/kg</t>
  </si>
  <si>
    <t>N mineral mg/kg</t>
  </si>
  <si>
    <t>C total %</t>
  </si>
  <si>
    <t>Densitetsprov Långaveka 3 Björk</t>
  </si>
  <si>
    <t>Densitetsprov Långaveka 3 Gräs</t>
  </si>
  <si>
    <t>Träd Långaveka 4 Björk</t>
  </si>
  <si>
    <t>Densitetsprov Långaveka 4 Björk</t>
  </si>
  <si>
    <t>Densitetsprov Långaveka 4 Gräs</t>
  </si>
  <si>
    <t>Mätt av Almir</t>
  </si>
  <si>
    <t>26/10-2020</t>
  </si>
  <si>
    <t>Trädnr</t>
  </si>
  <si>
    <t>Diam1</t>
  </si>
  <si>
    <t>Diam2</t>
  </si>
  <si>
    <t>Höjd</t>
  </si>
  <si>
    <t>KH</t>
  </si>
  <si>
    <t>Cylindernr</t>
  </si>
  <si>
    <t>Torrvikt jord, gr</t>
  </si>
  <si>
    <t>Torrvikt sten, gr</t>
  </si>
  <si>
    <t>Bulk density g cm3</t>
  </si>
  <si>
    <t>Densitetsprov Bullstofta Hasp 1</t>
  </si>
  <si>
    <t>Densitetsprov Bullstofta Hasp 2</t>
  </si>
  <si>
    <t>Träd  Bullstofta Poppel 1</t>
  </si>
  <si>
    <t>Densitetsprov Bullstofta Poppel 1</t>
  </si>
  <si>
    <t>Träd Bullstofta Poppel 2</t>
  </si>
  <si>
    <t>Densitetsprov Bullstofta Poppel 2</t>
  </si>
  <si>
    <t>Träd Bullstofta Björk</t>
  </si>
  <si>
    <t>Densitetsprov Bullstofta Björk</t>
  </si>
  <si>
    <t>Densitetsprov Bullstofta Åker</t>
  </si>
  <si>
    <t>Densitetsprov Bullstofta Gräs</t>
  </si>
  <si>
    <t>Almir mätt</t>
  </si>
  <si>
    <t>1 (sälg)</t>
  </si>
  <si>
    <t>9 (al)</t>
  </si>
  <si>
    <r>
      <t xml:space="preserve">Träd </t>
    </r>
    <r>
      <rPr>
        <b/>
        <sz val="10"/>
        <color rgb="FFFF0000"/>
        <rFont val="Segoe UI"/>
        <family val="2"/>
      </rPr>
      <t>Långaveka</t>
    </r>
    <r>
      <rPr>
        <b/>
        <sz val="10"/>
        <color theme="1"/>
        <rFont val="Segoe UI"/>
        <family val="2"/>
      </rPr>
      <t xml:space="preserve"> </t>
    </r>
    <r>
      <rPr>
        <b/>
        <sz val="10"/>
        <color rgb="FFFF0000"/>
        <rFont val="Segoe UI"/>
        <family val="2"/>
      </rPr>
      <t>3</t>
    </r>
    <r>
      <rPr>
        <b/>
        <sz val="10"/>
        <color theme="1"/>
        <rFont val="Segoe UI"/>
        <family val="2"/>
      </rPr>
      <t xml:space="preserve"> Björk</t>
    </r>
  </si>
  <si>
    <t>Densitetsprov Malmön åker 1 nära poppel och björk</t>
  </si>
  <si>
    <t>Densitetsprov Malmön Poppel</t>
  </si>
  <si>
    <t>Densitetsprov Malmön H asp</t>
  </si>
  <si>
    <t>8/10-2020</t>
  </si>
  <si>
    <t>6/11-2021</t>
  </si>
  <si>
    <t>Bulk density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</si>
  <si>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</si>
  <si>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cm3</t>
  </si>
  <si>
    <t>Densitetsprov Bodarna Poppel S17</t>
  </si>
  <si>
    <t>16/10-2020</t>
  </si>
  <si>
    <t>Finsk björk Bodarna yta 6 (B1)</t>
  </si>
  <si>
    <t>yta 1.6.1</t>
  </si>
  <si>
    <t>Densitetsprov Bodarna Björk 1</t>
  </si>
  <si>
    <t>Densitetsprov Bodarna Björk 2</t>
  </si>
  <si>
    <t>19/11-2020</t>
  </si>
  <si>
    <t>Densitetsprov Bodarna H asp S18</t>
  </si>
  <si>
    <t>19/10-2020</t>
  </si>
  <si>
    <t>Densitetsprov Bodarna H asp S19</t>
  </si>
  <si>
    <t>Densitetsprov Bodarna H asp S20</t>
  </si>
  <si>
    <t>Densitetsprov Bodarna Gräs</t>
  </si>
  <si>
    <t>Densitetsprov Bodarna Åker cover crop</t>
  </si>
  <si>
    <t>Träd Sångletorp Poppel 1</t>
  </si>
  <si>
    <t>Densitetsprov Sångletorp Poppel 1</t>
  </si>
  <si>
    <t>Träd Sångletorp Poppel 2</t>
  </si>
  <si>
    <t>Densitetsprov Sångletorp Poppel 2</t>
  </si>
  <si>
    <t>Träd Sångletorp Poppel 3</t>
  </si>
  <si>
    <t>Densitetsprov Sångletorp Poppel 3</t>
  </si>
  <si>
    <t>Densitetsprov Sångletorp Gräsmark</t>
  </si>
  <si>
    <t>Densitetsprov Sångletorp Åkermark</t>
  </si>
  <si>
    <t xml:space="preserve">Trädnr </t>
  </si>
  <si>
    <t>Träd Rydsgård Poppel 1</t>
  </si>
  <si>
    <t>Densitetsprov Rydsgård Poppel 1</t>
  </si>
  <si>
    <t xml:space="preserve">Träd Rydsgård poppel 2 </t>
  </si>
  <si>
    <t>Densitetsprov Rydsgård poppel 2</t>
  </si>
  <si>
    <t>Träd Rydsgård poppel 3</t>
  </si>
  <si>
    <t>Densitetsprov Rydsgård poppel 3</t>
  </si>
  <si>
    <t xml:space="preserve"> </t>
  </si>
  <si>
    <t>Träd Rydsgård Björk 1</t>
  </si>
  <si>
    <t>Densitetsprov Rydsgård Björk 1</t>
  </si>
  <si>
    <t>Träd Rydsgård Björk 2</t>
  </si>
  <si>
    <t>Densitetsprov Rydsgård Björk 2</t>
  </si>
  <si>
    <t>Träd Rydsgård Björk 3</t>
  </si>
  <si>
    <t>Densitetsprov Rydsgård Björk 3</t>
  </si>
  <si>
    <t>Densitetsprov Gräsmark Rydsgård</t>
  </si>
  <si>
    <t>Densitetsprov Åkermark Rydsgård</t>
  </si>
  <si>
    <t>Diam 1</t>
  </si>
  <si>
    <t>Diam 2</t>
  </si>
  <si>
    <t>Torrvikt jord gr</t>
  </si>
  <si>
    <t>Torrvikt Sten ,gr</t>
  </si>
  <si>
    <t xml:space="preserve"> Cylindernr</t>
  </si>
  <si>
    <t>Torrvikt jord ,gr</t>
  </si>
  <si>
    <t>Torrvikt sten,gr</t>
  </si>
  <si>
    <t>Torrvikt sten ,gr</t>
  </si>
  <si>
    <t>cylindernr</t>
  </si>
  <si>
    <t>Markprov(kemanalys) Rydsgård Poppel 1</t>
  </si>
  <si>
    <t>Markprov(kemanalys) Rydsgård Poppel 2</t>
  </si>
  <si>
    <t>Markprov(kemanalys) Rydsgård Poppel 3</t>
  </si>
  <si>
    <t>Markprov(kemanalys) Rydsgård Björk 1</t>
  </si>
  <si>
    <t>Markprov(kemanalys) Rydsgård Björk 2</t>
  </si>
  <si>
    <t>Markprov(kemanalys) Rydsgård Björk 3</t>
  </si>
  <si>
    <t>Markprov(kemanalys) Gräsmark Rydsgård</t>
  </si>
  <si>
    <t>Markprov(kemanalys) Åkermark Rydsgård</t>
  </si>
  <si>
    <t>Max borrdjup i cm.</t>
  </si>
  <si>
    <t>yta 1.6.2</t>
  </si>
  <si>
    <t>LG</t>
  </si>
  <si>
    <t>Lägsta levande gren</t>
  </si>
  <si>
    <t>Kronhöjd</t>
  </si>
  <si>
    <t>Svensk björk yta 5 (Block1)</t>
  </si>
  <si>
    <t>yta 1.5.1</t>
  </si>
  <si>
    <t>yta 1.5.2</t>
  </si>
  <si>
    <t>Bodarna, block 3, yta 3, Björk</t>
  </si>
  <si>
    <t>yta 3.3.1</t>
  </si>
  <si>
    <t>Densitetsprov Malmön Gräs</t>
  </si>
  <si>
    <t>Densitetsprov Malmön Birch Agri</t>
  </si>
  <si>
    <t>23/11-2021</t>
  </si>
  <si>
    <t>Densitetsprov Malmön Birch 2 Hallon</t>
  </si>
  <si>
    <t>Är Björk 2B ytan närmast åkern?</t>
  </si>
  <si>
    <t>Är Björk 2A ytan med hallonbuskar?</t>
  </si>
  <si>
    <t>r=7m</t>
  </si>
  <si>
    <t>S=</t>
  </si>
  <si>
    <t>m2</t>
  </si>
  <si>
    <t>NB! Cirkelytor 7m i radius.</t>
  </si>
  <si>
    <t>Summa per plot:</t>
  </si>
  <si>
    <t>Summa per ha</t>
  </si>
  <si>
    <t>dm3 per</t>
  </si>
  <si>
    <t>StandVol</t>
  </si>
  <si>
    <t>MAIStVol</t>
  </si>
  <si>
    <t>TDWstand</t>
  </si>
  <si>
    <t>MAITDWstand</t>
  </si>
  <si>
    <t>Plot code</t>
  </si>
  <si>
    <t xml:space="preserve">Bulk density </t>
  </si>
  <si>
    <t>g/cm3  2020</t>
  </si>
  <si>
    <t>Cylinders vol</t>
  </si>
  <si>
    <t>SE</t>
  </si>
  <si>
    <t>g/cm3</t>
  </si>
  <si>
    <t>volume</t>
  </si>
  <si>
    <t>St=stand</t>
  </si>
  <si>
    <t>Volume</t>
  </si>
  <si>
    <t>Volume cm3</t>
  </si>
  <si>
    <t>Stand age</t>
  </si>
  <si>
    <t>W</t>
  </si>
  <si>
    <t>S-20</t>
  </si>
  <si>
    <t>A</t>
  </si>
  <si>
    <t>S-15</t>
  </si>
  <si>
    <t>G</t>
  </si>
  <si>
    <t>S-18</t>
  </si>
  <si>
    <t>Vilken utav dessa 2 ytor är närmast diket?</t>
  </si>
  <si>
    <t>Näslund 1947</t>
  </si>
  <si>
    <t>Rutan som är närmast diket blev samplad för Jorddensitet</t>
  </si>
  <si>
    <t>Age?</t>
  </si>
  <si>
    <t>Ålder?</t>
  </si>
  <si>
    <t>Summa per plot</t>
  </si>
  <si>
    <t>D (cm)</t>
  </si>
  <si>
    <t>Vol (cm3)</t>
  </si>
  <si>
    <t>m3   per</t>
  </si>
  <si>
    <t>cm3 per</t>
  </si>
  <si>
    <t>H (m)</t>
  </si>
  <si>
    <t>volume ( cm3)</t>
  </si>
  <si>
    <t>Volymfunktion Björk</t>
  </si>
  <si>
    <t>Stand volume StVol</t>
  </si>
  <si>
    <t>Veddensitet björk från Jones, Liziniewicz et al 2021 Forests</t>
  </si>
  <si>
    <t>Veddensitet björk 0,438 g m3 Jones et al. Forests 2021</t>
  </si>
  <si>
    <t>D (mm)</t>
  </si>
  <si>
    <t>H (dm)</t>
  </si>
  <si>
    <t>Beståndet i Rydsgård är gallrat för ett par år sedan, stubbarna finns kvar</t>
  </si>
  <si>
    <t>Torrvikt utan sten!</t>
  </si>
  <si>
    <t>Year of planting 1991! Almirs avhandling</t>
  </si>
  <si>
    <t>Björkens volymfunktion</t>
  </si>
  <si>
    <t>På LV 3 planterades björken 1989 med 2-åriga plantor, så födelseåret blir således 1987 (Ulf)</t>
  </si>
  <si>
    <t xml:space="preserve">På LV 4 är det knepigare. Där planterades olika poppelhybrider under perioden 1989-1991. Den självsådda björk som växer där idag har kommit upp efter avverkning av poppelytorna, sannolikt någon gång mellan 2000-2005 (Ulf) </t>
  </si>
  <si>
    <t>S-09</t>
  </si>
  <si>
    <t>Träd Bullstofta Hasp 1 (S-11)</t>
  </si>
  <si>
    <t>Träd Bullstofta Hasp 2 (S-12)</t>
  </si>
  <si>
    <t>S-10</t>
  </si>
  <si>
    <t>(S-10)</t>
  </si>
  <si>
    <t>(S-9-10)</t>
  </si>
  <si>
    <t>Torrvikt jord utan sten</t>
  </si>
  <si>
    <t>Cylinder volume ( cm3)</t>
  </si>
  <si>
    <t>Höjd (dm)</t>
  </si>
  <si>
    <t>Träd Hyby (obs ! radie på cirkelytan 3m )</t>
  </si>
  <si>
    <t>Ålder</t>
  </si>
  <si>
    <t>Densitetsprov Sturup (Hyby)</t>
  </si>
  <si>
    <t>Densitetsprov Sturup (hyby) Gräsmark</t>
  </si>
  <si>
    <t>Markprov(kemanalys) Sturup (Hyby) Gräsmark</t>
  </si>
  <si>
    <t>S-07</t>
  </si>
  <si>
    <t>S-03</t>
  </si>
  <si>
    <t>S-04</t>
  </si>
  <si>
    <t>S-05</t>
  </si>
  <si>
    <t>S-06</t>
  </si>
  <si>
    <t>D(mm)</t>
  </si>
  <si>
    <t>Långaveka</t>
  </si>
  <si>
    <t>S-13-14-A</t>
  </si>
  <si>
    <t>Grassland (fallow)</t>
  </si>
  <si>
    <t>S-01-02-A</t>
  </si>
  <si>
    <t>S-04-06-A</t>
  </si>
  <si>
    <t>S-13-14</t>
  </si>
  <si>
    <t>S-13-14-W</t>
  </si>
  <si>
    <t>Rye</t>
  </si>
  <si>
    <t>S-19-W</t>
  </si>
  <si>
    <t>S-20-W</t>
  </si>
  <si>
    <t>OldPoplarClones</t>
  </si>
  <si>
    <t>Permanent crop</t>
  </si>
  <si>
    <t>Simpl_crop</t>
  </si>
  <si>
    <t>Aspen</t>
  </si>
  <si>
    <t>Comparison_ID</t>
  </si>
  <si>
    <t>BD at 60+</t>
  </si>
  <si>
    <t>source</t>
  </si>
  <si>
    <t>source cut</t>
  </si>
  <si>
    <t>Fors</t>
  </si>
  <si>
    <t>Kirchmann, H., 1991. Properties and Classification of Soils of the Swedish Long-Term Fertility Experiments. Acta Agric. Scand. 41, 227–242. https://doi.org/10.1080/00015129109439905</t>
  </si>
  <si>
    <t>Kirchmann, H., 1991.</t>
  </si>
  <si>
    <t>Kungsängen</t>
  </si>
  <si>
    <t>Vreta Kloster</t>
  </si>
  <si>
    <t>Kirchmann, H., Snäll, S., Eriksson, J., Mattsson, L., 2005. Properties and classification of soils of the Swedish long-term fertility experiments: V. Sites at Vreta Kloster and Högåsa. Acta Agric. Scand. Sect. B Soil Plant Sci. 55, 98–110. https://doi.org/10.1080/09064710510008711</t>
  </si>
  <si>
    <t>Kirchmann, H., Snäll, S., Eriksson, J., Mattsson, L., 2005.</t>
  </si>
  <si>
    <t>Högåsa</t>
  </si>
  <si>
    <t>Örja</t>
  </si>
  <si>
    <t>Kirchmann, H., Snäll, S., Eriksson, J., Mattsson, L., 2005b</t>
  </si>
  <si>
    <t>Orup</t>
  </si>
  <si>
    <t>Kirchmann, H., Eriksson, J., Snäll, S., 1999. Properties and Classification of Soils of the Swedish Long-Term Fertility Experiments: IV. Sites at Ekebo and Fjärdingslöv. Acta Agric. Scand. Sect. B Soil Plant Sci. 49, 25–38. https://doi.org/10.1080/09064719950135678</t>
  </si>
  <si>
    <t>Kirchmann, H., Eriksson, J., Snäll, S., 1999.</t>
  </si>
  <si>
    <t>Fjärdingslöv</t>
  </si>
  <si>
    <t>Kristianstad2</t>
  </si>
  <si>
    <t>Håkansson, I., 1985. Swedish experiments on subsoil compaction by vehicles with high axle load. Soil Use Manag. 1, 113–116. https://doi.org/10.1111/j.1475-2743.1985.tb00970.x</t>
  </si>
  <si>
    <t xml:space="preserve">Håkansson, I., 1985. </t>
  </si>
  <si>
    <t>Kristianstad3</t>
  </si>
  <si>
    <t>Skara2</t>
  </si>
  <si>
    <t>Skara3</t>
  </si>
  <si>
    <t>Uppsala3</t>
  </si>
  <si>
    <t>Land.use</t>
  </si>
  <si>
    <t>Plot.code</t>
  </si>
  <si>
    <t>Depth..cm.</t>
  </si>
  <si>
    <t>pH.1.mol.l.KCl</t>
  </si>
  <si>
    <t>NA.</t>
  </si>
  <si>
    <t>NA..1</t>
  </si>
  <si>
    <t>X.P2O5.mg.kg</t>
  </si>
  <si>
    <t>NA..2</t>
  </si>
  <si>
    <t>NA..3</t>
  </si>
  <si>
    <t>K2O.mg.kg</t>
  </si>
  <si>
    <t>NA..4</t>
  </si>
  <si>
    <t>NA..5</t>
  </si>
  <si>
    <t>C.total..</t>
  </si>
  <si>
    <t>NA..6</t>
  </si>
  <si>
    <t>NA..7</t>
  </si>
  <si>
    <t>C.org...</t>
  </si>
  <si>
    <t>NA..8</t>
  </si>
  <si>
    <t>NA..9</t>
  </si>
  <si>
    <t>C.inorganic.........</t>
  </si>
  <si>
    <t>N.total.mg.kg</t>
  </si>
  <si>
    <t>NA..10</t>
  </si>
  <si>
    <t>NA..11</t>
  </si>
  <si>
    <t>N..N.NO3...N.NO2..mg.kg</t>
  </si>
  <si>
    <t>NA..12</t>
  </si>
  <si>
    <t>NA..13</t>
  </si>
  <si>
    <t>N...N.NH4..mg.kg</t>
  </si>
  <si>
    <t>NA..14</t>
  </si>
  <si>
    <t>NA..15</t>
  </si>
  <si>
    <t>N.mineral.mg.kg</t>
  </si>
  <si>
    <t>NA..16</t>
  </si>
  <si>
    <t>NA..17</t>
  </si>
  <si>
    <t>N.org..mg.kg</t>
  </si>
  <si>
    <t>Bulk.density.</t>
  </si>
  <si>
    <t>Stand.age</t>
  </si>
  <si>
    <t>Stand.age.1</t>
  </si>
  <si>
    <t>StandVol.1</t>
  </si>
  <si>
    <t>MAIStVol.1</t>
  </si>
  <si>
    <t>TDWstand.1</t>
  </si>
  <si>
    <t>MAITDWstand.1</t>
  </si>
  <si>
    <t>2</t>
  </si>
  <si>
    <t>6</t>
  </si>
  <si>
    <t>43</t>
  </si>
  <si>
    <t>1.193565025175</t>
  </si>
  <si>
    <t>1.46341643129068</t>
  </si>
  <si>
    <t>1.36686724794302</t>
  </si>
  <si>
    <t>1.47083384502026</t>
  </si>
  <si>
    <t>1.36563919931229</t>
  </si>
  <si>
    <t>1.41225592533464</t>
  </si>
  <si>
    <t>1.7505833230996</t>
  </si>
  <si>
    <t>1.33642637848459</t>
  </si>
  <si>
    <t>1.04207540218593</t>
  </si>
  <si>
    <t>1.20244627287241</t>
  </si>
  <si>
    <t>1.49219452290311</t>
  </si>
  <si>
    <t>1.3661869090016</t>
  </si>
  <si>
    <t>1.48742478202137</t>
  </si>
  <si>
    <t>1.41274714478693</t>
  </si>
  <si>
    <t>1.07434606410414</t>
  </si>
  <si>
    <t>1.24072209259487</t>
  </si>
  <si>
    <t>1.12869949650006</t>
  </si>
  <si>
    <t>1.13014859388432</t>
  </si>
  <si>
    <t>1.05030087191453</t>
  </si>
  <si>
    <t>0.896352695566744</t>
  </si>
  <si>
    <t>1.14171681198575</t>
  </si>
  <si>
    <t>1.17462851528921</t>
  </si>
  <si>
    <t>1.22447500921036</t>
  </si>
  <si>
    <t>1.50716443571165</t>
  </si>
  <si>
    <t>1.49628883703795</t>
  </si>
  <si>
    <t>1.4938008105121</t>
  </si>
  <si>
    <t>0.994301854353433</t>
  </si>
  <si>
    <t>1.16979000368415</t>
  </si>
  <si>
    <t>1.04320275082893</t>
  </si>
  <si>
    <t>0.970895247451799</t>
  </si>
  <si>
    <t>1.01601375414466</t>
  </si>
  <si>
    <t>0.954341151909616</t>
  </si>
  <si>
    <t>0.969716320766302</t>
  </si>
  <si>
    <t>1.08741250153506</t>
  </si>
  <si>
    <t>1.00886651111384</t>
  </si>
  <si>
    <t>1.17266363748004</t>
  </si>
  <si>
    <t>0.887977403905195</t>
  </si>
  <si>
    <t>0.991501903475378</t>
  </si>
  <si>
    <t>1.04386589708952</t>
  </si>
  <si>
    <t>1.21257521797863</t>
  </si>
  <si>
    <t>Mean_depth</t>
  </si>
  <si>
    <t>Depth_diff</t>
  </si>
  <si>
    <t>SOC_fixed_depth_t_ha-1</t>
  </si>
  <si>
    <t>clay%</t>
  </si>
  <si>
    <t>Site.cod</t>
  </si>
  <si>
    <t>Site.name</t>
  </si>
  <si>
    <t>Soil.1</t>
  </si>
  <si>
    <t>Fine.silt</t>
  </si>
  <si>
    <t>Coarse.silt</t>
  </si>
  <si>
    <t>Fine.sand</t>
  </si>
  <si>
    <t>Coarse.sand</t>
  </si>
  <si>
    <t>Clay.</t>
  </si>
  <si>
    <t>Silt.</t>
  </si>
  <si>
    <t>Sand.</t>
  </si>
  <si>
    <t>P..P2O5.</t>
  </si>
  <si>
    <t>N.organic</t>
  </si>
  <si>
    <t>predict_BD_multi</t>
  </si>
  <si>
    <t>FALSE</t>
  </si>
  <si>
    <t>1</t>
  </si>
  <si>
    <t>C.organic%</t>
  </si>
  <si>
    <t>Land_use</t>
  </si>
  <si>
    <t>poplar_2000_BD_rf</t>
  </si>
  <si>
    <t>poplar_2000_BD_rf_landuse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</si>
  <si>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</si>
  <si>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</si>
  <si>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</si>
  <si>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</si>
  <si>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</si>
  <si>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</si>
  <si>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</si>
  <si>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</si>
  <si>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</si>
  <si>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</si>
  <si>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</si>
  <si>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</si>
  <si>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</si>
  <si>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</si>
  <si>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</si>
  <si>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</si>
  <si>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</si>
  <si>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</si>
  <si>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</si>
  <si>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</si>
  <si>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</si>
  <si>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</si>
  <si>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</si>
  <si>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</si>
  <si>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</si>
  <si>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</si>
  <si>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</si>
  <si>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</si>
  <si>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</si>
  <si>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</si>
  <si>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</si>
  <si>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</si>
  <si>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</si>
  <si>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</si>
  <si>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</si>
  <si>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</si>
  <si>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</si>
  <si>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</si>
  <si>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</si>
  <si>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</si>
  <si>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</si>
  <si>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</si>
  <si>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</si>
  <si>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</si>
  <si>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</si>
  <si>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</si>
  <si>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</si>
  <si>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</si>
  <si>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</si>
  <si>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</si>
  <si>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</si>
  <si>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</si>
  <si>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</si>
  <si>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</si>
  <si>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</si>
  <si>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agr_2000_BD_rf</t>
  </si>
  <si>
    <t>agr_2000_BD_rf_landuse</t>
  </si>
  <si>
    <t/>
  </si>
  <si>
    <t>Depth_interval</t>
  </si>
  <si>
    <t>C_ stocks_fixed_depth</t>
  </si>
  <si>
    <t>C_stocks_fixed_depth</t>
  </si>
  <si>
    <t>Stone correction included</t>
  </si>
  <si>
    <t>Corrected</t>
  </si>
  <si>
    <t>No deeper</t>
  </si>
  <si>
    <t>%</t>
  </si>
  <si>
    <t>C.organic g_kg</t>
  </si>
  <si>
    <t>SOCstocks per interval</t>
  </si>
  <si>
    <t>C.organic_g/kg</t>
  </si>
  <si>
    <t>Cstock0-7,5</t>
  </si>
  <si>
    <t>Cstock7,5-25</t>
  </si>
  <si>
    <t>Cstock45-60</t>
  </si>
  <si>
    <t>Cstock25-45</t>
  </si>
  <si>
    <t>subsoil</t>
  </si>
  <si>
    <t>soil</t>
  </si>
  <si>
    <t>topsoil</t>
  </si>
  <si>
    <t>loge=3,1524</t>
  </si>
  <si>
    <t>Clay%_topsoil</t>
  </si>
  <si>
    <t>Clay%subsoil</t>
  </si>
  <si>
    <t>0-7.5</t>
  </si>
  <si>
    <t>7.5-25</t>
  </si>
  <si>
    <t>Per</t>
  </si>
  <si>
    <t>Rey</t>
  </si>
  <si>
    <t>wood</t>
  </si>
  <si>
    <t>S-01-03-W</t>
  </si>
  <si>
    <t>S-01-03-A</t>
  </si>
  <si>
    <t>agri</t>
  </si>
  <si>
    <t>organisk jord</t>
  </si>
  <si>
    <t>S-08-09-W</t>
  </si>
  <si>
    <t>S-11-12-W</t>
  </si>
  <si>
    <t>wood, grassland</t>
  </si>
  <si>
    <t>S-04-06-W</t>
  </si>
  <si>
    <t>birch</t>
  </si>
  <si>
    <t>birch. Agri, grassland</t>
  </si>
  <si>
    <t>grassland</t>
  </si>
  <si>
    <t>S-19-20</t>
  </si>
  <si>
    <t>S-17</t>
  </si>
  <si>
    <t>S-16</t>
  </si>
  <si>
    <t>Grouping Information Using the Tukey Method and 95% Confidence</t>
  </si>
  <si>
    <t>Crop_type</t>
  </si>
  <si>
    <t>N</t>
  </si>
  <si>
    <t>Mean</t>
  </si>
  <si>
    <t>Grouping</t>
  </si>
  <si>
    <t>TGrassland</t>
  </si>
  <si>
    <t>B</t>
  </si>
  <si>
    <t>Means that do not share a letter are significantly different.</t>
  </si>
  <si>
    <t>ln</t>
  </si>
  <si>
    <t>Tukey Pairwise Comparisons: Crop_type</t>
  </si>
  <si>
    <t>Total SOC in 0-60cm:</t>
  </si>
  <si>
    <t>t/ha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</si>
</sst>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5" x14ac:knownFonts="1">
    <font>
      <sz val="8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  <charset val="186"/>
    </font>
    <font>
      <sz val="12"/>
      <name val="Times New Roman"/>
      <family val="1"/>
      <charset val="186"/>
    </font>
    <font>
      <sz val="10"/>
      <name val="Times New Roman"/>
      <family val="1"/>
      <charset val="186"/>
    </font>
    <font>
      <sz val="8"/>
      <color rgb="FFFF0000"/>
      <name val="Segoe UI"/>
      <family val="2"/>
    </font>
    <font>
      <b/>
      <sz val="10"/>
      <color theme="1"/>
      <name val="Segoe UI"/>
      <family val="2"/>
    </font>
    <font>
      <b/>
      <sz val="10"/>
      <color rgb="FFFF0000"/>
      <name val="Segoe UI"/>
      <family val="2"/>
    </font>
    <font>
      <vertAlign val="superscript"/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Times New Roman"/>
      <family val="1"/>
    </font>
    <font>
      <b/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sz val="8"/>
      <name val="Segoe UI"/>
      <family val="2"/>
    </font>
    <font>
      <sz val="11"/>
      <color rgb="FF1F497D"/>
      <name val="Calibri"/>
      <family val="2"/>
    </font>
    <font>
      <sz val="1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Segoe UI"/>
      <family val="2"/>
    </font>
    <font>
      <sz val="8"/>
      <color theme="7"/>
      <name val="Segoe UI"/>
      <family val="2"/>
    </font>
    <font>
      <sz val="8"/>
      <color rgb="FF7030A0"/>
      <name val="Segoe UI"/>
      <family val="2"/>
    </font>
    <font>
      <b/>
      <sz val="11"/>
      <color rgb="FFFF0000"/>
      <name val="Calibri"/>
      <family val="2"/>
      <scheme val="minor"/>
    </font>
    <font>
      <sz val="8"/>
      <color theme="9"/>
      <name val="Segoe UI"/>
      <family val="2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8"/>
      <color rgb="FFFFC000"/>
      <name val="Segoe UI"/>
      <family val="2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2"/>
      <color theme="9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11" fillId="2" borderId="0" applyNumberFormat="0" applyBorder="0" applyAlignment="0" applyProtection="0"/>
    <xf numFmtId="0" fontId="12" fillId="3" borderId="16" applyNumberFormat="0" applyAlignment="0" applyProtection="0"/>
    <xf numFmtId="0" fontId="13" fillId="4" borderId="17" applyNumberFormat="0" applyAlignment="0" applyProtection="0"/>
  </cellStyleXfs>
  <cellXfs count="198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NumberFormat="1"/>
    <xf numFmtId="0" fontId="1" fillId="0" borderId="0" xfId="1"/>
    <xf numFmtId="164" fontId="1" fillId="0" borderId="0" xfId="1" applyNumberFormat="1"/>
    <xf numFmtId="2" fontId="1" fillId="0" borderId="0" xfId="1" applyNumberFormat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3" fontId="0" fillId="0" borderId="0" xfId="0" applyNumberFormat="1"/>
    <xf numFmtId="14" fontId="0" fillId="0" borderId="0" xfId="0" applyNumberFormat="1"/>
    <xf numFmtId="165" fontId="4" fillId="0" borderId="11" xfId="0" applyNumberFormat="1" applyFont="1" applyBorder="1" applyAlignment="1">
      <alignment horizontal="right"/>
    </xf>
    <xf numFmtId="0" fontId="4" fillId="0" borderId="13" xfId="0" applyFont="1" applyBorder="1" applyAlignment="1"/>
    <xf numFmtId="165" fontId="4" fillId="0" borderId="12" xfId="0" applyNumberFormat="1" applyFont="1" applyBorder="1" applyAlignment="1">
      <alignment horizontal="left"/>
    </xf>
    <xf numFmtId="1" fontId="4" fillId="0" borderId="11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left" vertical="center"/>
    </xf>
    <xf numFmtId="1" fontId="4" fillId="0" borderId="11" xfId="0" quotePrefix="1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left" vertical="center"/>
    </xf>
    <xf numFmtId="2" fontId="4" fillId="0" borderId="11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2" fontId="4" fillId="0" borderId="12" xfId="0" applyNumberFormat="1" applyFont="1" applyBorder="1" applyAlignment="1">
      <alignment horizontal="left"/>
    </xf>
    <xf numFmtId="2" fontId="4" fillId="0" borderId="14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left" vertical="center"/>
    </xf>
    <xf numFmtId="2" fontId="3" fillId="0" borderId="11" xfId="0" applyNumberFormat="1" applyFont="1" applyBorder="1" applyAlignment="1"/>
    <xf numFmtId="0" fontId="3" fillId="0" borderId="13" xfId="0" applyFont="1" applyBorder="1" applyAlignment="1">
      <alignment horizontal="center"/>
    </xf>
    <xf numFmtId="2" fontId="3" fillId="0" borderId="13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left"/>
    </xf>
    <xf numFmtId="2" fontId="3" fillId="0" borderId="13" xfId="0" applyNumberFormat="1" applyFont="1" applyBorder="1" applyAlignment="1"/>
    <xf numFmtId="1" fontId="3" fillId="0" borderId="11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5" fontId="4" fillId="0" borderId="11" xfId="0" applyNumberFormat="1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165" fontId="4" fillId="0" borderId="12" xfId="0" applyNumberFormat="1" applyFont="1" applyBorder="1" applyAlignment="1">
      <alignment horizontal="left" vertical="top"/>
    </xf>
    <xf numFmtId="1" fontId="4" fillId="0" borderId="11" xfId="0" applyNumberFormat="1" applyFont="1" applyBorder="1" applyAlignment="1">
      <alignment horizontal="left" vertical="top"/>
    </xf>
    <xf numFmtId="1" fontId="4" fillId="0" borderId="13" xfId="0" applyNumberFormat="1" applyFont="1" applyBorder="1" applyAlignment="1">
      <alignment horizontal="left" vertical="top"/>
    </xf>
    <xf numFmtId="1" fontId="4" fillId="0" borderId="11" xfId="0" quotePrefix="1" applyNumberFormat="1" applyFont="1" applyBorder="1" applyAlignment="1">
      <alignment horizontal="left" vertical="top"/>
    </xf>
    <xf numFmtId="1" fontId="4" fillId="0" borderId="12" xfId="0" applyNumberFormat="1" applyFont="1" applyBorder="1" applyAlignment="1">
      <alignment horizontal="left" vertical="top"/>
    </xf>
    <xf numFmtId="2" fontId="4" fillId="0" borderId="11" xfId="0" applyNumberFormat="1" applyFont="1" applyBorder="1" applyAlignment="1">
      <alignment horizontal="left" vertical="top"/>
    </xf>
    <xf numFmtId="2" fontId="4" fillId="0" borderId="12" xfId="0" applyNumberFormat="1" applyFont="1" applyBorder="1" applyAlignment="1">
      <alignment horizontal="left" vertical="top"/>
    </xf>
    <xf numFmtId="2" fontId="4" fillId="0" borderId="14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" fontId="3" fillId="0" borderId="11" xfId="0" applyNumberFormat="1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165" fontId="3" fillId="0" borderId="12" xfId="0" applyNumberFormat="1" applyFont="1" applyBorder="1" applyAlignment="1">
      <alignment horizontal="left" vertical="top"/>
    </xf>
    <xf numFmtId="2" fontId="3" fillId="0" borderId="11" xfId="0" applyNumberFormat="1" applyFont="1" applyBorder="1" applyAlignment="1">
      <alignment horizontal="left" vertical="top"/>
    </xf>
    <xf numFmtId="2" fontId="3" fillId="0" borderId="13" xfId="0" applyNumberFormat="1" applyFont="1" applyBorder="1" applyAlignment="1">
      <alignment horizontal="left" vertical="top"/>
    </xf>
    <xf numFmtId="2" fontId="3" fillId="0" borderId="12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165" fontId="4" fillId="0" borderId="13" xfId="0" applyNumberFormat="1" applyFont="1" applyBorder="1" applyAlignment="1">
      <alignment horizontal="right"/>
    </xf>
    <xf numFmtId="0" fontId="5" fillId="0" borderId="9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vertical="center"/>
    </xf>
    <xf numFmtId="165" fontId="4" fillId="0" borderId="12" xfId="0" applyNumberFormat="1" applyFont="1" applyBorder="1" applyAlignment="1">
      <alignment horizontal="left" vertical="center"/>
    </xf>
    <xf numFmtId="2" fontId="4" fillId="0" borderId="11" xfId="0" applyNumberFormat="1" applyFont="1" applyBorder="1" applyAlignment="1"/>
    <xf numFmtId="2" fontId="4" fillId="0" borderId="13" xfId="0" applyNumberFormat="1" applyFont="1" applyBorder="1" applyAlignment="1">
      <alignment horizontal="left"/>
    </xf>
    <xf numFmtId="2" fontId="4" fillId="0" borderId="13" xfId="0" applyNumberFormat="1" applyFont="1" applyBorder="1" applyAlignment="1"/>
    <xf numFmtId="1" fontId="4" fillId="0" borderId="11" xfId="0" applyNumberFormat="1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2" fontId="0" fillId="0" borderId="0" xfId="0" applyNumberFormat="1"/>
    <xf numFmtId="0" fontId="7" fillId="0" borderId="0" xfId="0" applyFont="1"/>
    <xf numFmtId="0" fontId="10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11" fillId="2" borderId="0" xfId="2" applyAlignment="1">
      <alignment horizontal="right"/>
    </xf>
    <xf numFmtId="0" fontId="11" fillId="2" borderId="0" xfId="2"/>
    <xf numFmtId="0" fontId="6" fillId="0" borderId="0" xfId="0" applyFont="1" applyAlignment="1">
      <alignment horizontal="right"/>
    </xf>
    <xf numFmtId="0" fontId="12" fillId="3" borderId="16" xfId="3"/>
    <xf numFmtId="2" fontId="12" fillId="3" borderId="16" xfId="3" applyNumberFormat="1"/>
    <xf numFmtId="0" fontId="14" fillId="0" borderId="0" xfId="0" applyFont="1" applyAlignment="1">
      <alignment horizontal="left" vertical="top"/>
    </xf>
    <xf numFmtId="0" fontId="15" fillId="0" borderId="0" xfId="0" applyFont="1"/>
    <xf numFmtId="1" fontId="12" fillId="3" borderId="16" xfId="3" applyNumberFormat="1"/>
    <xf numFmtId="1" fontId="0" fillId="0" borderId="0" xfId="0" applyNumberFormat="1"/>
    <xf numFmtId="2" fontId="13" fillId="4" borderId="17" xfId="4" applyNumberFormat="1" applyAlignment="1">
      <alignment horizontal="center"/>
    </xf>
    <xf numFmtId="2" fontId="11" fillId="2" borderId="16" xfId="2" applyNumberFormat="1" applyBorder="1"/>
    <xf numFmtId="1" fontId="11" fillId="2" borderId="16" xfId="2" applyNumberFormat="1" applyBorder="1"/>
    <xf numFmtId="1" fontId="12" fillId="3" borderId="16" xfId="3" applyNumberFormat="1" applyAlignment="1">
      <alignment horizontal="left" vertical="top"/>
    </xf>
    <xf numFmtId="1" fontId="12" fillId="3" borderId="16" xfId="3" applyNumberFormat="1" applyAlignment="1">
      <alignment horizontal="center"/>
    </xf>
    <xf numFmtId="1" fontId="12" fillId="3" borderId="16" xfId="3" applyNumberFormat="1" applyAlignment="1">
      <alignment horizontal="left" vertical="top" wrapText="1"/>
    </xf>
    <xf numFmtId="1" fontId="15" fillId="0" borderId="0" xfId="0" applyNumberFormat="1" applyFont="1"/>
    <xf numFmtId="165" fontId="0" fillId="0" borderId="0" xfId="0" applyNumberFormat="1"/>
    <xf numFmtId="165" fontId="11" fillId="2" borderId="0" xfId="2" applyNumberFormat="1"/>
    <xf numFmtId="0" fontId="3" fillId="0" borderId="1" xfId="0" applyFont="1" applyBorder="1" applyAlignment="1">
      <alignment horizontal="left" vertical="top" wrapText="1"/>
    </xf>
    <xf numFmtId="165" fontId="16" fillId="2" borderId="0" xfId="2" applyNumberFormat="1" applyFont="1"/>
    <xf numFmtId="0" fontId="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5" borderId="0" xfId="0" applyFill="1"/>
    <xf numFmtId="0" fontId="0" fillId="5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3" fillId="0" borderId="0" xfId="0" applyFont="1"/>
    <xf numFmtId="1" fontId="3" fillId="0" borderId="11" xfId="0" applyNumberFormat="1" applyFont="1" applyBorder="1" applyAlignment="1">
      <alignment vertical="top"/>
    </xf>
    <xf numFmtId="1" fontId="3" fillId="0" borderId="13" xfId="0" applyNumberFormat="1" applyFont="1" applyBorder="1" applyAlignment="1">
      <alignment vertical="top"/>
    </xf>
    <xf numFmtId="1" fontId="3" fillId="0" borderId="11" xfId="0" applyNumberFormat="1" applyFont="1" applyBorder="1" applyAlignment="1"/>
    <xf numFmtId="1" fontId="3" fillId="0" borderId="13" xfId="0" applyNumberFormat="1" applyFont="1" applyBorder="1" applyAlignment="1"/>
    <xf numFmtId="0" fontId="0" fillId="0" borderId="0" xfId="0" applyAlignment="1">
      <alignment horizontal="left" vertical="center" indent="3"/>
    </xf>
    <xf numFmtId="0" fontId="6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0" fillId="6" borderId="0" xfId="0" applyFill="1"/>
    <xf numFmtId="0" fontId="6" fillId="6" borderId="0" xfId="0" applyFont="1" applyFill="1"/>
    <xf numFmtId="2" fontId="26" fillId="4" borderId="17" xfId="4" applyNumberFormat="1" applyFont="1" applyAlignment="1">
      <alignment horizontal="center"/>
    </xf>
    <xf numFmtId="2" fontId="13" fillId="4" borderId="17" xfId="4" applyNumberFormat="1" applyAlignment="1">
      <alignment horizontal="center" vertical="top" wrapText="1"/>
    </xf>
    <xf numFmtId="2" fontId="15" fillId="0" borderId="0" xfId="0" applyNumberFormat="1" applyFont="1" applyAlignment="1">
      <alignment horizontal="center"/>
    </xf>
    <xf numFmtId="2" fontId="13" fillId="4" borderId="17" xfId="4" applyNumberFormat="1" applyAlignment="1">
      <alignment horizontal="center" vertical="top"/>
    </xf>
    <xf numFmtId="2" fontId="26" fillId="4" borderId="17" xfId="4" applyNumberFormat="1" applyFont="1" applyAlignment="1">
      <alignment horizontal="center" vertical="top"/>
    </xf>
    <xf numFmtId="0" fontId="27" fillId="0" borderId="0" xfId="0" applyFont="1"/>
    <xf numFmtId="2" fontId="28" fillId="4" borderId="17" xfId="4" applyNumberFormat="1" applyFont="1" applyAlignment="1">
      <alignment horizontal="center" vertical="top"/>
    </xf>
    <xf numFmtId="2" fontId="29" fillId="4" borderId="17" xfId="4" applyNumberFormat="1" applyFont="1" applyAlignment="1">
      <alignment horizontal="center" vertical="top"/>
    </xf>
    <xf numFmtId="2" fontId="30" fillId="4" borderId="17" xfId="4" applyNumberFormat="1" applyFont="1" applyAlignment="1">
      <alignment horizontal="center" vertical="top"/>
    </xf>
    <xf numFmtId="2" fontId="30" fillId="4" borderId="17" xfId="4" applyNumberFormat="1" applyFont="1" applyAlignment="1">
      <alignment horizontal="center"/>
    </xf>
    <xf numFmtId="0" fontId="31" fillId="0" borderId="0" xfId="0" applyFont="1" applyFill="1"/>
    <xf numFmtId="0" fontId="3" fillId="0" borderId="0" xfId="0" applyFont="1" applyFill="1" applyBorder="1" applyAlignment="1">
      <alignment horizontal="left" vertical="top"/>
    </xf>
    <xf numFmtId="2" fontId="32" fillId="4" borderId="17" xfId="4" applyNumberFormat="1" applyFont="1" applyAlignment="1">
      <alignment horizontal="center" vertical="top"/>
    </xf>
    <xf numFmtId="2" fontId="33" fillId="4" borderId="17" xfId="4" applyNumberFormat="1" applyFont="1" applyAlignment="1">
      <alignment horizontal="center" vertical="top"/>
    </xf>
    <xf numFmtId="2" fontId="34" fillId="0" borderId="11" xfId="0" applyNumberFormat="1" applyFont="1" applyBorder="1" applyAlignment="1">
      <alignment horizontal="right"/>
    </xf>
    <xf numFmtId="0" fontId="16" fillId="2" borderId="0" xfId="2" applyFont="1"/>
    <xf numFmtId="0" fontId="3" fillId="7" borderId="9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left" vertical="top" wrapText="1"/>
    </xf>
    <xf numFmtId="0" fontId="0" fillId="7" borderId="0" xfId="0" applyFill="1"/>
    <xf numFmtId="165" fontId="4" fillId="7" borderId="11" xfId="0" applyNumberFormat="1" applyFont="1" applyFill="1" applyBorder="1" applyAlignment="1">
      <alignment horizontal="left" vertical="top"/>
    </xf>
    <xf numFmtId="0" fontId="4" fillId="7" borderId="13" xfId="0" applyFont="1" applyFill="1" applyBorder="1" applyAlignment="1">
      <alignment horizontal="left" vertical="top"/>
    </xf>
    <xf numFmtId="165" fontId="4" fillId="7" borderId="12" xfId="0" applyNumberFormat="1" applyFont="1" applyFill="1" applyBorder="1" applyAlignment="1">
      <alignment horizontal="left" vertical="top"/>
    </xf>
    <xf numFmtId="1" fontId="4" fillId="7" borderId="11" xfId="0" applyNumberFormat="1" applyFont="1" applyFill="1" applyBorder="1" applyAlignment="1">
      <alignment horizontal="left" vertical="top"/>
    </xf>
    <xf numFmtId="1" fontId="4" fillId="7" borderId="13" xfId="0" applyNumberFormat="1" applyFont="1" applyFill="1" applyBorder="1" applyAlignment="1">
      <alignment horizontal="left" vertical="top"/>
    </xf>
    <xf numFmtId="1" fontId="4" fillId="7" borderId="11" xfId="0" quotePrefix="1" applyNumberFormat="1" applyFont="1" applyFill="1" applyBorder="1" applyAlignment="1">
      <alignment horizontal="left" vertical="top"/>
    </xf>
    <xf numFmtId="1" fontId="4" fillId="7" borderId="12" xfId="0" applyNumberFormat="1" applyFont="1" applyFill="1" applyBorder="1" applyAlignment="1">
      <alignment horizontal="left" vertical="top"/>
    </xf>
    <xf numFmtId="2" fontId="4" fillId="7" borderId="11" xfId="0" applyNumberFormat="1" applyFont="1" applyFill="1" applyBorder="1" applyAlignment="1">
      <alignment horizontal="left" vertical="top"/>
    </xf>
    <xf numFmtId="2" fontId="4" fillId="7" borderId="12" xfId="0" applyNumberFormat="1" applyFont="1" applyFill="1" applyBorder="1" applyAlignment="1">
      <alignment horizontal="left" vertical="top"/>
    </xf>
    <xf numFmtId="2" fontId="4" fillId="7" borderId="14" xfId="0" applyNumberFormat="1" applyFont="1" applyFill="1" applyBorder="1" applyAlignment="1">
      <alignment horizontal="left" vertical="top"/>
    </xf>
    <xf numFmtId="1" fontId="3" fillId="7" borderId="11" xfId="0" applyNumberFormat="1" applyFont="1" applyFill="1" applyBorder="1" applyAlignment="1">
      <alignment horizontal="right"/>
    </xf>
    <xf numFmtId="0" fontId="3" fillId="7" borderId="13" xfId="0" applyFont="1" applyFill="1" applyBorder="1" applyAlignment="1">
      <alignment horizontal="center"/>
    </xf>
    <xf numFmtId="165" fontId="3" fillId="7" borderId="12" xfId="0" applyNumberFormat="1" applyFont="1" applyFill="1" applyBorder="1" applyAlignment="1">
      <alignment horizontal="left" vertical="center"/>
    </xf>
    <xf numFmtId="2" fontId="3" fillId="7" borderId="11" xfId="0" applyNumberFormat="1" applyFont="1" applyFill="1" applyBorder="1" applyAlignment="1"/>
    <xf numFmtId="2" fontId="3" fillId="7" borderId="13" xfId="0" applyNumberFormat="1" applyFont="1" applyFill="1" applyBorder="1" applyAlignment="1">
      <alignment horizontal="left"/>
    </xf>
    <xf numFmtId="2" fontId="3" fillId="7" borderId="12" xfId="0" applyNumberFormat="1" applyFont="1" applyFill="1" applyBorder="1" applyAlignment="1">
      <alignment horizontal="left"/>
    </xf>
    <xf numFmtId="2" fontId="3" fillId="7" borderId="13" xfId="0" applyNumberFormat="1" applyFont="1" applyFill="1" applyBorder="1" applyAlignment="1"/>
    <xf numFmtId="1" fontId="3" fillId="7" borderId="11" xfId="0" applyNumberFormat="1" applyFont="1" applyFill="1" applyBorder="1" applyAlignment="1"/>
    <xf numFmtId="1" fontId="3" fillId="7" borderId="13" xfId="0" applyNumberFormat="1" applyFont="1" applyFill="1" applyBorder="1" applyAlignment="1"/>
    <xf numFmtId="2" fontId="26" fillId="7" borderId="17" xfId="4" applyNumberFormat="1" applyFont="1" applyFill="1" applyAlignment="1">
      <alignment horizontal="center"/>
    </xf>
    <xf numFmtId="2" fontId="32" fillId="7" borderId="17" xfId="4" applyNumberFormat="1" applyFont="1" applyFill="1" applyAlignment="1">
      <alignment horizontal="center" vertical="top"/>
    </xf>
    <xf numFmtId="1" fontId="12" fillId="7" borderId="16" xfId="3" applyNumberFormat="1" applyFill="1" applyAlignment="1">
      <alignment horizontal="center"/>
    </xf>
    <xf numFmtId="2" fontId="12" fillId="7" borderId="16" xfId="3" applyNumberFormat="1" applyFill="1"/>
    <xf numFmtId="1" fontId="11" fillId="7" borderId="16" xfId="2" applyNumberFormat="1" applyFill="1" applyBorder="1"/>
    <xf numFmtId="2" fontId="11" fillId="7" borderId="16" xfId="2" applyNumberFormat="1" applyFill="1" applyBorder="1"/>
    <xf numFmtId="0" fontId="3" fillId="7" borderId="14" xfId="0" applyFont="1" applyFill="1" applyBorder="1" applyAlignment="1">
      <alignment horizontal="left" vertical="top" wrapText="1"/>
    </xf>
    <xf numFmtId="0" fontId="6" fillId="7" borderId="0" xfId="0" applyFont="1" applyFill="1"/>
    <xf numFmtId="2" fontId="29" fillId="7" borderId="17" xfId="4" applyNumberFormat="1" applyFont="1" applyFill="1" applyAlignment="1">
      <alignment horizontal="center" vertical="top"/>
    </xf>
    <xf numFmtId="2" fontId="30" fillId="7" borderId="17" xfId="4" applyNumberFormat="1" applyFont="1" applyFill="1" applyAlignment="1">
      <alignment horizontal="center" vertical="top"/>
    </xf>
    <xf numFmtId="0" fontId="14" fillId="7" borderId="0" xfId="0" applyFont="1" applyFill="1" applyAlignment="1">
      <alignment horizontal="left" vertical="top"/>
    </xf>
    <xf numFmtId="166" fontId="3" fillId="7" borderId="11" xfId="0" applyNumberFormat="1" applyFont="1" applyFill="1" applyBorder="1" applyAlignment="1"/>
    <xf numFmtId="0" fontId="3" fillId="7" borderId="12" xfId="0" applyFont="1" applyFill="1" applyBorder="1" applyAlignment="1">
      <alignment horizontal="left" vertical="top" wrapText="1"/>
    </xf>
    <xf numFmtId="0" fontId="3" fillId="7" borderId="13" xfId="0" applyFont="1" applyFill="1" applyBorder="1" applyAlignment="1">
      <alignment horizontal="left" vertical="top" wrapText="1"/>
    </xf>
  </cellXfs>
  <cellStyles count="5">
    <cellStyle name="Check Cell" xfId="4" builtinId="23"/>
    <cellStyle name="Good" xfId="2" builtinId="26"/>
    <cellStyle name="Input" xfId="3" builtinId="20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Deep_Bulk_density!$C$1</c:f>
              <c:strCache>
                <c:ptCount val="1"/>
                <c:pt idx="0">
                  <c:v>BD at 60+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230096237970252E-3"/>
                  <c:y val="3.55879791195365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Deep_Bulk_density!$B$2:$B$14</c:f>
              <c:numCache>
                <c:formatCode>General</c:formatCode>
                <c:ptCount val="13"/>
                <c:pt idx="0">
                  <c:v>13.5</c:v>
                </c:pt>
                <c:pt idx="1">
                  <c:v>58.2</c:v>
                </c:pt>
                <c:pt idx="2">
                  <c:v>77.599999999999994</c:v>
                </c:pt>
                <c:pt idx="3">
                  <c:v>1.5</c:v>
                </c:pt>
                <c:pt idx="4">
                  <c:v>43</c:v>
                </c:pt>
                <c:pt idx="5">
                  <c:v>11</c:v>
                </c:pt>
                <c:pt idx="6">
                  <c:v>18.600000000000001</c:v>
                </c:pt>
                <c:pt idx="7">
                  <c:v>17.3</c:v>
                </c:pt>
                <c:pt idx="8">
                  <c:v>10</c:v>
                </c:pt>
                <c:pt idx="9">
                  <c:v>20</c:v>
                </c:pt>
                <c:pt idx="10">
                  <c:v>48</c:v>
                </c:pt>
                <c:pt idx="11">
                  <c:v>85</c:v>
                </c:pt>
                <c:pt idx="12">
                  <c:v>63</c:v>
                </c:pt>
              </c:numCache>
            </c:numRef>
          </c:xVal>
          <c:yVal>
            <c:numRef>
              <c:f>Deep_Bulk_density!$C$2:$C$14</c:f>
              <c:numCache>
                <c:formatCode>General</c:formatCode>
                <c:ptCount val="13"/>
                <c:pt idx="0">
                  <c:v>1.5</c:v>
                </c:pt>
                <c:pt idx="1">
                  <c:v>1.26</c:v>
                </c:pt>
                <c:pt idx="2">
                  <c:v>1.25</c:v>
                </c:pt>
                <c:pt idx="3">
                  <c:v>1.47</c:v>
                </c:pt>
                <c:pt idx="4">
                  <c:v>1.62</c:v>
                </c:pt>
                <c:pt idx="5">
                  <c:v>1.8</c:v>
                </c:pt>
                <c:pt idx="6">
                  <c:v>1.73</c:v>
                </c:pt>
                <c:pt idx="7">
                  <c:v>1.79</c:v>
                </c:pt>
                <c:pt idx="8">
                  <c:v>1.58</c:v>
                </c:pt>
                <c:pt idx="9">
                  <c:v>1.63</c:v>
                </c:pt>
                <c:pt idx="10">
                  <c:v>1.49</c:v>
                </c:pt>
                <c:pt idx="11">
                  <c:v>1.49</c:v>
                </c:pt>
                <c:pt idx="12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3-495B-965A-1D05B0A1C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99128"/>
        <c:axId val="629399784"/>
      </c:scatterChart>
      <c:valAx>
        <c:axId val="62939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99784"/>
        <c:crosses val="autoZero"/>
        <c:crossBetween val="midCat"/>
      </c:valAx>
      <c:valAx>
        <c:axId val="6293997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9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'S-17-W(2020)'!$L$2:$L$15</c:f>
              <c:numCache>
                <c:formatCode>General</c:formatCode>
                <c:ptCount val="14"/>
                <c:pt idx="0">
                  <c:v>226</c:v>
                </c:pt>
                <c:pt idx="1">
                  <c:v>214.5</c:v>
                </c:pt>
                <c:pt idx="2">
                  <c:v>118.5</c:v>
                </c:pt>
                <c:pt idx="3">
                  <c:v>187</c:v>
                </c:pt>
                <c:pt idx="4">
                  <c:v>93.5</c:v>
                </c:pt>
                <c:pt idx="5">
                  <c:v>181.5</c:v>
                </c:pt>
                <c:pt idx="6">
                  <c:v>107.5</c:v>
                </c:pt>
                <c:pt idx="7">
                  <c:v>139.5</c:v>
                </c:pt>
                <c:pt idx="8">
                  <c:v>248.5</c:v>
                </c:pt>
                <c:pt idx="9">
                  <c:v>84.5</c:v>
                </c:pt>
                <c:pt idx="10">
                  <c:v>77.5</c:v>
                </c:pt>
                <c:pt idx="11">
                  <c:v>183.5</c:v>
                </c:pt>
                <c:pt idx="12">
                  <c:v>138.5</c:v>
                </c:pt>
                <c:pt idx="13">
                  <c:v>212</c:v>
                </c:pt>
              </c:numCache>
            </c:numRef>
          </c:xVal>
          <c:yVal>
            <c:numRef>
              <c:f>'S-17-W(2020)'!$M$2:$M$15</c:f>
              <c:numCache>
                <c:formatCode>General</c:formatCode>
                <c:ptCount val="14"/>
                <c:pt idx="0">
                  <c:v>188</c:v>
                </c:pt>
                <c:pt idx="1">
                  <c:v>176</c:v>
                </c:pt>
                <c:pt idx="2">
                  <c:v>165</c:v>
                </c:pt>
                <c:pt idx="3">
                  <c:v>187</c:v>
                </c:pt>
                <c:pt idx="4">
                  <c:v>115</c:v>
                </c:pt>
                <c:pt idx="5">
                  <c:v>191</c:v>
                </c:pt>
                <c:pt idx="6">
                  <c:v>128</c:v>
                </c:pt>
                <c:pt idx="7">
                  <c:v>133</c:v>
                </c:pt>
                <c:pt idx="8">
                  <c:v>200</c:v>
                </c:pt>
                <c:pt idx="9">
                  <c:v>96</c:v>
                </c:pt>
                <c:pt idx="10">
                  <c:v>96</c:v>
                </c:pt>
                <c:pt idx="11">
                  <c:v>186</c:v>
                </c:pt>
                <c:pt idx="12">
                  <c:v>156</c:v>
                </c:pt>
                <c:pt idx="13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B3-48EF-8460-0227CBD2C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94856"/>
        <c:axId val="353036760"/>
      </c:scatterChart>
      <c:valAx>
        <c:axId val="35409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6760"/>
        <c:crosses val="autoZero"/>
        <c:crossBetween val="midCat"/>
      </c:valAx>
      <c:valAx>
        <c:axId val="35303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9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('S-18-W(2020)'!$L$2:$L$20,'S-18-W(2020)'!$L$22:$L$34)</c:f>
              <c:numCache>
                <c:formatCode>General</c:formatCode>
                <c:ptCount val="32"/>
                <c:pt idx="0">
                  <c:v>170</c:v>
                </c:pt>
                <c:pt idx="1">
                  <c:v>80.5</c:v>
                </c:pt>
                <c:pt idx="2">
                  <c:v>97</c:v>
                </c:pt>
                <c:pt idx="3">
                  <c:v>161</c:v>
                </c:pt>
                <c:pt idx="4">
                  <c:v>118.5</c:v>
                </c:pt>
                <c:pt idx="5">
                  <c:v>66</c:v>
                </c:pt>
                <c:pt idx="6">
                  <c:v>113.5</c:v>
                </c:pt>
                <c:pt idx="7">
                  <c:v>117.5</c:v>
                </c:pt>
                <c:pt idx="8">
                  <c:v>124</c:v>
                </c:pt>
                <c:pt idx="9">
                  <c:v>98</c:v>
                </c:pt>
                <c:pt idx="10">
                  <c:v>68.5</c:v>
                </c:pt>
                <c:pt idx="11">
                  <c:v>133.5</c:v>
                </c:pt>
                <c:pt idx="12">
                  <c:v>140</c:v>
                </c:pt>
                <c:pt idx="13">
                  <c:v>125</c:v>
                </c:pt>
                <c:pt idx="14">
                  <c:v>128.5</c:v>
                </c:pt>
                <c:pt idx="15">
                  <c:v>114.5</c:v>
                </c:pt>
                <c:pt idx="16">
                  <c:v>100.5</c:v>
                </c:pt>
                <c:pt idx="17">
                  <c:v>140</c:v>
                </c:pt>
                <c:pt idx="18">
                  <c:v>70.5</c:v>
                </c:pt>
                <c:pt idx="19">
                  <c:v>104.5</c:v>
                </c:pt>
                <c:pt idx="20">
                  <c:v>77</c:v>
                </c:pt>
                <c:pt idx="21">
                  <c:v>104</c:v>
                </c:pt>
                <c:pt idx="22">
                  <c:v>110.5</c:v>
                </c:pt>
                <c:pt idx="23">
                  <c:v>147.5</c:v>
                </c:pt>
                <c:pt idx="24">
                  <c:v>173</c:v>
                </c:pt>
                <c:pt idx="25">
                  <c:v>106.5</c:v>
                </c:pt>
                <c:pt idx="26">
                  <c:v>83.5</c:v>
                </c:pt>
                <c:pt idx="27">
                  <c:v>161.5</c:v>
                </c:pt>
                <c:pt idx="28">
                  <c:v>130.5</c:v>
                </c:pt>
                <c:pt idx="29">
                  <c:v>97.5</c:v>
                </c:pt>
                <c:pt idx="30">
                  <c:v>109.5</c:v>
                </c:pt>
                <c:pt idx="31">
                  <c:v>126</c:v>
                </c:pt>
              </c:numCache>
            </c:numRef>
          </c:xVal>
          <c:yVal>
            <c:numRef>
              <c:f>('S-18-W(2020)'!$M$2:$M$20,'S-18-W(2020)'!$M$22:$M$34)</c:f>
              <c:numCache>
                <c:formatCode>General</c:formatCode>
                <c:ptCount val="32"/>
                <c:pt idx="0">
                  <c:v>189</c:v>
                </c:pt>
                <c:pt idx="1">
                  <c:v>129</c:v>
                </c:pt>
                <c:pt idx="2">
                  <c:v>157</c:v>
                </c:pt>
                <c:pt idx="3">
                  <c:v>165</c:v>
                </c:pt>
                <c:pt idx="4">
                  <c:v>155</c:v>
                </c:pt>
                <c:pt idx="5">
                  <c:v>122</c:v>
                </c:pt>
                <c:pt idx="6">
                  <c:v>161</c:v>
                </c:pt>
                <c:pt idx="7">
                  <c:v>154</c:v>
                </c:pt>
                <c:pt idx="8">
                  <c:v>155</c:v>
                </c:pt>
                <c:pt idx="9">
                  <c:v>150</c:v>
                </c:pt>
                <c:pt idx="10">
                  <c:v>113</c:v>
                </c:pt>
                <c:pt idx="11">
                  <c:v>176</c:v>
                </c:pt>
                <c:pt idx="12">
                  <c:v>165</c:v>
                </c:pt>
                <c:pt idx="13">
                  <c:v>153</c:v>
                </c:pt>
                <c:pt idx="14">
                  <c:v>158</c:v>
                </c:pt>
                <c:pt idx="15">
                  <c:v>144</c:v>
                </c:pt>
                <c:pt idx="16">
                  <c:v>150</c:v>
                </c:pt>
                <c:pt idx="17">
                  <c:v>177</c:v>
                </c:pt>
                <c:pt idx="18">
                  <c:v>105</c:v>
                </c:pt>
                <c:pt idx="19">
                  <c:v>140</c:v>
                </c:pt>
                <c:pt idx="20">
                  <c:v>139</c:v>
                </c:pt>
                <c:pt idx="21">
                  <c:v>162</c:v>
                </c:pt>
                <c:pt idx="22">
                  <c:v>155</c:v>
                </c:pt>
                <c:pt idx="23">
                  <c:v>181</c:v>
                </c:pt>
                <c:pt idx="24">
                  <c:v>212</c:v>
                </c:pt>
                <c:pt idx="25">
                  <c:v>169</c:v>
                </c:pt>
                <c:pt idx="26">
                  <c:v>123</c:v>
                </c:pt>
                <c:pt idx="27">
                  <c:v>212</c:v>
                </c:pt>
                <c:pt idx="28">
                  <c:v>175</c:v>
                </c:pt>
                <c:pt idx="29">
                  <c:v>158</c:v>
                </c:pt>
                <c:pt idx="30">
                  <c:v>163</c:v>
                </c:pt>
                <c:pt idx="31">
                  <c:v>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2-4F0A-900B-796EE1E44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48072"/>
        <c:axId val="510143480"/>
      </c:scatterChart>
      <c:valAx>
        <c:axId val="51014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3480"/>
        <c:crosses val="autoZero"/>
        <c:crossBetween val="midCat"/>
      </c:valAx>
      <c:valAx>
        <c:axId val="5101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'S-19-W(2020)'!$J$2:$J$27</c:f>
              <c:numCache>
                <c:formatCode>General</c:formatCode>
                <c:ptCount val="26"/>
                <c:pt idx="0">
                  <c:v>127</c:v>
                </c:pt>
                <c:pt idx="1">
                  <c:v>100</c:v>
                </c:pt>
                <c:pt idx="2">
                  <c:v>120.5</c:v>
                </c:pt>
                <c:pt idx="3">
                  <c:v>89</c:v>
                </c:pt>
                <c:pt idx="4">
                  <c:v>113</c:v>
                </c:pt>
                <c:pt idx="5">
                  <c:v>93.5</c:v>
                </c:pt>
                <c:pt idx="6">
                  <c:v>105</c:v>
                </c:pt>
                <c:pt idx="7">
                  <c:v>84</c:v>
                </c:pt>
                <c:pt idx="8">
                  <c:v>84.5</c:v>
                </c:pt>
                <c:pt idx="9">
                  <c:v>97.5</c:v>
                </c:pt>
                <c:pt idx="10">
                  <c:v>106</c:v>
                </c:pt>
                <c:pt idx="11">
                  <c:v>89</c:v>
                </c:pt>
                <c:pt idx="12">
                  <c:v>77</c:v>
                </c:pt>
                <c:pt idx="13">
                  <c:v>115</c:v>
                </c:pt>
                <c:pt idx="14">
                  <c:v>101.5</c:v>
                </c:pt>
                <c:pt idx="15">
                  <c:v>103</c:v>
                </c:pt>
                <c:pt idx="16">
                  <c:v>125.5</c:v>
                </c:pt>
                <c:pt idx="17">
                  <c:v>122.5</c:v>
                </c:pt>
                <c:pt idx="18">
                  <c:v>75.5</c:v>
                </c:pt>
                <c:pt idx="19">
                  <c:v>125</c:v>
                </c:pt>
                <c:pt idx="20">
                  <c:v>131.5</c:v>
                </c:pt>
                <c:pt idx="21">
                  <c:v>95</c:v>
                </c:pt>
                <c:pt idx="22">
                  <c:v>101</c:v>
                </c:pt>
                <c:pt idx="23">
                  <c:v>111.5</c:v>
                </c:pt>
                <c:pt idx="24">
                  <c:v>129</c:v>
                </c:pt>
                <c:pt idx="25">
                  <c:v>92.5</c:v>
                </c:pt>
              </c:numCache>
            </c:numRef>
          </c:xVal>
          <c:yVal>
            <c:numRef>
              <c:f>'S-19-W(2020)'!$K$2:$K$27</c:f>
              <c:numCache>
                <c:formatCode>General</c:formatCode>
                <c:ptCount val="26"/>
                <c:pt idx="0">
                  <c:v>141</c:v>
                </c:pt>
                <c:pt idx="1">
                  <c:v>143</c:v>
                </c:pt>
                <c:pt idx="2">
                  <c:v>149</c:v>
                </c:pt>
                <c:pt idx="3">
                  <c:v>124</c:v>
                </c:pt>
                <c:pt idx="4">
                  <c:v>143</c:v>
                </c:pt>
                <c:pt idx="5">
                  <c:v>135</c:v>
                </c:pt>
                <c:pt idx="6">
                  <c:v>155</c:v>
                </c:pt>
                <c:pt idx="7">
                  <c:v>149</c:v>
                </c:pt>
                <c:pt idx="8">
                  <c:v>126</c:v>
                </c:pt>
                <c:pt idx="9">
                  <c:v>143</c:v>
                </c:pt>
                <c:pt idx="10">
                  <c:v>162</c:v>
                </c:pt>
                <c:pt idx="11">
                  <c:v>157</c:v>
                </c:pt>
                <c:pt idx="12">
                  <c:v>128</c:v>
                </c:pt>
                <c:pt idx="13">
                  <c:v>164</c:v>
                </c:pt>
                <c:pt idx="14">
                  <c:v>163</c:v>
                </c:pt>
                <c:pt idx="15">
                  <c:v>159</c:v>
                </c:pt>
                <c:pt idx="16">
                  <c:v>173</c:v>
                </c:pt>
                <c:pt idx="17">
                  <c:v>157</c:v>
                </c:pt>
                <c:pt idx="18">
                  <c:v>129</c:v>
                </c:pt>
                <c:pt idx="19">
                  <c:v>156</c:v>
                </c:pt>
                <c:pt idx="20">
                  <c:v>158</c:v>
                </c:pt>
                <c:pt idx="21">
                  <c:v>141</c:v>
                </c:pt>
                <c:pt idx="22">
                  <c:v>132</c:v>
                </c:pt>
                <c:pt idx="23">
                  <c:v>148</c:v>
                </c:pt>
                <c:pt idx="24">
                  <c:v>156</c:v>
                </c:pt>
                <c:pt idx="25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D-4865-AF3C-B59626CF2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38072"/>
        <c:axId val="353039712"/>
      </c:scatterChart>
      <c:valAx>
        <c:axId val="35303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9712"/>
        <c:crosses val="autoZero"/>
        <c:crossBetween val="midCat"/>
      </c:valAx>
      <c:valAx>
        <c:axId val="3530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11</xdr:row>
      <xdr:rowOff>104774</xdr:rowOff>
    </xdr:from>
    <xdr:to>
      <xdr:col>17</xdr:col>
      <xdr:colOff>142875</xdr:colOff>
      <xdr:row>43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</xdr:colOff>
      <xdr:row>10</xdr:row>
      <xdr:rowOff>15240</xdr:rowOff>
    </xdr:from>
    <xdr:to>
      <xdr:col>29</xdr:col>
      <xdr:colOff>205740</xdr:colOff>
      <xdr:row>29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213360</xdr:colOff>
      <xdr:row>1</xdr:row>
      <xdr:rowOff>53340</xdr:rowOff>
    </xdr:from>
    <xdr:to>
      <xdr:col>30</xdr:col>
      <xdr:colOff>396240</xdr:colOff>
      <xdr:row>20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449580</xdr:colOff>
      <xdr:row>2</xdr:row>
      <xdr:rowOff>129540</xdr:rowOff>
    </xdr:from>
    <xdr:to>
      <xdr:col>28</xdr:col>
      <xdr:colOff>144780</xdr:colOff>
      <xdr:row>21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3718560" cy="38862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880"/>
          <a:ext cx="371856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1"/>
  <sheetViews>
    <sheetView workbookViewId="0">
      <pane xSplit="8" ySplit="1" topLeftCell="AC29" activePane="bottomRight" state="frozen"/>
      <selection pane="topRight" activeCell="I1" sqref="I1"/>
      <selection pane="bottomLeft" activeCell="A2" sqref="A2"/>
      <selection pane="bottomRight" activeCell="AL38" sqref="AL38"/>
    </sheetView>
  </sheetViews>
  <sheetFormatPr defaultRowHeight="10.5" x14ac:dyDescent="0.15"/>
  <sheetData>
    <row r="1" spans="1:38" x14ac:dyDescent="0.15">
      <c r="B1" t="s">
        <v>521</v>
      </c>
      <c r="C1" t="s">
        <v>522</v>
      </c>
      <c r="D1" t="s">
        <v>65</v>
      </c>
      <c r="E1" t="s">
        <v>435</v>
      </c>
      <c r="F1" t="s">
        <v>537</v>
      </c>
      <c r="G1" t="s">
        <v>410</v>
      </c>
      <c r="H1" t="s">
        <v>0</v>
      </c>
      <c r="I1" t="s">
        <v>517</v>
      </c>
      <c r="J1" t="s">
        <v>598</v>
      </c>
      <c r="K1" t="s">
        <v>2</v>
      </c>
      <c r="L1" t="s">
        <v>1</v>
      </c>
      <c r="M1" t="s">
        <v>3</v>
      </c>
      <c r="N1" t="s">
        <v>523</v>
      </c>
      <c r="O1" t="s">
        <v>4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104</v>
      </c>
      <c r="X1" t="s">
        <v>105</v>
      </c>
      <c r="Y1" t="s">
        <v>109</v>
      </c>
      <c r="Z1" t="s">
        <v>9</v>
      </c>
      <c r="AA1" t="s">
        <v>10</v>
      </c>
      <c r="AB1" t="s">
        <v>531</v>
      </c>
      <c r="AC1" t="s">
        <v>12</v>
      </c>
      <c r="AD1" t="s">
        <v>13</v>
      </c>
      <c r="AE1" t="s">
        <v>14</v>
      </c>
      <c r="AF1" t="s">
        <v>607</v>
      </c>
      <c r="AG1" t="s">
        <v>532</v>
      </c>
      <c r="AH1" t="s">
        <v>17</v>
      </c>
      <c r="AI1" t="s">
        <v>18</v>
      </c>
      <c r="AJ1" t="s">
        <v>538</v>
      </c>
      <c r="AK1" t="s">
        <v>539</v>
      </c>
      <c r="AL1" t="s">
        <v>599</v>
      </c>
    </row>
    <row r="2" spans="1:38" x14ac:dyDescent="0.15">
      <c r="A2" t="s">
        <v>535</v>
      </c>
      <c r="B2" t="s">
        <v>22</v>
      </c>
      <c r="C2" t="s">
        <v>44</v>
      </c>
      <c r="D2" t="s">
        <v>179</v>
      </c>
      <c r="E2" t="s">
        <v>83</v>
      </c>
      <c r="F2" t="s">
        <v>346</v>
      </c>
      <c r="G2" t="s">
        <v>22</v>
      </c>
      <c r="H2" t="s">
        <v>177</v>
      </c>
      <c r="I2">
        <v>3.75</v>
      </c>
      <c r="J2">
        <v>7.5</v>
      </c>
      <c r="K2">
        <v>6</v>
      </c>
      <c r="L2">
        <v>5</v>
      </c>
      <c r="M2">
        <v>989</v>
      </c>
      <c r="N2">
        <v>999</v>
      </c>
      <c r="O2">
        <v>103</v>
      </c>
      <c r="P2">
        <v>110</v>
      </c>
      <c r="Q2">
        <v>94</v>
      </c>
      <c r="R2">
        <v>343</v>
      </c>
      <c r="S2">
        <v>349</v>
      </c>
      <c r="T2">
        <v>10.31031031031031</v>
      </c>
      <c r="U2">
        <v>20.42042042042042</v>
      </c>
      <c r="V2">
        <v>69.269269269269273</v>
      </c>
      <c r="W2">
        <v>-1.4403822712498464</v>
      </c>
      <c r="X2">
        <v>0.23683720532076308</v>
      </c>
      <c r="Y2" t="s">
        <v>534</v>
      </c>
      <c r="Z2">
        <v>6.1</v>
      </c>
      <c r="AA2" t="s">
        <v>20</v>
      </c>
      <c r="AB2">
        <v>7.3999999999999996E-2</v>
      </c>
      <c r="AC2">
        <v>0.95</v>
      </c>
      <c r="AD2">
        <v>7.5999999999999998E-2</v>
      </c>
      <c r="AE2">
        <v>0.18099999999999999</v>
      </c>
      <c r="AF2">
        <v>15.83</v>
      </c>
      <c r="AG2">
        <v>1.31</v>
      </c>
      <c r="AH2">
        <v>50.4</v>
      </c>
      <c r="AI2">
        <v>0.25</v>
      </c>
      <c r="AJ2" s="141">
        <f>AJ3-((AJ3-AJ5)/(I3-I5))*3.5</f>
        <v>1.210092228857125</v>
      </c>
      <c r="AK2" s="141">
        <f>AK3-((AK3-AK5)/(I3-I5))*3.5</f>
        <v>1.3195591958253938</v>
      </c>
      <c r="AL2">
        <f>AK2*AF2*0.1*J2</f>
        <v>15.66646655243699</v>
      </c>
    </row>
    <row r="3" spans="1:38" x14ac:dyDescent="0.15">
      <c r="A3" t="s">
        <v>474</v>
      </c>
      <c r="B3" t="s">
        <v>22</v>
      </c>
      <c r="C3" t="s">
        <v>44</v>
      </c>
      <c r="D3" t="s">
        <v>179</v>
      </c>
      <c r="E3" t="s">
        <v>83</v>
      </c>
      <c r="F3" t="s">
        <v>346</v>
      </c>
      <c r="G3" t="s">
        <v>22</v>
      </c>
      <c r="H3" t="s">
        <v>175</v>
      </c>
      <c r="I3">
        <v>16.25</v>
      </c>
      <c r="J3">
        <f>25-7.5</f>
        <v>17.5</v>
      </c>
      <c r="K3">
        <v>6</v>
      </c>
      <c r="L3">
        <v>5</v>
      </c>
      <c r="M3">
        <v>989</v>
      </c>
      <c r="N3">
        <v>999</v>
      </c>
      <c r="O3">
        <v>106</v>
      </c>
      <c r="P3">
        <v>112</v>
      </c>
      <c r="Q3">
        <v>96</v>
      </c>
      <c r="R3">
        <v>336</v>
      </c>
      <c r="S3">
        <v>349</v>
      </c>
      <c r="T3">
        <v>10.61061061061061</v>
      </c>
      <c r="U3">
        <v>20.820820820820821</v>
      </c>
      <c r="V3">
        <v>68.568568568568566</v>
      </c>
      <c r="W3">
        <v>-1.4759125506181368</v>
      </c>
      <c r="X3">
        <v>0.22857005010505743</v>
      </c>
      <c r="Y3" t="s">
        <v>534</v>
      </c>
      <c r="Z3">
        <v>6.3</v>
      </c>
      <c r="AA3" t="s">
        <v>20</v>
      </c>
      <c r="AB3">
        <v>6.6000000000000003E-2</v>
      </c>
      <c r="AC3">
        <v>0.93</v>
      </c>
      <c r="AD3">
        <v>7.0000000000000007E-2</v>
      </c>
      <c r="AE3">
        <v>7.5999999999999998E-2</v>
      </c>
      <c r="AF3">
        <v>11.7</v>
      </c>
      <c r="AG3">
        <v>1.02</v>
      </c>
      <c r="AH3">
        <v>49.8</v>
      </c>
      <c r="AI3">
        <v>0.28000000000000003</v>
      </c>
      <c r="AJ3">
        <v>1.2465826027983886</v>
      </c>
      <c r="AK3">
        <v>1.3464109689015269</v>
      </c>
      <c r="AL3">
        <f t="shared" ref="AL3:AL66" si="0">AK3*AF3*0.1*J3</f>
        <v>27.567764588258761</v>
      </c>
    </row>
    <row r="4" spans="1:38" x14ac:dyDescent="0.15">
      <c r="A4" s="76"/>
      <c r="B4" s="76" t="str">
        <f>B3</f>
        <v>S-01-W</v>
      </c>
      <c r="C4" s="76" t="str">
        <f>C3</f>
        <v>Sångletorp 1</v>
      </c>
      <c r="D4" s="76" t="str">
        <f>D3</f>
        <v>Sångletorp</v>
      </c>
      <c r="E4" s="76" t="str">
        <f>E3</f>
        <v>OP42</v>
      </c>
      <c r="F4" s="76" t="str">
        <f>F3</f>
        <v>W</v>
      </c>
      <c r="G4" s="76"/>
      <c r="H4" s="76" t="s">
        <v>176</v>
      </c>
      <c r="I4" s="76">
        <v>35</v>
      </c>
      <c r="J4" s="76">
        <f>45-25</f>
        <v>20</v>
      </c>
      <c r="AF4" s="154">
        <f>AF3+((AF3-AF5)/(I3-I5))*(I4-I3)</f>
        <v>7.1017241379310345</v>
      </c>
      <c r="AJ4" s="154">
        <f>AJ3+((AJ3-AJ5)/(I3-I5))*(I4-I3)</f>
        <v>1.4420667489123007</v>
      </c>
      <c r="AK4" s="154">
        <f>AK3+((AK3-AK5)/(I3-I5))*(I4-I3)</f>
        <v>1.4902597532379538</v>
      </c>
      <c r="AL4">
        <f t="shared" si="0"/>
        <v>21.166827322714248</v>
      </c>
    </row>
    <row r="5" spans="1:38" x14ac:dyDescent="0.15">
      <c r="A5" t="s">
        <v>540</v>
      </c>
      <c r="B5" t="s">
        <v>22</v>
      </c>
      <c r="C5" t="s">
        <v>44</v>
      </c>
      <c r="D5" t="s">
        <v>179</v>
      </c>
      <c r="E5" t="s">
        <v>83</v>
      </c>
      <c r="F5" t="s">
        <v>346</v>
      </c>
      <c r="G5" t="s">
        <v>22</v>
      </c>
      <c r="H5" t="s">
        <v>21</v>
      </c>
      <c r="I5">
        <v>52.5</v>
      </c>
      <c r="J5">
        <f>60-45</f>
        <v>15</v>
      </c>
      <c r="K5">
        <v>13</v>
      </c>
      <c r="L5">
        <v>18</v>
      </c>
      <c r="M5">
        <v>968</v>
      </c>
      <c r="N5">
        <v>999</v>
      </c>
      <c r="O5">
        <v>138</v>
      </c>
      <c r="P5">
        <v>129</v>
      </c>
      <c r="Q5">
        <v>95</v>
      </c>
      <c r="R5">
        <v>305</v>
      </c>
      <c r="S5">
        <v>332</v>
      </c>
      <c r="T5">
        <v>13.813813813813812</v>
      </c>
      <c r="U5">
        <v>22.422422422422422</v>
      </c>
      <c r="V5">
        <v>63.763763763763762</v>
      </c>
      <c r="W5">
        <v>-1.7568214136683233</v>
      </c>
      <c r="X5">
        <v>0.17259259331721419</v>
      </c>
      <c r="Y5" t="s">
        <v>534</v>
      </c>
      <c r="Z5">
        <v>6.7</v>
      </c>
      <c r="AA5" t="s">
        <v>20</v>
      </c>
      <c r="AB5">
        <v>1.2999999999999999E-2</v>
      </c>
      <c r="AC5">
        <v>0.82</v>
      </c>
      <c r="AD5">
        <v>4.9000000000000002E-2</v>
      </c>
      <c r="AE5">
        <v>5.3999999999999999E-2</v>
      </c>
      <c r="AF5">
        <v>2.81</v>
      </c>
      <c r="AG5">
        <v>0.28999999999999998</v>
      </c>
      <c r="AH5">
        <v>43.2</v>
      </c>
      <c r="AI5">
        <v>0.11</v>
      </c>
      <c r="AJ5" s="76">
        <f>-0.0042*T9+1.6859</f>
        <v>1.6245186186186187</v>
      </c>
      <c r="AK5" s="76">
        <f>AJ5</f>
        <v>1.6245186186186187</v>
      </c>
      <c r="AL5">
        <f t="shared" si="0"/>
        <v>6.8473459774774783</v>
      </c>
    </row>
    <row r="6" spans="1:38" x14ac:dyDescent="0.15">
      <c r="A6" t="s">
        <v>541</v>
      </c>
      <c r="B6" t="s">
        <v>23</v>
      </c>
      <c r="C6" t="s">
        <v>45</v>
      </c>
      <c r="D6" t="s">
        <v>179</v>
      </c>
      <c r="E6" t="s">
        <v>83</v>
      </c>
      <c r="F6" t="s">
        <v>346</v>
      </c>
      <c r="G6" t="s">
        <v>23</v>
      </c>
      <c r="H6" t="s">
        <v>177</v>
      </c>
      <c r="I6">
        <v>3.75</v>
      </c>
      <c r="J6">
        <v>7.5</v>
      </c>
      <c r="K6">
        <v>8</v>
      </c>
      <c r="L6">
        <v>10</v>
      </c>
      <c r="M6">
        <v>982</v>
      </c>
      <c r="N6">
        <v>999</v>
      </c>
      <c r="O6">
        <v>121</v>
      </c>
      <c r="P6">
        <v>123</v>
      </c>
      <c r="Q6">
        <v>102</v>
      </c>
      <c r="R6">
        <v>330</v>
      </c>
      <c r="S6">
        <v>323</v>
      </c>
      <c r="T6">
        <v>12.112112112112113</v>
      </c>
      <c r="U6">
        <v>22.522522522522522</v>
      </c>
      <c r="V6">
        <v>65.365365365365363</v>
      </c>
      <c r="W6">
        <v>-1.6425298593107842</v>
      </c>
      <c r="X6">
        <v>0.19348992030603543</v>
      </c>
      <c r="Y6" t="s">
        <v>534</v>
      </c>
      <c r="Z6">
        <v>5.9</v>
      </c>
      <c r="AA6" t="s">
        <v>20</v>
      </c>
      <c r="AC6">
        <v>1.31</v>
      </c>
      <c r="AD6">
        <v>9.5000000000000001E-2</v>
      </c>
      <c r="AE6">
        <v>0.20399999999999999</v>
      </c>
      <c r="AF6">
        <v>23.61</v>
      </c>
      <c r="AG6">
        <v>1.92</v>
      </c>
      <c r="AH6">
        <v>51</v>
      </c>
      <c r="AI6">
        <v>0.3</v>
      </c>
      <c r="AJ6" s="141">
        <f>AJ7-((AJ7-AJ9)/(I7-I9))*3.5</f>
        <v>1.0801852023753378</v>
      </c>
      <c r="AK6" s="141">
        <f>AK7-((AK7-AK9)/(I7-I9))*3.5</f>
        <v>1.2248283218478002</v>
      </c>
      <c r="AL6">
        <f t="shared" si="0"/>
        <v>21.688647509119921</v>
      </c>
    </row>
    <row r="7" spans="1:38" x14ac:dyDescent="0.15">
      <c r="A7" t="s">
        <v>542</v>
      </c>
      <c r="B7" t="s">
        <v>23</v>
      </c>
      <c r="C7" t="s">
        <v>45</v>
      </c>
      <c r="D7" t="s">
        <v>179</v>
      </c>
      <c r="E7" t="s">
        <v>83</v>
      </c>
      <c r="F7" t="s">
        <v>346</v>
      </c>
      <c r="G7" t="s">
        <v>23</v>
      </c>
      <c r="H7" t="s">
        <v>175</v>
      </c>
      <c r="I7">
        <v>16.25</v>
      </c>
      <c r="J7">
        <f>25-7.5</f>
        <v>17.5</v>
      </c>
      <c r="K7">
        <v>9</v>
      </c>
      <c r="L7">
        <v>14</v>
      </c>
      <c r="M7">
        <v>977</v>
      </c>
      <c r="N7">
        <v>999</v>
      </c>
      <c r="O7">
        <v>112</v>
      </c>
      <c r="P7">
        <v>122</v>
      </c>
      <c r="Q7">
        <v>95</v>
      </c>
      <c r="R7">
        <v>324</v>
      </c>
      <c r="S7">
        <v>346</v>
      </c>
      <c r="T7">
        <v>11.211211211211211</v>
      </c>
      <c r="U7">
        <v>21.721721721721721</v>
      </c>
      <c r="V7">
        <v>67.067067067067072</v>
      </c>
      <c r="W7">
        <v>-1.55065113873765</v>
      </c>
      <c r="X7">
        <v>0.21210981593385608</v>
      </c>
      <c r="Y7" t="s">
        <v>534</v>
      </c>
      <c r="Z7">
        <v>6.2</v>
      </c>
      <c r="AA7" t="s">
        <v>20</v>
      </c>
      <c r="AC7">
        <v>1.26</v>
      </c>
      <c r="AD7">
        <v>7.4999999999999997E-2</v>
      </c>
      <c r="AE7">
        <v>9.1999999999999998E-2</v>
      </c>
      <c r="AF7">
        <v>17.61</v>
      </c>
      <c r="AG7">
        <v>1.52</v>
      </c>
      <c r="AH7">
        <v>48.2</v>
      </c>
      <c r="AI7">
        <v>0.26</v>
      </c>
      <c r="AJ7">
        <v>1.1271194311678716</v>
      </c>
      <c r="AK7">
        <v>1.259026678485526</v>
      </c>
      <c r="AL7">
        <f t="shared" si="0"/>
        <v>38.800054664227694</v>
      </c>
    </row>
    <row r="8" spans="1:38" x14ac:dyDescent="0.15">
      <c r="A8" s="76"/>
      <c r="B8" s="76" t="str">
        <f>B7</f>
        <v>S-02-W</v>
      </c>
      <c r="C8" s="76" t="str">
        <f>C7</f>
        <v>Sångletorp 2</v>
      </c>
      <c r="D8" s="76" t="str">
        <f>D7</f>
        <v>Sångletorp</v>
      </c>
      <c r="E8" s="76" t="str">
        <f>E7</f>
        <v>OP42</v>
      </c>
      <c r="F8" s="76" t="str">
        <f>F7</f>
        <v>W</v>
      </c>
      <c r="G8" s="76"/>
      <c r="H8" s="76" t="s">
        <v>176</v>
      </c>
      <c r="I8" s="76">
        <v>35</v>
      </c>
      <c r="J8" s="76">
        <f>45-25</f>
        <v>20</v>
      </c>
      <c r="AF8" s="154">
        <f>AF7+((AF7-AF9)/(I7-I9))*(I8-I7)</f>
        <v>10.14103448275862</v>
      </c>
      <c r="AJ8" s="154">
        <f>AJ7+((AJ7-AJ9)/(I7-I9))*(I8-I7)</f>
        <v>1.3785527996993028</v>
      </c>
      <c r="AK8" s="154">
        <f>AK7+((AK7-AK9)/(I7-I9))*(I8-I7)</f>
        <v>1.4422321604733428</v>
      </c>
      <c r="AL8">
        <f>AK8*AF8*0.1*J8</f>
        <v>29.25145214300727</v>
      </c>
    </row>
    <row r="9" spans="1:38" x14ac:dyDescent="0.15">
      <c r="A9" t="s">
        <v>475</v>
      </c>
      <c r="B9" t="s">
        <v>23</v>
      </c>
      <c r="C9" t="s">
        <v>45</v>
      </c>
      <c r="D9" t="s">
        <v>179</v>
      </c>
      <c r="E9" t="s">
        <v>83</v>
      </c>
      <c r="F9" t="s">
        <v>346</v>
      </c>
      <c r="G9" t="s">
        <v>23</v>
      </c>
      <c r="H9" t="s">
        <v>21</v>
      </c>
      <c r="I9">
        <v>52.5</v>
      </c>
      <c r="J9">
        <f>60-45</f>
        <v>15</v>
      </c>
      <c r="K9">
        <v>34</v>
      </c>
      <c r="L9">
        <v>15</v>
      </c>
      <c r="M9">
        <v>951</v>
      </c>
      <c r="N9">
        <v>999</v>
      </c>
      <c r="O9">
        <v>146</v>
      </c>
      <c r="P9">
        <v>117</v>
      </c>
      <c r="Q9">
        <v>89</v>
      </c>
      <c r="R9">
        <v>288</v>
      </c>
      <c r="S9">
        <v>359</v>
      </c>
      <c r="T9">
        <v>14.614614614614615</v>
      </c>
      <c r="U9">
        <v>20.62062062062062</v>
      </c>
      <c r="V9">
        <v>64.764764764764763</v>
      </c>
      <c r="W9">
        <v>-1.7461319830063229</v>
      </c>
      <c r="X9">
        <v>0.1744474056587329</v>
      </c>
      <c r="Y9" t="s">
        <v>534</v>
      </c>
      <c r="Z9">
        <v>6.9</v>
      </c>
      <c r="AA9" t="s">
        <v>20</v>
      </c>
      <c r="AC9">
        <v>1.0900000000000001</v>
      </c>
      <c r="AD9">
        <v>5.3999999999999999E-2</v>
      </c>
      <c r="AE9">
        <v>5.1999999999999998E-2</v>
      </c>
      <c r="AF9">
        <v>3.17</v>
      </c>
      <c r="AG9">
        <v>0.32</v>
      </c>
      <c r="AH9">
        <v>41.7</v>
      </c>
      <c r="AI9">
        <v>0.14000000000000001</v>
      </c>
      <c r="AJ9" s="76">
        <f>-0.0042*T13+1.6859</f>
        <v>1.6132239436619717</v>
      </c>
      <c r="AK9" s="76">
        <f>AJ9</f>
        <v>1.6132239436619717</v>
      </c>
      <c r="AL9">
        <f t="shared" si="0"/>
        <v>7.6708798521126749</v>
      </c>
    </row>
    <row r="10" spans="1:38" x14ac:dyDescent="0.15">
      <c r="A10" t="s">
        <v>543</v>
      </c>
      <c r="B10" t="s">
        <v>24</v>
      </c>
      <c r="C10" t="s">
        <v>46</v>
      </c>
      <c r="D10" t="s">
        <v>179</v>
      </c>
      <c r="E10" t="s">
        <v>83</v>
      </c>
      <c r="F10" t="s">
        <v>346</v>
      </c>
      <c r="G10" t="s">
        <v>24</v>
      </c>
      <c r="H10" t="s">
        <v>177</v>
      </c>
      <c r="I10">
        <v>3.75</v>
      </c>
      <c r="J10">
        <v>7.5</v>
      </c>
      <c r="K10">
        <v>7</v>
      </c>
      <c r="L10">
        <v>15</v>
      </c>
      <c r="M10">
        <v>978</v>
      </c>
      <c r="N10">
        <v>999</v>
      </c>
      <c r="O10">
        <v>122</v>
      </c>
      <c r="P10">
        <v>138</v>
      </c>
      <c r="Q10">
        <v>108</v>
      </c>
      <c r="R10">
        <v>305</v>
      </c>
      <c r="S10">
        <v>326</v>
      </c>
      <c r="T10">
        <v>12.212212212212211</v>
      </c>
      <c r="U10">
        <v>24.624624624624623</v>
      </c>
      <c r="V10">
        <v>63.163163163163162</v>
      </c>
      <c r="W10">
        <v>-1.7267078636312487</v>
      </c>
      <c r="X10">
        <v>0.17786901619725889</v>
      </c>
      <c r="Y10" t="s">
        <v>534</v>
      </c>
      <c r="Z10">
        <v>6.2</v>
      </c>
      <c r="AA10" t="s">
        <v>20</v>
      </c>
      <c r="AC10">
        <v>1.31</v>
      </c>
      <c r="AD10">
        <v>6.7000000000000004E-2</v>
      </c>
      <c r="AE10">
        <v>0.152</v>
      </c>
      <c r="AF10">
        <v>18.079999999999998</v>
      </c>
      <c r="AG10">
        <v>1.43</v>
      </c>
      <c r="AH10">
        <v>53.1</v>
      </c>
      <c r="AI10">
        <v>0.25</v>
      </c>
      <c r="AJ10" s="141">
        <f>AJ11-((AJ11-AJ13)/(I11-I13))*3.5</f>
        <v>1.1054742652944261</v>
      </c>
      <c r="AK10" s="141">
        <f>AK11-((AK11-AK13)/(I11-I13))*3.5</f>
        <v>1.2379535270055311</v>
      </c>
      <c r="AL10">
        <f t="shared" si="0"/>
        <v>16.786649826194999</v>
      </c>
    </row>
    <row r="11" spans="1:38" x14ac:dyDescent="0.15">
      <c r="A11" t="s">
        <v>544</v>
      </c>
      <c r="B11" t="s">
        <v>24</v>
      </c>
      <c r="C11" t="s">
        <v>46</v>
      </c>
      <c r="D11" t="s">
        <v>179</v>
      </c>
      <c r="E11" t="s">
        <v>83</v>
      </c>
      <c r="F11" t="s">
        <v>346</v>
      </c>
      <c r="G11" t="s">
        <v>24</v>
      </c>
      <c r="H11" t="s">
        <v>175</v>
      </c>
      <c r="I11">
        <v>16.25</v>
      </c>
      <c r="J11">
        <f>25-7.5</f>
        <v>17.5</v>
      </c>
      <c r="K11">
        <v>12</v>
      </c>
      <c r="L11">
        <v>64</v>
      </c>
      <c r="M11">
        <v>924</v>
      </c>
      <c r="N11">
        <v>999</v>
      </c>
      <c r="O11">
        <v>130</v>
      </c>
      <c r="P11">
        <v>145</v>
      </c>
      <c r="Q11">
        <v>113</v>
      </c>
      <c r="R11">
        <v>302</v>
      </c>
      <c r="S11">
        <v>309</v>
      </c>
      <c r="T11">
        <v>13.013013013013014</v>
      </c>
      <c r="U11">
        <v>25.825825825825827</v>
      </c>
      <c r="V11">
        <v>61.161161161161161</v>
      </c>
      <c r="W11">
        <v>-1.8263593144572674</v>
      </c>
      <c r="X11">
        <v>0.16099864753168616</v>
      </c>
      <c r="Y11" t="s">
        <v>534</v>
      </c>
      <c r="Z11">
        <v>6.3</v>
      </c>
      <c r="AA11" t="s">
        <v>20</v>
      </c>
      <c r="AC11">
        <v>1.34</v>
      </c>
      <c r="AD11">
        <v>5.7000000000000002E-2</v>
      </c>
      <c r="AE11">
        <v>7.1999999999999995E-2</v>
      </c>
      <c r="AF11">
        <v>17.38</v>
      </c>
      <c r="AG11">
        <v>1.43</v>
      </c>
      <c r="AH11">
        <v>56.4</v>
      </c>
      <c r="AI11">
        <v>0.28999999999999998</v>
      </c>
      <c r="AJ11">
        <v>1.1504729389718278</v>
      </c>
      <c r="AK11">
        <v>1.2712873600291248</v>
      </c>
      <c r="AL11">
        <f t="shared" si="0"/>
        <v>38.666205055285836</v>
      </c>
    </row>
    <row r="12" spans="1:38" x14ac:dyDescent="0.15">
      <c r="A12" s="76"/>
      <c r="B12" s="76" t="str">
        <f>B11</f>
        <v>S-03-W</v>
      </c>
      <c r="C12" s="76" t="str">
        <f>C11</f>
        <v>Sångletorp 3</v>
      </c>
      <c r="D12" s="76" t="str">
        <f>D11</f>
        <v>Sångletorp</v>
      </c>
      <c r="E12" s="76" t="str">
        <f>E11</f>
        <v>OP42</v>
      </c>
      <c r="F12" s="76" t="str">
        <f>F11</f>
        <v>W</v>
      </c>
      <c r="G12" s="76"/>
      <c r="H12" s="76" t="s">
        <v>176</v>
      </c>
      <c r="I12" s="76">
        <v>35</v>
      </c>
      <c r="J12" s="76">
        <f>45-25</f>
        <v>20</v>
      </c>
      <c r="AF12" s="154">
        <f>AF11+((AF11-AF13)/(I11-I13))*(I12-I11)</f>
        <v>19.836896551724138</v>
      </c>
      <c r="AJ12" s="149">
        <f>AVERAGE(AJ8,AJ4)</f>
        <v>1.4103097743058017</v>
      </c>
      <c r="AK12" s="149">
        <f>AVERAGE(AK8,AK4)</f>
        <v>1.4662459568556483</v>
      </c>
      <c r="AL12">
        <f t="shared" si="0"/>
        <v>58.171538731058547</v>
      </c>
    </row>
    <row r="13" spans="1:38" x14ac:dyDescent="0.15">
      <c r="A13" t="s">
        <v>545</v>
      </c>
      <c r="B13" t="s">
        <v>24</v>
      </c>
      <c r="C13" t="s">
        <v>46</v>
      </c>
      <c r="D13" t="s">
        <v>179</v>
      </c>
      <c r="E13" t="s">
        <v>83</v>
      </c>
      <c r="F13" t="s">
        <v>346</v>
      </c>
      <c r="G13" t="s">
        <v>24</v>
      </c>
      <c r="H13" t="s">
        <v>21</v>
      </c>
      <c r="I13">
        <v>52.5</v>
      </c>
      <c r="J13">
        <f>60-45</f>
        <v>15</v>
      </c>
      <c r="K13">
        <v>17</v>
      </c>
      <c r="L13">
        <v>6</v>
      </c>
      <c r="M13">
        <v>977</v>
      </c>
      <c r="N13">
        <v>994</v>
      </c>
      <c r="O13">
        <v>172</v>
      </c>
      <c r="P13">
        <v>160</v>
      </c>
      <c r="Q13">
        <v>115</v>
      </c>
      <c r="R13">
        <v>253</v>
      </c>
      <c r="S13">
        <v>294</v>
      </c>
      <c r="T13">
        <v>17.303822937625753</v>
      </c>
      <c r="U13">
        <v>27.665995975855129</v>
      </c>
      <c r="V13">
        <v>55.030181086519114</v>
      </c>
      <c r="W13">
        <v>-2.1914317934227108</v>
      </c>
      <c r="X13">
        <v>0.11175662161451758</v>
      </c>
      <c r="Y13" t="s">
        <v>534</v>
      </c>
      <c r="Z13">
        <v>7.8</v>
      </c>
      <c r="AA13" t="s">
        <v>475</v>
      </c>
      <c r="AC13">
        <v>4.24</v>
      </c>
      <c r="AD13">
        <v>6.6000000000000003E-2</v>
      </c>
      <c r="AE13">
        <v>4.5999999999999999E-2</v>
      </c>
      <c r="AF13">
        <v>22.13</v>
      </c>
      <c r="AG13">
        <v>1.69</v>
      </c>
      <c r="AH13">
        <v>64.400000000000006</v>
      </c>
      <c r="AI13">
        <v>0.33</v>
      </c>
      <c r="AJ13" s="76">
        <f>-0.0042*T15+1.6859</f>
        <v>1.6165306306306306</v>
      </c>
      <c r="AK13" s="76">
        <f>AJ13</f>
        <v>1.6165306306306306</v>
      </c>
      <c r="AL13">
        <f t="shared" si="0"/>
        <v>53.660734283783782</v>
      </c>
    </row>
    <row r="14" spans="1:38" x14ac:dyDescent="0.15">
      <c r="A14" t="s">
        <v>546</v>
      </c>
      <c r="B14" t="s">
        <v>25</v>
      </c>
      <c r="C14" t="s">
        <v>47</v>
      </c>
      <c r="D14" t="s">
        <v>195</v>
      </c>
      <c r="E14" t="s">
        <v>83</v>
      </c>
      <c r="F14" t="s">
        <v>346</v>
      </c>
      <c r="G14" t="s">
        <v>25</v>
      </c>
      <c r="H14" t="s">
        <v>177</v>
      </c>
      <c r="I14">
        <v>3.75</v>
      </c>
      <c r="J14">
        <v>7.5</v>
      </c>
      <c r="K14">
        <v>25</v>
      </c>
      <c r="L14">
        <v>64</v>
      </c>
      <c r="M14">
        <v>911</v>
      </c>
      <c r="N14">
        <v>999</v>
      </c>
      <c r="O14">
        <v>160</v>
      </c>
      <c r="P14">
        <v>160</v>
      </c>
      <c r="Q14">
        <v>96</v>
      </c>
      <c r="R14">
        <v>239</v>
      </c>
      <c r="S14">
        <v>344</v>
      </c>
      <c r="T14">
        <v>16.016016016016017</v>
      </c>
      <c r="U14">
        <v>25.625625625625624</v>
      </c>
      <c r="V14">
        <v>58.358358358358352</v>
      </c>
      <c r="W14">
        <v>-2.0271848740569403</v>
      </c>
      <c r="X14">
        <v>0.13170576808268319</v>
      </c>
      <c r="Y14" t="s">
        <v>534</v>
      </c>
      <c r="Z14">
        <v>5.8</v>
      </c>
      <c r="AA14" t="s">
        <v>20</v>
      </c>
      <c r="AC14">
        <v>1.37</v>
      </c>
      <c r="AD14">
        <v>6.6000000000000003E-2</v>
      </c>
      <c r="AE14">
        <v>0.17</v>
      </c>
      <c r="AF14">
        <v>27</v>
      </c>
      <c r="AG14">
        <v>2.06</v>
      </c>
      <c r="AH14">
        <v>76.099999999999994</v>
      </c>
      <c r="AI14">
        <v>0.38</v>
      </c>
      <c r="AJ14" s="141">
        <f>AJ15-((AJ15-AJ17)/(I15-I17))*3.5</f>
        <v>1.0887803522553432</v>
      </c>
      <c r="AK14" s="141">
        <f>AK15-((AK15-AK17)/(I15-I17))*3.5</f>
        <v>1.1821588814963389</v>
      </c>
      <c r="AL14">
        <f t="shared" si="0"/>
        <v>23.938717350300863</v>
      </c>
    </row>
    <row r="15" spans="1:38" x14ac:dyDescent="0.15">
      <c r="A15" t="s">
        <v>547</v>
      </c>
      <c r="B15" t="s">
        <v>25</v>
      </c>
      <c r="C15" t="s">
        <v>47</v>
      </c>
      <c r="D15" t="s">
        <v>195</v>
      </c>
      <c r="E15" t="s">
        <v>83</v>
      </c>
      <c r="F15" t="s">
        <v>346</v>
      </c>
      <c r="G15" t="s">
        <v>25</v>
      </c>
      <c r="H15" t="s">
        <v>175</v>
      </c>
      <c r="I15">
        <v>16.25</v>
      </c>
      <c r="J15">
        <f>25-7.5</f>
        <v>17.5</v>
      </c>
      <c r="K15">
        <v>41</v>
      </c>
      <c r="L15">
        <v>68</v>
      </c>
      <c r="M15">
        <v>892</v>
      </c>
      <c r="N15">
        <v>999</v>
      </c>
      <c r="O15">
        <v>165</v>
      </c>
      <c r="P15">
        <v>164</v>
      </c>
      <c r="Q15">
        <v>97</v>
      </c>
      <c r="R15">
        <v>253</v>
      </c>
      <c r="S15">
        <v>320</v>
      </c>
      <c r="T15">
        <v>16.516516516516518</v>
      </c>
      <c r="U15">
        <v>26.126126126126124</v>
      </c>
      <c r="V15">
        <v>57.357357357357351</v>
      </c>
      <c r="W15">
        <v>-2.0802719573658668</v>
      </c>
      <c r="X15">
        <v>0.12489624112670671</v>
      </c>
      <c r="Y15" t="s">
        <v>534</v>
      </c>
      <c r="Z15">
        <v>5.8</v>
      </c>
      <c r="AA15" t="s">
        <v>20</v>
      </c>
      <c r="AC15">
        <v>1.33</v>
      </c>
      <c r="AD15">
        <v>5.8000000000000003E-2</v>
      </c>
      <c r="AE15">
        <v>0.105</v>
      </c>
      <c r="AF15">
        <v>22.5</v>
      </c>
      <c r="AG15">
        <v>1.75</v>
      </c>
      <c r="AH15">
        <v>75.3</v>
      </c>
      <c r="AI15">
        <v>0.39</v>
      </c>
      <c r="AJ15">
        <v>1.1369887832861021</v>
      </c>
      <c r="AK15">
        <v>1.2221453036631107</v>
      </c>
      <c r="AL15">
        <f t="shared" si="0"/>
        <v>48.12197133173499</v>
      </c>
    </row>
    <row r="16" spans="1:38" x14ac:dyDescent="0.15">
      <c r="A16" s="76"/>
      <c r="B16" s="76" t="str">
        <f>B15</f>
        <v>S-04-W</v>
      </c>
      <c r="C16" s="76" t="str">
        <f>C15</f>
        <v>Rydsgård 1</v>
      </c>
      <c r="D16" s="76" t="str">
        <f>D15</f>
        <v xml:space="preserve">Rydsgård </v>
      </c>
      <c r="E16" s="76" t="str">
        <f>E15</f>
        <v>OP42</v>
      </c>
      <c r="F16" s="76" t="str">
        <f>F15</f>
        <v>W</v>
      </c>
      <c r="G16" s="76"/>
      <c r="H16" s="76" t="s">
        <v>176</v>
      </c>
      <c r="I16" s="76">
        <v>35</v>
      </c>
      <c r="J16" s="76">
        <f>45-25</f>
        <v>20</v>
      </c>
      <c r="AF16" s="154">
        <f>AF15+((AF15-AF17)/(I15-I17))*(I16-I15)</f>
        <v>13.127586206896551</v>
      </c>
      <c r="AJ16" s="154">
        <f>AJ15+((AJ15-AJ17)/(I15-I17))*(I16-I15)</f>
        <v>1.395248235236596</v>
      </c>
      <c r="AK16" s="154">
        <f>AK15+((AK15-AK17)/(I15-I17))*(I16-I15)</f>
        <v>1.4363582795565311</v>
      </c>
      <c r="AL16">
        <f t="shared" si="0"/>
        <v>37.711834277735953</v>
      </c>
    </row>
    <row r="17" spans="1:43" x14ac:dyDescent="0.15">
      <c r="A17" t="s">
        <v>548</v>
      </c>
      <c r="B17" t="s">
        <v>25</v>
      </c>
      <c r="C17" t="s">
        <v>47</v>
      </c>
      <c r="D17" t="s">
        <v>195</v>
      </c>
      <c r="E17" t="s">
        <v>83</v>
      </c>
      <c r="F17" t="s">
        <v>346</v>
      </c>
      <c r="G17" t="s">
        <v>25</v>
      </c>
      <c r="H17" t="s">
        <v>21</v>
      </c>
      <c r="I17">
        <v>52.5</v>
      </c>
      <c r="J17">
        <f>60-45</f>
        <v>15</v>
      </c>
      <c r="K17">
        <v>30</v>
      </c>
      <c r="L17">
        <v>38</v>
      </c>
      <c r="M17">
        <v>932</v>
      </c>
      <c r="N17">
        <v>999</v>
      </c>
      <c r="O17">
        <v>221</v>
      </c>
      <c r="P17">
        <v>179</v>
      </c>
      <c r="Q17">
        <v>97</v>
      </c>
      <c r="R17">
        <v>225</v>
      </c>
      <c r="S17">
        <v>277</v>
      </c>
      <c r="T17">
        <v>22.122122122122121</v>
      </c>
      <c r="U17">
        <v>27.627627627627625</v>
      </c>
      <c r="V17">
        <v>50.250250250250247</v>
      </c>
      <c r="W17">
        <v>-2.5240480857255521</v>
      </c>
      <c r="X17">
        <v>8.0134557721013702E-2</v>
      </c>
      <c r="Y17" t="s">
        <v>534</v>
      </c>
      <c r="Z17">
        <v>6.3</v>
      </c>
      <c r="AA17" t="s">
        <v>20</v>
      </c>
      <c r="AC17">
        <v>1.5</v>
      </c>
      <c r="AD17">
        <v>7.0000000000000007E-2</v>
      </c>
      <c r="AE17">
        <v>5.0999999999999997E-2</v>
      </c>
      <c r="AF17">
        <v>4.38</v>
      </c>
      <c r="AG17">
        <v>0.4</v>
      </c>
      <c r="AH17">
        <v>58.5</v>
      </c>
      <c r="AI17">
        <v>0.21</v>
      </c>
      <c r="AJ17" s="76">
        <f>-0.0042*T19+1.6859</f>
        <v>1.6362903903903903</v>
      </c>
      <c r="AK17" s="76">
        <f>AJ17</f>
        <v>1.6362903903903903</v>
      </c>
      <c r="AL17">
        <f t="shared" si="0"/>
        <v>10.750427864864864</v>
      </c>
    </row>
    <row r="18" spans="1:43" x14ac:dyDescent="0.15">
      <c r="A18" t="s">
        <v>549</v>
      </c>
      <c r="B18" t="s">
        <v>25</v>
      </c>
      <c r="C18" t="s">
        <v>48</v>
      </c>
      <c r="D18" t="s">
        <v>195</v>
      </c>
      <c r="E18" t="s">
        <v>83</v>
      </c>
      <c r="F18" t="s">
        <v>346</v>
      </c>
      <c r="G18" t="s">
        <v>26</v>
      </c>
      <c r="H18" t="s">
        <v>177</v>
      </c>
      <c r="I18">
        <v>3.75</v>
      </c>
      <c r="J18">
        <v>7.5</v>
      </c>
      <c r="K18">
        <v>42</v>
      </c>
      <c r="L18">
        <v>45</v>
      </c>
      <c r="M18">
        <v>913</v>
      </c>
      <c r="N18">
        <v>999</v>
      </c>
      <c r="O18">
        <v>120</v>
      </c>
      <c r="P18">
        <v>164</v>
      </c>
      <c r="Q18">
        <v>101</v>
      </c>
      <c r="R18">
        <v>249</v>
      </c>
      <c r="S18">
        <v>365</v>
      </c>
      <c r="T18">
        <v>12.012012012012011</v>
      </c>
      <c r="U18">
        <v>26.526526526526528</v>
      </c>
      <c r="V18">
        <v>61.461461461461461</v>
      </c>
      <c r="W18">
        <v>-1.782711647349291</v>
      </c>
      <c r="X18">
        <v>0.16818147952432871</v>
      </c>
      <c r="Y18" t="s">
        <v>534</v>
      </c>
      <c r="Z18">
        <v>5.6</v>
      </c>
      <c r="AA18" t="s">
        <v>20</v>
      </c>
      <c r="AC18">
        <v>0.72</v>
      </c>
      <c r="AD18">
        <v>5.8999999999999997E-2</v>
      </c>
      <c r="AE18">
        <v>0.14099999999999999</v>
      </c>
      <c r="AF18">
        <v>16.399999999999999</v>
      </c>
      <c r="AG18">
        <v>1.39</v>
      </c>
      <c r="AH18">
        <v>62.9</v>
      </c>
      <c r="AI18">
        <v>0.32</v>
      </c>
      <c r="AJ18" s="149">
        <f>AVERAGE(AJ14,AJ22)</f>
        <v>1.2115108749821022</v>
      </c>
      <c r="AK18" s="149">
        <f>AVERAGE(AK14,AK22)</f>
        <v>1.2535334094517427</v>
      </c>
      <c r="AL18">
        <f t="shared" si="0"/>
        <v>15.418460936256434</v>
      </c>
    </row>
    <row r="19" spans="1:43" x14ac:dyDescent="0.15">
      <c r="A19" t="s">
        <v>550</v>
      </c>
      <c r="B19" t="s">
        <v>26</v>
      </c>
      <c r="C19" t="s">
        <v>48</v>
      </c>
      <c r="D19" t="s">
        <v>195</v>
      </c>
      <c r="E19" t="s">
        <v>83</v>
      </c>
      <c r="F19" t="s">
        <v>346</v>
      </c>
      <c r="G19" t="s">
        <v>26</v>
      </c>
      <c r="H19" t="s">
        <v>175</v>
      </c>
      <c r="I19">
        <v>16.25</v>
      </c>
      <c r="J19">
        <f>25-7.5</f>
        <v>17.5</v>
      </c>
      <c r="K19">
        <v>39</v>
      </c>
      <c r="L19">
        <v>96</v>
      </c>
      <c r="M19">
        <v>865</v>
      </c>
      <c r="N19">
        <v>999</v>
      </c>
      <c r="O19">
        <v>118</v>
      </c>
      <c r="P19">
        <v>158</v>
      </c>
      <c r="Q19">
        <v>104</v>
      </c>
      <c r="R19">
        <v>219</v>
      </c>
      <c r="S19">
        <v>400</v>
      </c>
      <c r="T19">
        <v>11.811811811811811</v>
      </c>
      <c r="U19">
        <v>26.226226226226224</v>
      </c>
      <c r="V19">
        <v>61.961961961961961</v>
      </c>
      <c r="W19">
        <v>-1.7577987846427865</v>
      </c>
      <c r="X19">
        <v>0.17242398873413312</v>
      </c>
      <c r="Y19" t="s">
        <v>534</v>
      </c>
      <c r="Z19">
        <v>5.5</v>
      </c>
      <c r="AA19" t="s">
        <v>20</v>
      </c>
      <c r="AC19">
        <v>0.66</v>
      </c>
      <c r="AD19">
        <v>4.5999999999999999E-2</v>
      </c>
      <c r="AE19">
        <v>8.7999999999999995E-2</v>
      </c>
      <c r="AF19">
        <v>12.79</v>
      </c>
      <c r="AG19">
        <v>1.1599999999999999</v>
      </c>
      <c r="AH19">
        <v>64.7</v>
      </c>
      <c r="AI19">
        <v>0.34</v>
      </c>
      <c r="AJ19">
        <v>1.3611478408448976</v>
      </c>
      <c r="AK19">
        <v>1.35680957580316</v>
      </c>
      <c r="AL19">
        <f t="shared" si="0"/>
        <v>30.368790330414225</v>
      </c>
    </row>
    <row r="20" spans="1:43" x14ac:dyDescent="0.15">
      <c r="A20" s="76"/>
      <c r="B20" s="76" t="str">
        <f t="shared" ref="B20:F21" si="1">B19</f>
        <v>S-05-W</v>
      </c>
      <c r="C20" s="76" t="str">
        <f t="shared" si="1"/>
        <v>Rydsgård 2</v>
      </c>
      <c r="D20" s="76" t="str">
        <f t="shared" si="1"/>
        <v xml:space="preserve">Rydsgård </v>
      </c>
      <c r="E20" s="76" t="str">
        <f t="shared" si="1"/>
        <v>OP42</v>
      </c>
      <c r="F20" s="76" t="str">
        <f t="shared" si="1"/>
        <v>W</v>
      </c>
      <c r="G20" s="76"/>
      <c r="H20" s="76" t="s">
        <v>176</v>
      </c>
      <c r="I20" s="76">
        <v>35</v>
      </c>
      <c r="J20" s="76">
        <f>45-25</f>
        <v>20</v>
      </c>
      <c r="AF20" s="154">
        <f>AF19+((AF19-AF21)/(I19-I21))*(I20-I19)</f>
        <v>8.2848275862068963</v>
      </c>
      <c r="AJ20" s="154">
        <f>AJ19+((AJ19-AJ21)/(I19-I21))*(I20-I19)</f>
        <v>1.4987875876585806</v>
      </c>
      <c r="AK20" s="154">
        <f>AK19+((AK19-AK21)/(I19-I21))*(I20-I19)</f>
        <v>1.4966932528108452</v>
      </c>
      <c r="AL20">
        <f t="shared" si="0"/>
        <v>24.799691097954049</v>
      </c>
    </row>
    <row r="21" spans="1:43" x14ac:dyDescent="0.15">
      <c r="A21" s="76"/>
      <c r="B21" s="76" t="str">
        <f t="shared" si="1"/>
        <v>S-05-W</v>
      </c>
      <c r="C21" s="76" t="str">
        <f t="shared" si="1"/>
        <v>Rydsgård 2</v>
      </c>
      <c r="D21" s="76" t="str">
        <f t="shared" si="1"/>
        <v xml:space="preserve">Rydsgård </v>
      </c>
      <c r="E21" s="76" t="str">
        <f t="shared" si="1"/>
        <v>OP42</v>
      </c>
      <c r="F21" s="76" t="str">
        <f t="shared" si="1"/>
        <v>W</v>
      </c>
      <c r="G21" s="76"/>
      <c r="H21" s="76" t="s">
        <v>21</v>
      </c>
      <c r="I21" s="76">
        <v>52.5</v>
      </c>
      <c r="J21">
        <f>60-45</f>
        <v>15</v>
      </c>
      <c r="AF21" s="149">
        <f>AVERAGE(AF17,AF25)</f>
        <v>4.08</v>
      </c>
      <c r="AJ21" s="149">
        <f>AVERAGE(AJ17,AJ25)</f>
        <v>1.6272513513513513</v>
      </c>
      <c r="AK21" s="149">
        <f>AVERAGE(AK17,AK25)</f>
        <v>1.6272513513513513</v>
      </c>
      <c r="AL21">
        <f t="shared" si="0"/>
        <v>9.9587782702702725</v>
      </c>
    </row>
    <row r="22" spans="1:43" x14ac:dyDescent="0.15">
      <c r="A22" t="s">
        <v>551</v>
      </c>
      <c r="B22" t="s">
        <v>27</v>
      </c>
      <c r="C22" t="s">
        <v>49</v>
      </c>
      <c r="D22" t="s">
        <v>195</v>
      </c>
      <c r="E22" t="s">
        <v>83</v>
      </c>
      <c r="F22" t="s">
        <v>346</v>
      </c>
      <c r="G22" t="s">
        <v>27</v>
      </c>
      <c r="H22" t="s">
        <v>177</v>
      </c>
      <c r="I22">
        <v>3.75</v>
      </c>
      <c r="J22">
        <v>7.5</v>
      </c>
      <c r="K22">
        <v>20</v>
      </c>
      <c r="L22">
        <v>12</v>
      </c>
      <c r="M22">
        <v>968</v>
      </c>
      <c r="N22">
        <v>999</v>
      </c>
      <c r="O22">
        <v>213</v>
      </c>
      <c r="P22">
        <v>212</v>
      </c>
      <c r="Q22">
        <v>119</v>
      </c>
      <c r="R22">
        <v>201</v>
      </c>
      <c r="S22">
        <v>254</v>
      </c>
      <c r="T22">
        <v>21.321321321321321</v>
      </c>
      <c r="U22">
        <v>33.133133133133136</v>
      </c>
      <c r="V22">
        <v>45.545545545545544</v>
      </c>
      <c r="W22">
        <v>-2.6708246035561092</v>
      </c>
      <c r="X22">
        <v>6.9195143216370367E-2</v>
      </c>
      <c r="Y22" t="s">
        <v>534</v>
      </c>
      <c r="Z22">
        <v>6</v>
      </c>
      <c r="AA22" t="s">
        <v>20</v>
      </c>
      <c r="AC22">
        <v>1.94</v>
      </c>
      <c r="AD22">
        <v>0.10299999999999999</v>
      </c>
      <c r="AE22">
        <v>0.19700000000000001</v>
      </c>
      <c r="AF22">
        <v>21.25</v>
      </c>
      <c r="AG22">
        <v>1.81</v>
      </c>
      <c r="AH22">
        <v>78.8</v>
      </c>
      <c r="AI22">
        <v>0.59</v>
      </c>
      <c r="AJ22" s="141">
        <f>AJ23-((AJ23-AJ25)/(I23-I25))*3.5</f>
        <v>1.3342413977088612</v>
      </c>
      <c r="AK22" s="141">
        <f>AK23-((AK23-AK25)/(I23-I25))*3.5</f>
        <v>1.3249079374071466</v>
      </c>
      <c r="AL22">
        <f t="shared" si="0"/>
        <v>21.115720252426399</v>
      </c>
    </row>
    <row r="23" spans="1:43" x14ac:dyDescent="0.15">
      <c r="A23" t="s">
        <v>552</v>
      </c>
      <c r="B23" t="s">
        <v>27</v>
      </c>
      <c r="C23" t="s">
        <v>49</v>
      </c>
      <c r="D23" t="s">
        <v>195</v>
      </c>
      <c r="E23" t="s">
        <v>83</v>
      </c>
      <c r="F23" t="s">
        <v>346</v>
      </c>
      <c r="G23" t="s">
        <v>27</v>
      </c>
      <c r="H23" t="s">
        <v>175</v>
      </c>
      <c r="I23">
        <v>16.25</v>
      </c>
      <c r="J23">
        <f>25-7.5</f>
        <v>17.5</v>
      </c>
      <c r="K23">
        <v>30</v>
      </c>
      <c r="L23">
        <v>54</v>
      </c>
      <c r="M23">
        <v>916</v>
      </c>
      <c r="N23">
        <v>999</v>
      </c>
      <c r="O23">
        <v>211</v>
      </c>
      <c r="P23">
        <v>201</v>
      </c>
      <c r="Q23">
        <v>120</v>
      </c>
      <c r="R23">
        <v>193</v>
      </c>
      <c r="S23">
        <v>274</v>
      </c>
      <c r="T23">
        <v>21.121121121121121</v>
      </c>
      <c r="U23">
        <v>32.132132132132128</v>
      </c>
      <c r="V23">
        <v>46.746746746746751</v>
      </c>
      <c r="W23">
        <v>-2.6201655351690669</v>
      </c>
      <c r="X23">
        <v>7.279081239064196E-2</v>
      </c>
      <c r="Y23" t="s">
        <v>534</v>
      </c>
      <c r="Z23">
        <v>6.1</v>
      </c>
      <c r="AA23" t="s">
        <v>20</v>
      </c>
      <c r="AC23">
        <v>2.02</v>
      </c>
      <c r="AD23">
        <v>8.8999999999999996E-2</v>
      </c>
      <c r="AE23">
        <v>0.109</v>
      </c>
      <c r="AF23">
        <v>12.82</v>
      </c>
      <c r="AG23">
        <v>1.24</v>
      </c>
      <c r="AH23">
        <v>79.2</v>
      </c>
      <c r="AI23">
        <v>0.67</v>
      </c>
      <c r="AJ23">
        <v>1.3592451260387248</v>
      </c>
      <c r="AK23">
        <v>1.3507334798516266</v>
      </c>
      <c r="AL23">
        <f t="shared" si="0"/>
        <v>30.303705620471245</v>
      </c>
    </row>
    <row r="24" spans="1:43" x14ac:dyDescent="0.15">
      <c r="B24" s="76" t="str">
        <f>B23</f>
        <v>S-06-W</v>
      </c>
      <c r="C24" s="76" t="str">
        <f>C23</f>
        <v>Rydsgård 3</v>
      </c>
      <c r="D24" s="76" t="str">
        <f>D23</f>
        <v xml:space="preserve">Rydsgård </v>
      </c>
      <c r="E24" s="76" t="str">
        <f>E23</f>
        <v>OP42</v>
      </c>
      <c r="F24" s="76" t="str">
        <f>F23</f>
        <v>W</v>
      </c>
      <c r="G24" s="76"/>
      <c r="H24" s="76" t="s">
        <v>176</v>
      </c>
      <c r="I24" s="76">
        <v>35</v>
      </c>
      <c r="J24" s="76">
        <f>45-25</f>
        <v>20</v>
      </c>
      <c r="AF24" s="154">
        <f>AF23+((AF23-AF25)/(I23-I25))*(I24-I23)</f>
        <v>8.1441379310344821</v>
      </c>
      <c r="AJ24" s="154">
        <f>AJ23+((AJ23-AJ25)/(I23-I25))*(I24-I23)</f>
        <v>1.4931936706629942</v>
      </c>
      <c r="AK24" s="154">
        <f>AK23+((AK23-AK25)/(I23-I25))*(I24-I23)</f>
        <v>1.4890846000899123</v>
      </c>
      <c r="AL24">
        <f t="shared" si="0"/>
        <v>24.254620748223136</v>
      </c>
    </row>
    <row r="25" spans="1:43" x14ac:dyDescent="0.15">
      <c r="A25" t="s">
        <v>553</v>
      </c>
      <c r="B25" t="s">
        <v>27</v>
      </c>
      <c r="C25" t="s">
        <v>49</v>
      </c>
      <c r="D25" t="s">
        <v>195</v>
      </c>
      <c r="E25" t="s">
        <v>83</v>
      </c>
      <c r="F25" t="s">
        <v>346</v>
      </c>
      <c r="G25" t="s">
        <v>27</v>
      </c>
      <c r="H25" t="s">
        <v>21</v>
      </c>
      <c r="I25">
        <v>52.5</v>
      </c>
      <c r="J25">
        <f>60-45</f>
        <v>15</v>
      </c>
      <c r="K25">
        <v>2</v>
      </c>
      <c r="L25">
        <v>20</v>
      </c>
      <c r="M25">
        <v>978</v>
      </c>
      <c r="N25">
        <v>994</v>
      </c>
      <c r="O25">
        <v>352</v>
      </c>
      <c r="P25">
        <v>307</v>
      </c>
      <c r="Q25">
        <v>141</v>
      </c>
      <c r="R25">
        <v>105</v>
      </c>
      <c r="S25">
        <v>89</v>
      </c>
      <c r="T25">
        <v>35.412474849094565</v>
      </c>
      <c r="U25">
        <v>45.070422535211272</v>
      </c>
      <c r="V25">
        <v>19.517102615694164</v>
      </c>
      <c r="W25">
        <v>-4.0863044339130328</v>
      </c>
      <c r="X25">
        <v>1.6801208948982821E-2</v>
      </c>
      <c r="Y25" t="s">
        <v>534</v>
      </c>
      <c r="Z25">
        <v>7.5</v>
      </c>
      <c r="AA25" t="s">
        <v>475</v>
      </c>
      <c r="AC25">
        <v>4.24</v>
      </c>
      <c r="AD25">
        <v>0.106</v>
      </c>
      <c r="AE25">
        <v>0.129</v>
      </c>
      <c r="AF25">
        <v>3.78</v>
      </c>
      <c r="AG25">
        <v>0.53</v>
      </c>
      <c r="AH25">
        <v>81.8</v>
      </c>
      <c r="AI25">
        <v>0.34</v>
      </c>
      <c r="AJ25" s="76">
        <f>-0.0042*T27+1.6859</f>
        <v>1.6182123123123122</v>
      </c>
      <c r="AK25" s="76">
        <f>AJ25</f>
        <v>1.6182123123123122</v>
      </c>
      <c r="AL25">
        <f t="shared" si="0"/>
        <v>9.1752638108108098</v>
      </c>
    </row>
    <row r="26" spans="1:43" x14ac:dyDescent="0.15">
      <c r="A26" t="s">
        <v>554</v>
      </c>
      <c r="B26" t="s">
        <v>28</v>
      </c>
      <c r="C26" t="s">
        <v>50</v>
      </c>
      <c r="D26" t="s">
        <v>50</v>
      </c>
      <c r="E26" t="s">
        <v>91</v>
      </c>
      <c r="F26" t="s">
        <v>346</v>
      </c>
      <c r="G26" t="s">
        <v>28</v>
      </c>
      <c r="H26" t="s">
        <v>177</v>
      </c>
      <c r="I26">
        <v>3.75</v>
      </c>
      <c r="J26">
        <v>7.5</v>
      </c>
      <c r="K26">
        <v>1</v>
      </c>
      <c r="L26">
        <v>5</v>
      </c>
      <c r="M26">
        <v>993</v>
      </c>
      <c r="N26">
        <v>999</v>
      </c>
      <c r="O26">
        <v>145</v>
      </c>
      <c r="P26">
        <v>199</v>
      </c>
      <c r="Q26">
        <v>177</v>
      </c>
      <c r="R26">
        <v>287</v>
      </c>
      <c r="S26">
        <v>191</v>
      </c>
      <c r="T26">
        <v>14.514514514514515</v>
      </c>
      <c r="U26">
        <v>37.637637637637638</v>
      </c>
      <c r="V26">
        <v>47.847847847847845</v>
      </c>
      <c r="W26">
        <v>-2.3644575908262446</v>
      </c>
      <c r="X26">
        <v>9.4000273153670405E-2</v>
      </c>
      <c r="Y26" t="s">
        <v>534</v>
      </c>
      <c r="Z26">
        <v>5.6</v>
      </c>
      <c r="AA26" t="s">
        <v>20</v>
      </c>
      <c r="AC26">
        <v>0.9</v>
      </c>
      <c r="AD26">
        <v>7.0000000000000007E-2</v>
      </c>
      <c r="AE26">
        <v>0.18</v>
      </c>
      <c r="AF26">
        <v>19.850000000000001</v>
      </c>
      <c r="AG26">
        <v>1.24</v>
      </c>
      <c r="AH26">
        <v>48.9</v>
      </c>
      <c r="AI26">
        <v>0.18</v>
      </c>
      <c r="AJ26" s="141">
        <f>AJ27-((AJ27-AJ29)/(I27-I29))*3.5</f>
        <v>1.0808942965088086</v>
      </c>
      <c r="AK26" s="141">
        <f>AK27-((AK27-AK29)/(I27-I29))*3.5</f>
        <v>1.2308202391397276</v>
      </c>
      <c r="AL26">
        <f t="shared" si="0"/>
        <v>18.323836310192696</v>
      </c>
      <c r="AN26">
        <v>1.2308202391397276</v>
      </c>
      <c r="AO26">
        <v>18.323836310192696</v>
      </c>
      <c r="AP26">
        <f>AO26+AO27</f>
        <v>49.910390660034523</v>
      </c>
      <c r="AQ26">
        <f>AP26+AP28</f>
        <v>81.531344173069982</v>
      </c>
    </row>
    <row r="27" spans="1:43" x14ac:dyDescent="0.15">
      <c r="A27" t="s">
        <v>555</v>
      </c>
      <c r="B27" t="s">
        <v>28</v>
      </c>
      <c r="C27" t="s">
        <v>50</v>
      </c>
      <c r="D27" t="s">
        <v>50</v>
      </c>
      <c r="E27" t="s">
        <v>91</v>
      </c>
      <c r="F27" t="s">
        <v>346</v>
      </c>
      <c r="G27" t="s">
        <v>28</v>
      </c>
      <c r="H27" t="s">
        <v>175</v>
      </c>
      <c r="I27">
        <v>16.25</v>
      </c>
      <c r="J27">
        <f>25-7.5</f>
        <v>17.5</v>
      </c>
      <c r="K27">
        <v>0</v>
      </c>
      <c r="L27">
        <v>1</v>
      </c>
      <c r="M27">
        <v>999</v>
      </c>
      <c r="N27">
        <v>999</v>
      </c>
      <c r="O27">
        <v>161</v>
      </c>
      <c r="P27">
        <v>227</v>
      </c>
      <c r="Q27">
        <v>191</v>
      </c>
      <c r="R27">
        <v>301</v>
      </c>
      <c r="S27">
        <v>119</v>
      </c>
      <c r="T27">
        <v>16.116116116116117</v>
      </c>
      <c r="U27">
        <v>41.841841841841841</v>
      </c>
      <c r="V27">
        <v>42.042042042042041</v>
      </c>
      <c r="W27">
        <v>-2.6299650213710932</v>
      </c>
      <c r="X27">
        <v>7.2080983488643585E-2</v>
      </c>
      <c r="Y27" t="s">
        <v>534</v>
      </c>
      <c r="Z27">
        <v>5.6</v>
      </c>
      <c r="AA27" t="s">
        <v>20</v>
      </c>
      <c r="AC27">
        <v>0.85</v>
      </c>
      <c r="AD27">
        <v>6.2E-2</v>
      </c>
      <c r="AE27">
        <v>0.11</v>
      </c>
      <c r="AF27">
        <v>14.28</v>
      </c>
      <c r="AG27">
        <v>0.89</v>
      </c>
      <c r="AH27">
        <v>50.9</v>
      </c>
      <c r="AI27">
        <v>0.15</v>
      </c>
      <c r="AJ27">
        <v>1.1272428448623686</v>
      </c>
      <c r="AK27">
        <v>1.2639677610981122</v>
      </c>
      <c r="AL27">
        <f t="shared" si="0"/>
        <v>31.586554349841826</v>
      </c>
      <c r="AN27">
        <v>1.2639677610981122</v>
      </c>
      <c r="AO27">
        <v>31.586554349841826</v>
      </c>
    </row>
    <row r="28" spans="1:43" x14ac:dyDescent="0.15">
      <c r="B28" s="76" t="str">
        <f>B27</f>
        <v>S-07-W</v>
      </c>
      <c r="C28" s="76" t="str">
        <f>C27</f>
        <v>Sturup</v>
      </c>
      <c r="D28" s="76" t="str">
        <f>D27</f>
        <v>Sturup</v>
      </c>
      <c r="E28" s="76" t="str">
        <f>E27</f>
        <v>Hasp</v>
      </c>
      <c r="F28" s="76" t="str">
        <f>F27</f>
        <v>W</v>
      </c>
      <c r="G28" s="76"/>
      <c r="H28" s="76" t="s">
        <v>176</v>
      </c>
      <c r="I28" s="76">
        <v>35</v>
      </c>
      <c r="J28" s="76">
        <f>45-25</f>
        <v>20</v>
      </c>
      <c r="AF28" s="154">
        <f>AF27+((AF27-AF29)/(I27-I29))*(I28-I27)</f>
        <v>8.4506896551724129</v>
      </c>
      <c r="AJ28" s="154">
        <f>AJ27+((AJ27-AJ29)/(I27-I29))*(I28-I27)</f>
        <v>1.375538639613582</v>
      </c>
      <c r="AK28" s="154">
        <f>AK27+((AK27-AK29)/(I27-I29))*(I28-I27)</f>
        <v>1.4415437715894583</v>
      </c>
      <c r="AL28">
        <f t="shared" si="0"/>
        <v>24.364078076098519</v>
      </c>
      <c r="AN28">
        <v>1.4415437715894583</v>
      </c>
      <c r="AO28">
        <v>24.364078076098519</v>
      </c>
      <c r="AP28">
        <f>AO28+AO29</f>
        <v>31.620953513035452</v>
      </c>
    </row>
    <row r="29" spans="1:43" x14ac:dyDescent="0.15">
      <c r="A29" t="s">
        <v>556</v>
      </c>
      <c r="B29" t="s">
        <v>28</v>
      </c>
      <c r="C29" t="s">
        <v>50</v>
      </c>
      <c r="D29" t="s">
        <v>50</v>
      </c>
      <c r="E29" t="s">
        <v>91</v>
      </c>
      <c r="F29" t="s">
        <v>346</v>
      </c>
      <c r="G29" t="s">
        <v>28</v>
      </c>
      <c r="H29" t="s">
        <v>21</v>
      </c>
      <c r="I29">
        <v>52.5</v>
      </c>
      <c r="J29">
        <f>60-45</f>
        <v>15</v>
      </c>
      <c r="K29">
        <v>0</v>
      </c>
      <c r="L29">
        <v>1</v>
      </c>
      <c r="M29">
        <v>999</v>
      </c>
      <c r="N29">
        <v>999</v>
      </c>
      <c r="O29">
        <v>100</v>
      </c>
      <c r="P29">
        <v>161</v>
      </c>
      <c r="Q29">
        <v>115</v>
      </c>
      <c r="R29">
        <v>224</v>
      </c>
      <c r="S29">
        <v>399</v>
      </c>
      <c r="T29">
        <v>10.01001001001001</v>
      </c>
      <c r="U29">
        <v>27.627627627627625</v>
      </c>
      <c r="V29">
        <v>62.362362362362369</v>
      </c>
      <c r="W29">
        <v>-1.6843822249845377</v>
      </c>
      <c r="X29">
        <v>0.1855590302871381</v>
      </c>
      <c r="Y29" t="s">
        <v>534</v>
      </c>
      <c r="Z29">
        <v>5.5</v>
      </c>
      <c r="AA29" t="s">
        <v>20</v>
      </c>
      <c r="AC29">
        <v>0.32</v>
      </c>
      <c r="AD29">
        <v>0.06</v>
      </c>
      <c r="AE29">
        <v>5.6000000000000001E-2</v>
      </c>
      <c r="AF29">
        <v>3.01</v>
      </c>
      <c r="AG29">
        <v>0.23</v>
      </c>
      <c r="AH29">
        <v>46.1</v>
      </c>
      <c r="AI29">
        <v>0.1</v>
      </c>
      <c r="AJ29" s="76">
        <f>-0.0042*T31+1.6859</f>
        <v>1.6072813813813813</v>
      </c>
      <c r="AK29" s="76">
        <f>AJ29</f>
        <v>1.6072813813813813</v>
      </c>
      <c r="AL29">
        <f t="shared" si="0"/>
        <v>7.2568754369369355</v>
      </c>
      <c r="AN29">
        <v>1.6072813813813813</v>
      </c>
      <c r="AO29">
        <v>7.2568754369369355</v>
      </c>
    </row>
    <row r="30" spans="1:43" x14ac:dyDescent="0.15">
      <c r="A30" t="s">
        <v>557</v>
      </c>
      <c r="B30" t="s">
        <v>29</v>
      </c>
      <c r="C30" t="s">
        <v>51</v>
      </c>
      <c r="D30" t="s">
        <v>189</v>
      </c>
      <c r="E30" t="s">
        <v>406</v>
      </c>
      <c r="F30" t="s">
        <v>346</v>
      </c>
      <c r="G30" t="s">
        <v>29</v>
      </c>
      <c r="H30" t="s">
        <v>177</v>
      </c>
      <c r="I30">
        <v>3.75</v>
      </c>
      <c r="J30">
        <v>7.5</v>
      </c>
      <c r="K30">
        <v>4</v>
      </c>
      <c r="L30">
        <v>19</v>
      </c>
      <c r="M30">
        <v>977</v>
      </c>
      <c r="N30">
        <v>999</v>
      </c>
      <c r="O30">
        <v>186</v>
      </c>
      <c r="P30">
        <v>159</v>
      </c>
      <c r="Q30">
        <v>128</v>
      </c>
      <c r="R30">
        <v>226</v>
      </c>
      <c r="S30">
        <v>300</v>
      </c>
      <c r="T30">
        <v>18.618618618618619</v>
      </c>
      <c r="U30">
        <v>28.728728728728729</v>
      </c>
      <c r="V30">
        <v>52.652652652652655</v>
      </c>
      <c r="W30">
        <v>-2.3216278541780282</v>
      </c>
      <c r="X30">
        <v>9.8113740674861699E-2</v>
      </c>
      <c r="Y30" t="s">
        <v>534</v>
      </c>
      <c r="Z30">
        <v>6.3</v>
      </c>
      <c r="AA30" t="s">
        <v>20</v>
      </c>
      <c r="AC30">
        <v>1.62</v>
      </c>
      <c r="AD30">
        <v>0.14599999999999999</v>
      </c>
      <c r="AE30">
        <v>0.154</v>
      </c>
      <c r="AF30">
        <v>21.55</v>
      </c>
      <c r="AG30">
        <v>1.65</v>
      </c>
      <c r="AH30">
        <v>58.5</v>
      </c>
      <c r="AI30">
        <v>0.24</v>
      </c>
      <c r="AJ30" s="141">
        <f>AJ31-((AJ31-AJ33)/(I31-I33))*3.5</f>
        <v>1.2260843933555552</v>
      </c>
      <c r="AK30" s="141">
        <f>AK31-((AK31-AK33)/(I31-I33))*3.5</f>
        <v>1.2307063821127517</v>
      </c>
      <c r="AL30">
        <f t="shared" si="0"/>
        <v>19.89129190089735</v>
      </c>
    </row>
    <row r="31" spans="1:43" x14ac:dyDescent="0.15">
      <c r="A31" t="s">
        <v>558</v>
      </c>
      <c r="B31" t="s">
        <v>29</v>
      </c>
      <c r="C31" t="s">
        <v>51</v>
      </c>
      <c r="D31" t="s">
        <v>189</v>
      </c>
      <c r="E31" t="s">
        <v>406</v>
      </c>
      <c r="F31" t="s">
        <v>346</v>
      </c>
      <c r="G31" t="s">
        <v>29</v>
      </c>
      <c r="H31" t="s">
        <v>175</v>
      </c>
      <c r="I31">
        <v>16.25</v>
      </c>
      <c r="J31">
        <f>25-7.5</f>
        <v>17.5</v>
      </c>
      <c r="K31">
        <v>21</v>
      </c>
      <c r="L31">
        <v>37</v>
      </c>
      <c r="M31">
        <v>942</v>
      </c>
      <c r="N31">
        <v>999</v>
      </c>
      <c r="O31">
        <v>187</v>
      </c>
      <c r="P31">
        <v>162</v>
      </c>
      <c r="Q31">
        <v>125</v>
      </c>
      <c r="R31">
        <v>228</v>
      </c>
      <c r="S31">
        <v>297</v>
      </c>
      <c r="T31">
        <v>18.718718718718719</v>
      </c>
      <c r="U31">
        <v>28.728728728728729</v>
      </c>
      <c r="V31">
        <v>52.552552552552555</v>
      </c>
      <c r="W31">
        <v>-2.3285672414568799</v>
      </c>
      <c r="X31">
        <v>9.7435248314306361E-2</v>
      </c>
      <c r="Y31" t="s">
        <v>534</v>
      </c>
      <c r="Z31">
        <v>6.8</v>
      </c>
      <c r="AA31" t="s">
        <v>20</v>
      </c>
      <c r="AC31">
        <v>1.82</v>
      </c>
      <c r="AD31">
        <v>0.14000000000000001</v>
      </c>
      <c r="AE31">
        <v>6.6000000000000003E-2</v>
      </c>
      <c r="AF31">
        <v>16.600000000000001</v>
      </c>
      <c r="AG31">
        <v>1.38</v>
      </c>
      <c r="AH31">
        <v>57.6</v>
      </c>
      <c r="AI31">
        <v>0.25</v>
      </c>
      <c r="AJ31">
        <v>1.2576499279123081</v>
      </c>
      <c r="AK31">
        <v>1.2618649491059779</v>
      </c>
      <c r="AL31">
        <f t="shared" si="0"/>
        <v>36.657176771528661</v>
      </c>
    </row>
    <row r="32" spans="1:43" x14ac:dyDescent="0.15">
      <c r="B32" s="76" t="str">
        <f>B31</f>
        <v>S-08-W</v>
      </c>
      <c r="C32" s="76" t="str">
        <f>C31</f>
        <v>Bullstofta 1</v>
      </c>
      <c r="D32" s="76" t="str">
        <f>D31</f>
        <v>Bullstofta</v>
      </c>
      <c r="E32" s="76" t="str">
        <f>E31</f>
        <v>OldPoplarClones</v>
      </c>
      <c r="F32" s="76" t="str">
        <f>F31</f>
        <v>W</v>
      </c>
      <c r="G32" s="76"/>
      <c r="H32" s="76" t="s">
        <v>176</v>
      </c>
      <c r="I32" s="76">
        <v>35</v>
      </c>
      <c r="J32" s="76">
        <f>45-25</f>
        <v>20</v>
      </c>
      <c r="AF32" s="154">
        <f>AF31+((AF31-AF33)/(I31-I33))*(I32-I31)</f>
        <v>9.3689655172413815</v>
      </c>
      <c r="AJ32" s="154">
        <f>AJ31+((AJ31-AJ33)/(I31-I33))*(I32-I31)</f>
        <v>1.4267510058949135</v>
      </c>
      <c r="AK32" s="154">
        <f>AK31+((AK31-AK33)/(I31-I33))*(I32-I31)</f>
        <v>1.4287858437125474</v>
      </c>
      <c r="AL32">
        <f t="shared" si="0"/>
        <v>26.772490602530983</v>
      </c>
    </row>
    <row r="33" spans="1:38" x14ac:dyDescent="0.15">
      <c r="A33" t="s">
        <v>559</v>
      </c>
      <c r="B33" t="s">
        <v>29</v>
      </c>
      <c r="C33" t="s">
        <v>51</v>
      </c>
      <c r="D33" t="s">
        <v>189</v>
      </c>
      <c r="E33" t="s">
        <v>406</v>
      </c>
      <c r="F33" t="s">
        <v>346</v>
      </c>
      <c r="G33" t="s">
        <v>29</v>
      </c>
      <c r="H33" t="s">
        <v>21</v>
      </c>
      <c r="I33">
        <v>52.5</v>
      </c>
      <c r="J33">
        <f>60-45</f>
        <v>15</v>
      </c>
      <c r="K33">
        <v>22</v>
      </c>
      <c r="L33">
        <v>32</v>
      </c>
      <c r="M33">
        <v>947</v>
      </c>
      <c r="N33">
        <v>999</v>
      </c>
      <c r="O33">
        <v>252</v>
      </c>
      <c r="P33">
        <v>150</v>
      </c>
      <c r="Q33">
        <v>115</v>
      </c>
      <c r="R33">
        <v>221</v>
      </c>
      <c r="S33">
        <v>261</v>
      </c>
      <c r="T33">
        <v>25.225225225225223</v>
      </c>
      <c r="U33">
        <v>26.526526526526528</v>
      </c>
      <c r="V33">
        <v>48.248248248248245</v>
      </c>
      <c r="W33">
        <v>-2.6987107681576705</v>
      </c>
      <c r="X33">
        <v>6.7292212102534818E-2</v>
      </c>
      <c r="Y33" t="s">
        <v>534</v>
      </c>
      <c r="Z33">
        <v>5.4</v>
      </c>
      <c r="AA33" t="s">
        <v>20</v>
      </c>
      <c r="AC33">
        <v>1.38</v>
      </c>
      <c r="AD33">
        <v>0.152</v>
      </c>
      <c r="AE33">
        <v>8.7999999999999995E-2</v>
      </c>
      <c r="AF33">
        <v>2.62</v>
      </c>
      <c r="AG33">
        <v>0.31</v>
      </c>
      <c r="AH33">
        <v>32.700000000000003</v>
      </c>
      <c r="AI33">
        <v>0.05</v>
      </c>
      <c r="AJ33" s="76">
        <f>-0.0042*T35+1.6859</f>
        <v>1.5845786786786786</v>
      </c>
      <c r="AK33" s="76">
        <f>AJ33</f>
        <v>1.5845786786786786</v>
      </c>
      <c r="AL33">
        <f t="shared" si="0"/>
        <v>6.2273942072072073</v>
      </c>
    </row>
    <row r="34" spans="1:38" x14ac:dyDescent="0.15">
      <c r="A34" t="s">
        <v>560</v>
      </c>
      <c r="B34" t="s">
        <v>30</v>
      </c>
      <c r="C34" t="s">
        <v>53</v>
      </c>
      <c r="D34" t="s">
        <v>189</v>
      </c>
      <c r="E34" t="s">
        <v>406</v>
      </c>
      <c r="F34" t="s">
        <v>346</v>
      </c>
      <c r="G34" t="s">
        <v>30</v>
      </c>
      <c r="H34" t="s">
        <v>177</v>
      </c>
      <c r="I34">
        <v>3.75</v>
      </c>
      <c r="J34">
        <v>7.5</v>
      </c>
      <c r="K34">
        <v>4</v>
      </c>
      <c r="L34">
        <v>25</v>
      </c>
      <c r="M34">
        <v>972</v>
      </c>
      <c r="N34">
        <v>999</v>
      </c>
      <c r="O34">
        <v>215</v>
      </c>
      <c r="P34">
        <v>173</v>
      </c>
      <c r="Q34">
        <v>132</v>
      </c>
      <c r="R34">
        <v>198</v>
      </c>
      <c r="S34">
        <v>281</v>
      </c>
      <c r="T34">
        <v>21.521521521521521</v>
      </c>
      <c r="U34">
        <v>30.53053053053053</v>
      </c>
      <c r="V34">
        <v>47.947947947947952</v>
      </c>
      <c r="W34">
        <v>-2.5890746141575289</v>
      </c>
      <c r="X34">
        <v>7.5089494699525486E-2</v>
      </c>
      <c r="Y34" t="s">
        <v>534</v>
      </c>
      <c r="Z34">
        <v>6.8</v>
      </c>
      <c r="AA34" t="s">
        <v>20</v>
      </c>
      <c r="AC34">
        <v>2.1</v>
      </c>
      <c r="AD34">
        <v>0.16300000000000001</v>
      </c>
      <c r="AE34">
        <v>0.16</v>
      </c>
      <c r="AF34">
        <v>19.45</v>
      </c>
      <c r="AG34">
        <v>1.54</v>
      </c>
      <c r="AH34">
        <v>48.7</v>
      </c>
      <c r="AI34">
        <v>0.21</v>
      </c>
      <c r="AJ34" s="141">
        <f>AJ35-((AJ35-AJ37)/(I35-I37))*3.5</f>
        <v>1.2227357795909637</v>
      </c>
      <c r="AK34" s="141">
        <f>AK35-((AK35-AK37)/(I35-I37))*3.5</f>
        <v>1.227578847598676</v>
      </c>
      <c r="AL34">
        <f t="shared" si="0"/>
        <v>17.907306439345689</v>
      </c>
    </row>
    <row r="35" spans="1:38" x14ac:dyDescent="0.15">
      <c r="A35" t="s">
        <v>561</v>
      </c>
      <c r="B35" t="s">
        <v>30</v>
      </c>
      <c r="C35" t="s">
        <v>53</v>
      </c>
      <c r="D35" t="s">
        <v>189</v>
      </c>
      <c r="E35" t="s">
        <v>406</v>
      </c>
      <c r="F35" t="s">
        <v>346</v>
      </c>
      <c r="G35" t="s">
        <v>30</v>
      </c>
      <c r="H35" t="s">
        <v>175</v>
      </c>
      <c r="I35">
        <v>16.25</v>
      </c>
      <c r="J35">
        <f>25-7.5</f>
        <v>17.5</v>
      </c>
      <c r="K35">
        <v>4</v>
      </c>
      <c r="L35">
        <v>15</v>
      </c>
      <c r="M35">
        <v>981</v>
      </c>
      <c r="N35">
        <v>999</v>
      </c>
      <c r="O35">
        <v>241</v>
      </c>
      <c r="P35">
        <v>179</v>
      </c>
      <c r="Q35">
        <v>137</v>
      </c>
      <c r="R35">
        <v>223</v>
      </c>
      <c r="S35">
        <v>219</v>
      </c>
      <c r="T35">
        <v>24.124124124124123</v>
      </c>
      <c r="U35">
        <v>31.631631631631627</v>
      </c>
      <c r="V35">
        <v>44.244244244244243</v>
      </c>
      <c r="W35">
        <v>-2.8099570066199373</v>
      </c>
      <c r="X35">
        <v>6.0207580864136315E-2</v>
      </c>
      <c r="Y35" t="s">
        <v>534</v>
      </c>
      <c r="Z35">
        <v>7.2</v>
      </c>
      <c r="AA35" t="s">
        <v>20</v>
      </c>
      <c r="AC35">
        <v>2.25</v>
      </c>
      <c r="AD35">
        <v>0.21099999999999999</v>
      </c>
      <c r="AE35">
        <v>8.1000000000000003E-2</v>
      </c>
      <c r="AF35">
        <v>13.36</v>
      </c>
      <c r="AG35">
        <v>1.17</v>
      </c>
      <c r="AH35">
        <v>45.6</v>
      </c>
      <c r="AI35">
        <v>0.18</v>
      </c>
      <c r="AJ35">
        <v>1.2551144147458719</v>
      </c>
      <c r="AK35">
        <v>1.2595310490925278</v>
      </c>
      <c r="AL35">
        <f t="shared" si="0"/>
        <v>29.447835927783299</v>
      </c>
    </row>
    <row r="36" spans="1:38" x14ac:dyDescent="0.15">
      <c r="B36" s="76" t="str">
        <f>B35</f>
        <v>S-09-W</v>
      </c>
      <c r="C36" s="76" t="str">
        <f>C35</f>
        <v>Bullstofta 2</v>
      </c>
      <c r="D36" s="76" t="str">
        <f>D35</f>
        <v>Bullstofta</v>
      </c>
      <c r="E36" s="76" t="str">
        <f>E35</f>
        <v>OldPoplarClones</v>
      </c>
      <c r="F36" s="76" t="str">
        <f>F35</f>
        <v>W</v>
      </c>
      <c r="G36" s="76"/>
      <c r="H36" s="76" t="s">
        <v>176</v>
      </c>
      <c r="I36" s="76">
        <v>35</v>
      </c>
      <c r="J36" s="76">
        <f>45-25</f>
        <v>20</v>
      </c>
      <c r="AF36" s="154">
        <f>AF35+((AF35-AF37)/(I35-I37))*(I36-I35)</f>
        <v>8.1927586206896557</v>
      </c>
      <c r="AJ36" s="154">
        <f>AJ35+((AJ35-AJ37)/(I35-I37))*(I36-I35)</f>
        <v>1.4285713887900233</v>
      </c>
      <c r="AK36" s="154">
        <f>AK35+((AK35-AK37)/(I35-I37))*(I36-I35)</f>
        <v>1.4307035570953053</v>
      </c>
      <c r="AL36">
        <f t="shared" si="0"/>
        <v>23.442817802087834</v>
      </c>
    </row>
    <row r="37" spans="1:38" x14ac:dyDescent="0.15">
      <c r="A37" t="s">
        <v>562</v>
      </c>
      <c r="B37" t="s">
        <v>30</v>
      </c>
      <c r="C37" t="s">
        <v>53</v>
      </c>
      <c r="D37" t="s">
        <v>189</v>
      </c>
      <c r="E37" t="s">
        <v>406</v>
      </c>
      <c r="F37" t="s">
        <v>346</v>
      </c>
      <c r="G37" t="s">
        <v>30</v>
      </c>
      <c r="H37" t="s">
        <v>21</v>
      </c>
      <c r="I37">
        <v>52.5</v>
      </c>
      <c r="J37">
        <f>60-45</f>
        <v>15</v>
      </c>
      <c r="K37">
        <v>4</v>
      </c>
      <c r="L37">
        <v>3</v>
      </c>
      <c r="M37">
        <v>993</v>
      </c>
      <c r="N37">
        <v>999</v>
      </c>
      <c r="O37">
        <v>361</v>
      </c>
      <c r="P37">
        <v>145</v>
      </c>
      <c r="Q37">
        <v>81</v>
      </c>
      <c r="R37">
        <v>163</v>
      </c>
      <c r="S37">
        <v>249</v>
      </c>
      <c r="T37">
        <v>36.136136136136138</v>
      </c>
      <c r="U37">
        <v>22.622622622622622</v>
      </c>
      <c r="V37">
        <v>41.241241241241241</v>
      </c>
      <c r="W37">
        <v>-3.3116608356180453</v>
      </c>
      <c r="X37">
        <v>3.645557672651515E-2</v>
      </c>
      <c r="Y37" t="s">
        <v>534</v>
      </c>
      <c r="Z37">
        <v>6.4</v>
      </c>
      <c r="AA37" t="s">
        <v>20</v>
      </c>
      <c r="AC37">
        <v>2.58</v>
      </c>
      <c r="AD37">
        <v>0.52400000000000002</v>
      </c>
      <c r="AE37">
        <v>0.13800000000000001</v>
      </c>
      <c r="AF37">
        <v>3.37</v>
      </c>
      <c r="AG37">
        <v>0.37</v>
      </c>
      <c r="AH37">
        <v>30.5</v>
      </c>
      <c r="AI37">
        <v>0.04</v>
      </c>
      <c r="AJ37" s="76">
        <f>-0.0042*T39+1.6859</f>
        <v>1.5904645645645645</v>
      </c>
      <c r="AK37" s="76">
        <f>AJ37</f>
        <v>1.5904645645645645</v>
      </c>
      <c r="AL37">
        <f t="shared" si="0"/>
        <v>8.0397983738738734</v>
      </c>
    </row>
    <row r="38" spans="1:38" x14ac:dyDescent="0.15">
      <c r="A38" t="s">
        <v>563</v>
      </c>
      <c r="B38" t="s">
        <v>31</v>
      </c>
      <c r="C38" t="s">
        <v>52</v>
      </c>
      <c r="D38" t="s">
        <v>189</v>
      </c>
      <c r="E38" t="s">
        <v>406</v>
      </c>
      <c r="F38" t="s">
        <v>346</v>
      </c>
      <c r="G38" t="s">
        <v>31</v>
      </c>
      <c r="H38" t="s">
        <v>177</v>
      </c>
      <c r="I38">
        <v>3.75</v>
      </c>
      <c r="J38">
        <v>7.5</v>
      </c>
      <c r="K38">
        <v>0</v>
      </c>
      <c r="L38">
        <v>1</v>
      </c>
      <c r="M38">
        <v>1000</v>
      </c>
      <c r="N38">
        <v>999</v>
      </c>
      <c r="O38">
        <v>280</v>
      </c>
      <c r="P38">
        <v>196</v>
      </c>
      <c r="Q38">
        <v>193</v>
      </c>
      <c r="R38">
        <v>268</v>
      </c>
      <c r="S38">
        <v>62</v>
      </c>
      <c r="T38">
        <v>28.028028028028029</v>
      </c>
      <c r="U38">
        <v>38.938938938938939</v>
      </c>
      <c r="V38">
        <v>33.033033033033036</v>
      </c>
      <c r="W38">
        <v>-3.3490892554493201</v>
      </c>
      <c r="X38">
        <v>3.5116321540032379E-2</v>
      </c>
      <c r="Y38" t="s">
        <v>534</v>
      </c>
      <c r="Z38">
        <v>6.6</v>
      </c>
      <c r="AA38" t="s">
        <v>20</v>
      </c>
      <c r="AC38">
        <v>3.19</v>
      </c>
      <c r="AD38">
        <v>0.161</v>
      </c>
      <c r="AE38">
        <v>0.23200000000000001</v>
      </c>
      <c r="AF38">
        <v>62.06</v>
      </c>
      <c r="AG38">
        <v>3.42</v>
      </c>
      <c r="AH38">
        <v>58.8</v>
      </c>
      <c r="AI38">
        <v>0.59</v>
      </c>
      <c r="AJ38" s="141">
        <f>AJ39-((AJ39-AJ41)/(I39-I41))*3.5</f>
        <v>1.0255285598554915</v>
      </c>
      <c r="AK38" s="141">
        <f>AK39-((AK39-AK41)/(I39-I41))*3.5</f>
        <v>1.0746939130661164</v>
      </c>
      <c r="AL38">
        <f t="shared" si="0"/>
        <v>50.021628183662386</v>
      </c>
    </row>
    <row r="39" spans="1:38" x14ac:dyDescent="0.15">
      <c r="A39" t="s">
        <v>564</v>
      </c>
      <c r="B39" t="s">
        <v>31</v>
      </c>
      <c r="C39" t="s">
        <v>52</v>
      </c>
      <c r="D39" t="s">
        <v>189</v>
      </c>
      <c r="E39" t="s">
        <v>406</v>
      </c>
      <c r="F39" t="s">
        <v>346</v>
      </c>
      <c r="G39" t="s">
        <v>31</v>
      </c>
      <c r="H39" t="s">
        <v>175</v>
      </c>
      <c r="I39">
        <v>16.25</v>
      </c>
      <c r="J39">
        <f>25-7.5</f>
        <v>17.5</v>
      </c>
      <c r="K39">
        <v>0</v>
      </c>
      <c r="L39">
        <v>3</v>
      </c>
      <c r="M39">
        <v>997</v>
      </c>
      <c r="N39">
        <v>999</v>
      </c>
      <c r="O39">
        <v>227</v>
      </c>
      <c r="P39">
        <v>186</v>
      </c>
      <c r="Q39">
        <v>201</v>
      </c>
      <c r="R39">
        <v>345</v>
      </c>
      <c r="S39">
        <v>40</v>
      </c>
      <c r="T39">
        <v>22.722722722722725</v>
      </c>
      <c r="U39">
        <v>38.738738738738739</v>
      </c>
      <c r="V39">
        <v>38.538538538538539</v>
      </c>
      <c r="W39">
        <v>-2.9739456709043299</v>
      </c>
      <c r="X39">
        <v>5.1101283181473216E-2</v>
      </c>
      <c r="Y39" t="s">
        <v>534</v>
      </c>
      <c r="Z39">
        <v>6.7</v>
      </c>
      <c r="AA39" t="s">
        <v>20</v>
      </c>
      <c r="AC39">
        <v>3.16</v>
      </c>
      <c r="AD39">
        <v>0.15</v>
      </c>
      <c r="AE39">
        <v>8.8999999999999996E-2</v>
      </c>
      <c r="AF39">
        <v>53.27</v>
      </c>
      <c r="AG39">
        <v>2.8</v>
      </c>
      <c r="AH39">
        <v>55.8</v>
      </c>
      <c r="AI39">
        <v>0.49</v>
      </c>
      <c r="AJ39">
        <v>1.0776775324876273</v>
      </c>
      <c r="AK39">
        <v>1.1225138608872538</v>
      </c>
      <c r="AL39">
        <f t="shared" si="0"/>
        <v>104.64354839656203</v>
      </c>
    </row>
    <row r="40" spans="1:38" x14ac:dyDescent="0.15">
      <c r="B40" s="76" t="str">
        <f>B39</f>
        <v>S-10-W</v>
      </c>
      <c r="C40" s="76" t="str">
        <f>C39</f>
        <v>Bullstofta 3</v>
      </c>
      <c r="D40" s="76" t="str">
        <f>D39</f>
        <v>Bullstofta</v>
      </c>
      <c r="E40" s="76" t="str">
        <f>E39</f>
        <v>OldPoplarClones</v>
      </c>
      <c r="F40" s="76" t="str">
        <f>F39</f>
        <v>W</v>
      </c>
      <c r="G40" s="76"/>
      <c r="H40" s="76" t="s">
        <v>176</v>
      </c>
      <c r="I40" s="76">
        <v>35</v>
      </c>
      <c r="J40" s="76">
        <f>45-25</f>
        <v>20</v>
      </c>
      <c r="AF40" s="154">
        <f>AF39+((AF39-AF41)/(I39-I41))*(I40-I39)</f>
        <v>28.157931034482761</v>
      </c>
      <c r="AJ40" s="154">
        <f>AJ39+((AJ39-AJ41)/(I39-I41))*(I40-I39)</f>
        <v>1.3570470287312124</v>
      </c>
      <c r="AK40" s="154">
        <f>AK39+((AK39-AK41)/(I39-I41))*(I40-I39)</f>
        <v>1.3786921527862046</v>
      </c>
      <c r="AL40">
        <f t="shared" si="0"/>
        <v>77.642237111873044</v>
      </c>
    </row>
    <row r="41" spans="1:38" x14ac:dyDescent="0.15">
      <c r="A41" t="s">
        <v>565</v>
      </c>
      <c r="B41" t="s">
        <v>31</v>
      </c>
      <c r="C41" t="s">
        <v>52</v>
      </c>
      <c r="D41" t="s">
        <v>189</v>
      </c>
      <c r="E41" t="s">
        <v>406</v>
      </c>
      <c r="F41" t="s">
        <v>346</v>
      </c>
      <c r="G41" t="s">
        <v>31</v>
      </c>
      <c r="H41" t="s">
        <v>21</v>
      </c>
      <c r="I41">
        <v>52.5</v>
      </c>
      <c r="J41">
        <f>60-45</f>
        <v>15</v>
      </c>
      <c r="K41">
        <v>0</v>
      </c>
      <c r="L41">
        <v>0</v>
      </c>
      <c r="M41">
        <v>1000</v>
      </c>
      <c r="N41">
        <v>957</v>
      </c>
      <c r="O41">
        <v>172</v>
      </c>
      <c r="P41">
        <v>250</v>
      </c>
      <c r="Q41">
        <v>257</v>
      </c>
      <c r="R41">
        <v>261</v>
      </c>
      <c r="S41">
        <v>17</v>
      </c>
      <c r="T41">
        <v>17.972831765935215</v>
      </c>
      <c r="U41">
        <v>52.978056426332287</v>
      </c>
      <c r="V41">
        <v>29.049111807732498</v>
      </c>
      <c r="W41">
        <v>-3.1678645176090461</v>
      </c>
      <c r="X41">
        <v>4.2093391689525791E-2</v>
      </c>
      <c r="Y41" t="s">
        <v>534</v>
      </c>
      <c r="Z41">
        <v>8.4</v>
      </c>
      <c r="AA41" t="s">
        <v>476</v>
      </c>
      <c r="AC41">
        <v>6.82</v>
      </c>
      <c r="AD41">
        <v>0.16700000000000001</v>
      </c>
      <c r="AE41">
        <v>5.8000000000000003E-2</v>
      </c>
      <c r="AF41">
        <v>4.72</v>
      </c>
      <c r="AG41">
        <v>0.28999999999999998</v>
      </c>
      <c r="AH41">
        <v>50.1</v>
      </c>
      <c r="AI41">
        <v>0.19</v>
      </c>
      <c r="AJ41" s="76">
        <f>-0.0042*T43+1.6859</f>
        <v>1.6177918918918919</v>
      </c>
      <c r="AK41" s="76">
        <f>AJ41</f>
        <v>1.6177918918918919</v>
      </c>
      <c r="AL41">
        <f t="shared" si="0"/>
        <v>11.453966594594595</v>
      </c>
    </row>
    <row r="42" spans="1:38" x14ac:dyDescent="0.15">
      <c r="A42" t="s">
        <v>566</v>
      </c>
      <c r="B42" t="s">
        <v>32</v>
      </c>
      <c r="C42" t="s">
        <v>55</v>
      </c>
      <c r="D42" t="s">
        <v>189</v>
      </c>
      <c r="E42" t="s">
        <v>91</v>
      </c>
      <c r="F42" t="s">
        <v>346</v>
      </c>
      <c r="G42" t="s">
        <v>32</v>
      </c>
      <c r="H42" t="s">
        <v>177</v>
      </c>
      <c r="I42">
        <v>3.75</v>
      </c>
      <c r="J42">
        <v>7.5</v>
      </c>
      <c r="K42">
        <v>4</v>
      </c>
      <c r="L42">
        <v>51</v>
      </c>
      <c r="M42">
        <v>945</v>
      </c>
      <c r="N42">
        <v>999</v>
      </c>
      <c r="O42">
        <v>151</v>
      </c>
      <c r="P42">
        <v>152</v>
      </c>
      <c r="Q42">
        <v>127</v>
      </c>
      <c r="R42">
        <v>225</v>
      </c>
      <c r="S42">
        <v>344</v>
      </c>
      <c r="T42">
        <v>15.115115115115115</v>
      </c>
      <c r="U42">
        <v>27.927927927927925</v>
      </c>
      <c r="V42">
        <v>56.956956956956958</v>
      </c>
      <c r="W42">
        <v>-2.0493250643547589</v>
      </c>
      <c r="X42">
        <v>0.12882182069144851</v>
      </c>
      <c r="Y42" t="s">
        <v>534</v>
      </c>
      <c r="Z42">
        <v>6.2</v>
      </c>
      <c r="AA42" t="s">
        <v>20</v>
      </c>
      <c r="AC42">
        <v>1.55</v>
      </c>
      <c r="AD42">
        <v>9.4E-2</v>
      </c>
      <c r="AE42">
        <v>0.13400000000000001</v>
      </c>
      <c r="AF42">
        <v>17.53</v>
      </c>
      <c r="AG42">
        <v>1.48</v>
      </c>
      <c r="AH42">
        <v>58.2</v>
      </c>
      <c r="AI42">
        <v>0.22</v>
      </c>
      <c r="AJ42" s="141">
        <f>AJ43-((AJ43-AJ45)/(I43-I45))*3.5</f>
        <v>1.2254304397427644</v>
      </c>
      <c r="AK42" s="141">
        <f>AK43-((AK43-AK45)/(I43-I45))*3.5</f>
        <v>1.2254352115519225</v>
      </c>
      <c r="AL42">
        <f t="shared" si="0"/>
        <v>16.111409443878902</v>
      </c>
    </row>
    <row r="43" spans="1:38" x14ac:dyDescent="0.15">
      <c r="A43" t="s">
        <v>567</v>
      </c>
      <c r="B43" t="s">
        <v>32</v>
      </c>
      <c r="C43" t="s">
        <v>55</v>
      </c>
      <c r="D43" t="s">
        <v>189</v>
      </c>
      <c r="E43" t="s">
        <v>91</v>
      </c>
      <c r="F43" t="s">
        <v>346</v>
      </c>
      <c r="G43" t="s">
        <v>32</v>
      </c>
      <c r="H43" t="s">
        <v>175</v>
      </c>
      <c r="I43">
        <v>16.25</v>
      </c>
      <c r="J43">
        <f>25-7.5</f>
        <v>17.5</v>
      </c>
      <c r="K43">
        <v>14</v>
      </c>
      <c r="L43">
        <v>44</v>
      </c>
      <c r="M43">
        <v>942</v>
      </c>
      <c r="N43">
        <v>999</v>
      </c>
      <c r="O43">
        <v>162</v>
      </c>
      <c r="P43">
        <v>149</v>
      </c>
      <c r="Q43">
        <v>140</v>
      </c>
      <c r="R43">
        <v>219</v>
      </c>
      <c r="S43">
        <v>329</v>
      </c>
      <c r="T43">
        <v>16.216216216216218</v>
      </c>
      <c r="U43">
        <v>28.928928928928926</v>
      </c>
      <c r="V43">
        <v>54.85485485485485</v>
      </c>
      <c r="W43">
        <v>-2.1624386182514637</v>
      </c>
      <c r="X43">
        <v>0.11504422972558923</v>
      </c>
      <c r="Y43" t="s">
        <v>534</v>
      </c>
      <c r="Z43">
        <v>6.5</v>
      </c>
      <c r="AA43" t="s">
        <v>20</v>
      </c>
      <c r="AC43">
        <v>1.41</v>
      </c>
      <c r="AD43">
        <v>9.1999999999999998E-2</v>
      </c>
      <c r="AE43">
        <v>6.8000000000000005E-2</v>
      </c>
      <c r="AF43">
        <v>15.29</v>
      </c>
      <c r="AG43">
        <v>1.37</v>
      </c>
      <c r="AH43">
        <v>55.9</v>
      </c>
      <c r="AI43">
        <v>0.22</v>
      </c>
      <c r="AJ43">
        <v>1.2598669345379225</v>
      </c>
      <c r="AK43">
        <v>1.2598712861877837</v>
      </c>
      <c r="AL43">
        <f t="shared" si="0"/>
        <v>33.71100594016962</v>
      </c>
    </row>
    <row r="44" spans="1:38" x14ac:dyDescent="0.15">
      <c r="B44" s="76" t="str">
        <f>B43</f>
        <v>S-11-W</v>
      </c>
      <c r="C44" s="76" t="str">
        <f>C43</f>
        <v>Bullstofta 4</v>
      </c>
      <c r="D44" s="76" t="str">
        <f>D43</f>
        <v>Bullstofta</v>
      </c>
      <c r="E44" s="76" t="str">
        <f>E43</f>
        <v>Hasp</v>
      </c>
      <c r="F44" s="76" t="str">
        <f>F43</f>
        <v>W</v>
      </c>
      <c r="G44" s="76"/>
      <c r="H44" s="76" t="s">
        <v>176</v>
      </c>
      <c r="I44" s="76">
        <v>35</v>
      </c>
      <c r="J44" s="76">
        <f>45-25</f>
        <v>20</v>
      </c>
      <c r="AF44" s="154">
        <f>AF43+((AF43-AF45)/(I43-I45))*(I44-I43)</f>
        <v>10.045172413793104</v>
      </c>
      <c r="AJ44" s="154">
        <f>AJ43+((AJ43-AJ45)/(I43-I45))*(I44-I43)</f>
        <v>1.4443481566548404</v>
      </c>
      <c r="AK44" s="154">
        <f>AK43+((AK43-AK45)/(I43-I45))*(I44-I43)</f>
        <v>1.4443502574513252</v>
      </c>
      <c r="AL44">
        <f t="shared" si="0"/>
        <v>29.017494724010042</v>
      </c>
    </row>
    <row r="45" spans="1:38" x14ac:dyDescent="0.15">
      <c r="A45" t="s">
        <v>568</v>
      </c>
      <c r="B45" t="s">
        <v>32</v>
      </c>
      <c r="C45" t="s">
        <v>55</v>
      </c>
      <c r="D45" t="s">
        <v>189</v>
      </c>
      <c r="E45" t="s">
        <v>91</v>
      </c>
      <c r="F45" t="s">
        <v>346</v>
      </c>
      <c r="G45" t="s">
        <v>32</v>
      </c>
      <c r="H45" t="s">
        <v>21</v>
      </c>
      <c r="I45">
        <v>52.5</v>
      </c>
      <c r="J45">
        <f>60-45</f>
        <v>15</v>
      </c>
      <c r="K45">
        <v>7</v>
      </c>
      <c r="L45">
        <v>20</v>
      </c>
      <c r="M45">
        <v>974</v>
      </c>
      <c r="N45">
        <v>999</v>
      </c>
      <c r="O45">
        <v>151</v>
      </c>
      <c r="P45">
        <v>168</v>
      </c>
      <c r="Q45">
        <v>156</v>
      </c>
      <c r="R45">
        <v>218</v>
      </c>
      <c r="S45">
        <v>306</v>
      </c>
      <c r="T45">
        <v>15.115115115115115</v>
      </c>
      <c r="U45">
        <v>32.432432432432435</v>
      </c>
      <c r="V45">
        <v>52.452452452452448</v>
      </c>
      <c r="W45">
        <v>-2.2148363865867875</v>
      </c>
      <c r="X45">
        <v>0.10917137468855831</v>
      </c>
      <c r="Y45" t="s">
        <v>534</v>
      </c>
      <c r="Z45">
        <v>5.4</v>
      </c>
      <c r="AA45" t="s">
        <v>20</v>
      </c>
      <c r="AC45">
        <v>0.56999999999999995</v>
      </c>
      <c r="AD45">
        <v>3.3000000000000002E-2</v>
      </c>
      <c r="AE45">
        <v>5.0999999999999997E-2</v>
      </c>
      <c r="AF45">
        <v>5.15</v>
      </c>
      <c r="AG45">
        <v>0.49</v>
      </c>
      <c r="AH45">
        <v>44</v>
      </c>
      <c r="AI45">
        <v>7.0000000000000007E-2</v>
      </c>
      <c r="AJ45" s="76">
        <f>-0.0042*T47+1.6859</f>
        <v>1.6165306306306306</v>
      </c>
      <c r="AK45" s="76">
        <f>AJ45</f>
        <v>1.6165306306306306</v>
      </c>
      <c r="AL45">
        <f t="shared" si="0"/>
        <v>12.487699121621624</v>
      </c>
    </row>
    <row r="46" spans="1:38" x14ac:dyDescent="0.15">
      <c r="A46" t="s">
        <v>569</v>
      </c>
      <c r="B46" t="s">
        <v>33</v>
      </c>
      <c r="C46" t="s">
        <v>54</v>
      </c>
      <c r="D46" t="s">
        <v>189</v>
      </c>
      <c r="E46" t="s">
        <v>91</v>
      </c>
      <c r="F46" t="s">
        <v>346</v>
      </c>
      <c r="G46" t="s">
        <v>33</v>
      </c>
      <c r="H46" t="s">
        <v>177</v>
      </c>
      <c r="I46">
        <v>3.75</v>
      </c>
      <c r="J46">
        <v>7.5</v>
      </c>
      <c r="K46">
        <v>28</v>
      </c>
      <c r="L46">
        <v>112</v>
      </c>
      <c r="M46">
        <v>860</v>
      </c>
      <c r="N46">
        <v>999</v>
      </c>
      <c r="O46">
        <v>166</v>
      </c>
      <c r="P46">
        <v>164</v>
      </c>
      <c r="Q46">
        <v>146</v>
      </c>
      <c r="R46">
        <v>243</v>
      </c>
      <c r="S46">
        <v>280</v>
      </c>
      <c r="T46">
        <v>16.616616616616618</v>
      </c>
      <c r="U46">
        <v>31.031031031031031</v>
      </c>
      <c r="V46">
        <v>52.352352352352348</v>
      </c>
      <c r="W46">
        <v>-2.2674347844084823</v>
      </c>
      <c r="X46">
        <v>0.10357753830325282</v>
      </c>
      <c r="Y46" t="s">
        <v>534</v>
      </c>
      <c r="Z46">
        <v>5.9</v>
      </c>
      <c r="AA46" t="s">
        <v>20</v>
      </c>
      <c r="AC46">
        <v>1.0900000000000001</v>
      </c>
      <c r="AD46">
        <v>7.0000000000000007E-2</v>
      </c>
      <c r="AE46">
        <v>9.9000000000000005E-2</v>
      </c>
      <c r="AF46">
        <v>17.399999999999999</v>
      </c>
      <c r="AG46">
        <v>1.44</v>
      </c>
      <c r="AH46">
        <v>55.4</v>
      </c>
      <c r="AI46">
        <v>0.21</v>
      </c>
      <c r="AJ46" s="141">
        <f>AJ47-((AJ47-AJ49)/(I47-I49))*3.5</f>
        <v>1.2277603360671072</v>
      </c>
      <c r="AK46" s="141">
        <f>AK47-((AK47-AK49)/(I47-I49))*3.5</f>
        <v>1.2240906264744267</v>
      </c>
      <c r="AL46">
        <f t="shared" si="0"/>
        <v>15.974382675491267</v>
      </c>
    </row>
    <row r="47" spans="1:38" x14ac:dyDescent="0.15">
      <c r="A47" t="s">
        <v>570</v>
      </c>
      <c r="B47" t="s">
        <v>33</v>
      </c>
      <c r="C47" t="s">
        <v>54</v>
      </c>
      <c r="D47" t="s">
        <v>189</v>
      </c>
      <c r="E47" t="s">
        <v>91</v>
      </c>
      <c r="F47" t="s">
        <v>346</v>
      </c>
      <c r="G47" t="s">
        <v>33</v>
      </c>
      <c r="H47" t="s">
        <v>175</v>
      </c>
      <c r="I47">
        <v>16.25</v>
      </c>
      <c r="J47">
        <f>25-7.5</f>
        <v>17.5</v>
      </c>
      <c r="K47">
        <v>24</v>
      </c>
      <c r="L47">
        <v>107</v>
      </c>
      <c r="M47">
        <v>868</v>
      </c>
      <c r="N47">
        <v>999</v>
      </c>
      <c r="O47">
        <v>165</v>
      </c>
      <c r="P47">
        <v>165</v>
      </c>
      <c r="Q47">
        <v>136</v>
      </c>
      <c r="R47">
        <v>240</v>
      </c>
      <c r="S47">
        <v>293</v>
      </c>
      <c r="T47">
        <v>16.516516516516518</v>
      </c>
      <c r="U47">
        <v>30.130130130130127</v>
      </c>
      <c r="V47">
        <v>53.353353353353349</v>
      </c>
      <c r="W47">
        <v>-2.227393132683225</v>
      </c>
      <c r="X47">
        <v>0.10780910817218825</v>
      </c>
      <c r="Y47" t="s">
        <v>534</v>
      </c>
      <c r="Z47">
        <v>6.5</v>
      </c>
      <c r="AA47" t="s">
        <v>20</v>
      </c>
      <c r="AC47">
        <v>1.33</v>
      </c>
      <c r="AD47">
        <v>7.1999999999999995E-2</v>
      </c>
      <c r="AE47">
        <v>5.1999999999999998E-2</v>
      </c>
      <c r="AF47">
        <v>13.32</v>
      </c>
      <c r="AG47">
        <v>1.18</v>
      </c>
      <c r="AH47">
        <v>57.1</v>
      </c>
      <c r="AI47">
        <v>0.21</v>
      </c>
      <c r="AJ47">
        <v>1.2668780785880271</v>
      </c>
      <c r="AK47">
        <v>1.2635314880789787</v>
      </c>
      <c r="AL47">
        <f t="shared" si="0"/>
        <v>29.452918987120995</v>
      </c>
    </row>
    <row r="48" spans="1:38" x14ac:dyDescent="0.15">
      <c r="B48" s="76" t="str">
        <f>B47</f>
        <v>S-12-W</v>
      </c>
      <c r="C48" s="76" t="str">
        <f>C47</f>
        <v>Bullstofta 5</v>
      </c>
      <c r="D48" s="76" t="str">
        <f>D47</f>
        <v>Bullstofta</v>
      </c>
      <c r="E48" s="76" t="str">
        <f>E47</f>
        <v>Hasp</v>
      </c>
      <c r="F48" s="76" t="str">
        <f>F47</f>
        <v>W</v>
      </c>
      <c r="G48" s="76"/>
      <c r="H48" s="76" t="s">
        <v>176</v>
      </c>
      <c r="I48" s="76">
        <v>35</v>
      </c>
      <c r="J48" s="76">
        <f>45-25</f>
        <v>20</v>
      </c>
      <c r="AF48" s="154">
        <f>AF47+((AF47-AF49)/(I47-I49))*(I48-I47)</f>
        <v>8.9493103448275875</v>
      </c>
      <c r="AJ48" s="154">
        <f>AJ47+((AJ47-AJ49)/(I47-I49))*(I48-I47)</f>
        <v>1.4764374135215266</v>
      </c>
      <c r="AK48" s="154">
        <f>AK47+((AK47-AK49)/(I47-I49))*(I48-I47)</f>
        <v>1.4748218181033652</v>
      </c>
      <c r="AL48">
        <f t="shared" si="0"/>
        <v>26.397276307059755</v>
      </c>
    </row>
    <row r="49" spans="1:38" x14ac:dyDescent="0.15">
      <c r="A49" t="s">
        <v>571</v>
      </c>
      <c r="B49" t="s">
        <v>33</v>
      </c>
      <c r="C49" t="s">
        <v>54</v>
      </c>
      <c r="D49" t="s">
        <v>189</v>
      </c>
      <c r="E49" t="s">
        <v>91</v>
      </c>
      <c r="F49" t="s">
        <v>346</v>
      </c>
      <c r="G49" t="s">
        <v>33</v>
      </c>
      <c r="H49" t="s">
        <v>21</v>
      </c>
      <c r="I49">
        <v>52.5</v>
      </c>
      <c r="J49">
        <f>60-45</f>
        <v>15</v>
      </c>
      <c r="K49">
        <v>15</v>
      </c>
      <c r="L49">
        <v>37</v>
      </c>
      <c r="M49">
        <v>948</v>
      </c>
      <c r="N49">
        <v>999</v>
      </c>
      <c r="O49">
        <v>142</v>
      </c>
      <c r="P49">
        <v>160</v>
      </c>
      <c r="Q49">
        <v>132</v>
      </c>
      <c r="R49">
        <v>270</v>
      </c>
      <c r="S49">
        <v>295</v>
      </c>
      <c r="T49">
        <v>14.214214214214213</v>
      </c>
      <c r="U49">
        <v>29.22922922922923</v>
      </c>
      <c r="V49">
        <v>56.556556556556558</v>
      </c>
      <c r="W49">
        <v>-2.0346849608232382</v>
      </c>
      <c r="X49">
        <v>0.13072165846133124</v>
      </c>
      <c r="Y49" t="s">
        <v>534</v>
      </c>
      <c r="Z49">
        <v>7.1</v>
      </c>
      <c r="AA49" t="s">
        <v>20</v>
      </c>
      <c r="AC49">
        <v>0.66</v>
      </c>
      <c r="AD49">
        <v>3.5000000000000003E-2</v>
      </c>
      <c r="AE49">
        <v>2.3E-2</v>
      </c>
      <c r="AF49">
        <v>4.87</v>
      </c>
      <c r="AG49">
        <v>0.37</v>
      </c>
      <c r="AH49">
        <v>38.1</v>
      </c>
      <c r="AI49">
        <v>7.0000000000000007E-2</v>
      </c>
      <c r="AJ49" s="76">
        <f>-0.0042*T51+1.6859</f>
        <v>1.672026126126126</v>
      </c>
      <c r="AK49" s="76">
        <f>AJ49</f>
        <v>1.672026126126126</v>
      </c>
      <c r="AL49">
        <f t="shared" si="0"/>
        <v>12.21415085135135</v>
      </c>
    </row>
    <row r="50" spans="1:38" x14ac:dyDescent="0.15">
      <c r="A50" t="s">
        <v>572</v>
      </c>
      <c r="B50" t="s">
        <v>34</v>
      </c>
      <c r="C50" t="s">
        <v>56</v>
      </c>
      <c r="D50" t="s">
        <v>396</v>
      </c>
      <c r="E50" t="s">
        <v>406</v>
      </c>
      <c r="F50" t="s">
        <v>346</v>
      </c>
      <c r="G50" t="s">
        <v>402</v>
      </c>
      <c r="H50" t="s">
        <v>177</v>
      </c>
      <c r="I50">
        <v>3.75</v>
      </c>
      <c r="J50">
        <v>7.5</v>
      </c>
      <c r="K50">
        <v>0</v>
      </c>
      <c r="L50">
        <v>0</v>
      </c>
      <c r="M50">
        <v>1000</v>
      </c>
      <c r="N50">
        <v>999</v>
      </c>
      <c r="O50">
        <v>28</v>
      </c>
      <c r="P50">
        <v>3</v>
      </c>
      <c r="Q50">
        <v>30</v>
      </c>
      <c r="R50">
        <v>481</v>
      </c>
      <c r="S50">
        <v>457</v>
      </c>
      <c r="T50">
        <v>2.8028028028028027</v>
      </c>
      <c r="U50">
        <v>3.303303303303303</v>
      </c>
      <c r="V50">
        <v>93.893893893893903</v>
      </c>
      <c r="W50">
        <v>-0.29098520085428731</v>
      </c>
      <c r="X50">
        <v>0.74752674069339142</v>
      </c>
      <c r="Y50" t="s">
        <v>534</v>
      </c>
      <c r="Z50">
        <v>6.3</v>
      </c>
      <c r="AA50" t="s">
        <v>20</v>
      </c>
      <c r="AC50">
        <v>0.6</v>
      </c>
      <c r="AD50">
        <v>0.14499999999999999</v>
      </c>
      <c r="AE50">
        <v>4.9000000000000002E-2</v>
      </c>
      <c r="AF50">
        <v>22.69</v>
      </c>
      <c r="AG50">
        <v>1.58</v>
      </c>
      <c r="AH50">
        <v>33.1</v>
      </c>
      <c r="AI50">
        <v>0.13</v>
      </c>
      <c r="AJ50" s="141">
        <f>AJ51-((AJ51-AJ53)/(I51-I53))*3.5</f>
        <v>1.3108647857000906</v>
      </c>
      <c r="AK50" s="141">
        <f>AK51-((AK51-AK53)/(I51-I53))*3.5</f>
        <v>1.2974550191339107</v>
      </c>
      <c r="AL50">
        <f t="shared" si="0"/>
        <v>22.079440788111327</v>
      </c>
    </row>
    <row r="51" spans="1:38" x14ac:dyDescent="0.15">
      <c r="A51" t="s">
        <v>573</v>
      </c>
      <c r="B51" t="s">
        <v>34</v>
      </c>
      <c r="C51" t="s">
        <v>56</v>
      </c>
      <c r="D51" t="s">
        <v>396</v>
      </c>
      <c r="E51" t="s">
        <v>406</v>
      </c>
      <c r="F51" t="s">
        <v>346</v>
      </c>
      <c r="G51" t="s">
        <v>402</v>
      </c>
      <c r="H51" t="s">
        <v>175</v>
      </c>
      <c r="I51">
        <v>16.25</v>
      </c>
      <c r="J51">
        <f>25-7.5</f>
        <v>17.5</v>
      </c>
      <c r="K51">
        <v>0</v>
      </c>
      <c r="L51">
        <v>0</v>
      </c>
      <c r="M51">
        <v>1000</v>
      </c>
      <c r="N51">
        <v>999</v>
      </c>
      <c r="O51">
        <v>33</v>
      </c>
      <c r="P51">
        <v>8</v>
      </c>
      <c r="Q51">
        <v>19</v>
      </c>
      <c r="R51">
        <v>400</v>
      </c>
      <c r="S51">
        <v>539</v>
      </c>
      <c r="T51">
        <v>3.303303303303303</v>
      </c>
      <c r="U51">
        <v>2.7027027027027026</v>
      </c>
      <c r="V51">
        <v>93.993993993993996</v>
      </c>
      <c r="W51">
        <v>-0.3036139609509404</v>
      </c>
      <c r="X51">
        <v>0.73814576454517067</v>
      </c>
      <c r="Y51" t="s">
        <v>534</v>
      </c>
      <c r="Z51">
        <v>5.8</v>
      </c>
      <c r="AA51" t="s">
        <v>20</v>
      </c>
      <c r="AC51">
        <v>0.34</v>
      </c>
      <c r="AD51">
        <v>6.5000000000000002E-2</v>
      </c>
      <c r="AE51">
        <v>0.03</v>
      </c>
      <c r="AF51">
        <v>14.87</v>
      </c>
      <c r="AG51">
        <v>1.05</v>
      </c>
      <c r="AH51">
        <v>25.6</v>
      </c>
      <c r="AI51">
        <v>0.1</v>
      </c>
      <c r="AJ51">
        <v>1.3429983186493828</v>
      </c>
      <c r="AK51">
        <v>1.3307692862462628</v>
      </c>
      <c r="AL51">
        <f t="shared" si="0"/>
        <v>34.629943751343376</v>
      </c>
    </row>
    <row r="52" spans="1:38" x14ac:dyDescent="0.15">
      <c r="B52" s="76" t="str">
        <f>B51</f>
        <v>S-13-W</v>
      </c>
      <c r="C52" s="76" t="str">
        <f>C51</f>
        <v>Långa-Veka 1</v>
      </c>
      <c r="D52" s="76" t="str">
        <f>D51</f>
        <v>Långaveka</v>
      </c>
      <c r="E52" s="76" t="str">
        <f>E51</f>
        <v>OldPoplarClones</v>
      </c>
      <c r="F52" s="76" t="str">
        <f>F51</f>
        <v>W</v>
      </c>
      <c r="G52" s="76"/>
      <c r="H52" s="76" t="s">
        <v>176</v>
      </c>
      <c r="I52" s="76">
        <v>35</v>
      </c>
      <c r="J52" s="76">
        <f>45-25</f>
        <v>20</v>
      </c>
      <c r="AF52" s="154">
        <f>AF51+((AF51-AF53)/(I51-I53))*(I52-I51)</f>
        <v>9.3768965517241369</v>
      </c>
      <c r="AJ52" s="154">
        <f>AJ51+((AJ51-AJ53)/(I51-I53))*(I52-I51)</f>
        <v>1.5151422451634486</v>
      </c>
      <c r="AK52" s="154">
        <f>AK51+((AK51-AK53)/(I51-I53))*(I52-I51)</f>
        <v>1.5092385743481493</v>
      </c>
      <c r="AL52">
        <f t="shared" si="0"/>
        <v>28.303947967068428</v>
      </c>
    </row>
    <row r="53" spans="1:38" x14ac:dyDescent="0.15">
      <c r="A53" t="s">
        <v>574</v>
      </c>
      <c r="B53" t="s">
        <v>34</v>
      </c>
      <c r="C53" t="s">
        <v>56</v>
      </c>
      <c r="D53" t="s">
        <v>396</v>
      </c>
      <c r="E53" t="s">
        <v>406</v>
      </c>
      <c r="F53" t="s">
        <v>346</v>
      </c>
      <c r="G53" t="s">
        <v>402</v>
      </c>
      <c r="H53" t="s">
        <v>21</v>
      </c>
      <c r="I53">
        <v>52.5</v>
      </c>
      <c r="J53">
        <f>60-45</f>
        <v>15</v>
      </c>
      <c r="K53">
        <v>0</v>
      </c>
      <c r="L53">
        <v>0</v>
      </c>
      <c r="M53">
        <v>1000</v>
      </c>
      <c r="N53">
        <v>999</v>
      </c>
      <c r="O53">
        <v>9</v>
      </c>
      <c r="P53">
        <v>0</v>
      </c>
      <c r="Q53">
        <v>10</v>
      </c>
      <c r="R53">
        <v>110</v>
      </c>
      <c r="S53">
        <v>870</v>
      </c>
      <c r="T53">
        <v>0.90090090090090091</v>
      </c>
      <c r="U53">
        <v>1.0010010010010011</v>
      </c>
      <c r="V53">
        <v>98.098098098098092</v>
      </c>
      <c r="W53">
        <v>-7.4542166748630428E-2</v>
      </c>
      <c r="X53">
        <v>0.92816833539292876</v>
      </c>
      <c r="Y53" t="s">
        <v>534</v>
      </c>
      <c r="Z53">
        <v>6.3</v>
      </c>
      <c r="AA53" t="s">
        <v>20</v>
      </c>
      <c r="AC53">
        <v>0.22</v>
      </c>
      <c r="AD53">
        <v>1.4999999999999999E-2</v>
      </c>
      <c r="AE53">
        <v>7.0000000000000001E-3</v>
      </c>
      <c r="AF53">
        <v>4.25</v>
      </c>
      <c r="AG53">
        <v>0.19</v>
      </c>
      <c r="AH53">
        <v>7.7</v>
      </c>
      <c r="AI53">
        <v>0.02</v>
      </c>
      <c r="AJ53" s="76">
        <f>-0.0042*T55+1.6859</f>
        <v>1.67580990990991</v>
      </c>
      <c r="AK53" s="76">
        <f>AJ53</f>
        <v>1.67580990990991</v>
      </c>
      <c r="AL53">
        <f t="shared" si="0"/>
        <v>10.683288175675676</v>
      </c>
    </row>
    <row r="54" spans="1:38" x14ac:dyDescent="0.15">
      <c r="A54" t="s">
        <v>575</v>
      </c>
      <c r="B54" t="s">
        <v>35</v>
      </c>
      <c r="C54" t="s">
        <v>57</v>
      </c>
      <c r="D54" t="s">
        <v>396</v>
      </c>
      <c r="E54" t="s">
        <v>406</v>
      </c>
      <c r="F54" t="s">
        <v>346</v>
      </c>
      <c r="G54" t="s">
        <v>402</v>
      </c>
      <c r="H54" t="s">
        <v>177</v>
      </c>
      <c r="I54">
        <v>3.75</v>
      </c>
      <c r="J54">
        <v>7.5</v>
      </c>
      <c r="K54">
        <v>0</v>
      </c>
      <c r="L54">
        <v>0</v>
      </c>
      <c r="M54">
        <v>1000</v>
      </c>
      <c r="N54">
        <v>998</v>
      </c>
      <c r="O54">
        <v>30</v>
      </c>
      <c r="P54">
        <v>6</v>
      </c>
      <c r="Q54">
        <v>21</v>
      </c>
      <c r="R54">
        <v>600</v>
      </c>
      <c r="S54">
        <v>341</v>
      </c>
      <c r="T54">
        <v>3.0060120240480961</v>
      </c>
      <c r="U54">
        <v>2.7054108216432864</v>
      </c>
      <c r="V54">
        <v>94.288577154308612</v>
      </c>
      <c r="W54">
        <v>-0.28310390373533301</v>
      </c>
      <c r="X54">
        <v>0.75344149840646502</v>
      </c>
      <c r="Y54" t="s">
        <v>534</v>
      </c>
      <c r="Z54">
        <v>6.2</v>
      </c>
      <c r="AA54" t="s">
        <v>474</v>
      </c>
      <c r="AC54">
        <v>0.35</v>
      </c>
      <c r="AD54">
        <v>8.3000000000000004E-2</v>
      </c>
      <c r="AE54">
        <v>3.7999999999999999E-2</v>
      </c>
      <c r="AF54">
        <v>15.41</v>
      </c>
      <c r="AG54">
        <v>1.1599999999999999</v>
      </c>
      <c r="AH54">
        <v>29.3</v>
      </c>
      <c r="AI54">
        <v>0.1</v>
      </c>
      <c r="AJ54" s="141">
        <f>AJ55-((AJ55-AJ57)/(I55-I57))*3.5</f>
        <v>1.4108632302429498</v>
      </c>
      <c r="AK54" s="141">
        <f>AK55-((AK55-AK57)/(I55-I57))*3.5</f>
        <v>1.4009954176306605</v>
      </c>
      <c r="AL54">
        <f t="shared" si="0"/>
        <v>16.19200453926636</v>
      </c>
    </row>
    <row r="55" spans="1:38" x14ac:dyDescent="0.15">
      <c r="A55" t="s">
        <v>576</v>
      </c>
      <c r="B55" t="s">
        <v>35</v>
      </c>
      <c r="C55" t="s">
        <v>57</v>
      </c>
      <c r="D55" t="s">
        <v>396</v>
      </c>
      <c r="E55" t="s">
        <v>406</v>
      </c>
      <c r="F55" t="s">
        <v>346</v>
      </c>
      <c r="G55" t="s">
        <v>402</v>
      </c>
      <c r="H55" t="s">
        <v>175</v>
      </c>
      <c r="I55">
        <v>16.25</v>
      </c>
      <c r="J55">
        <f>25-7.5</f>
        <v>17.5</v>
      </c>
      <c r="K55">
        <v>0</v>
      </c>
      <c r="L55">
        <v>0</v>
      </c>
      <c r="M55">
        <v>1000</v>
      </c>
      <c r="N55">
        <v>999</v>
      </c>
      <c r="O55">
        <v>24</v>
      </c>
      <c r="P55">
        <v>3</v>
      </c>
      <c r="Q55">
        <v>14</v>
      </c>
      <c r="R55">
        <v>626</v>
      </c>
      <c r="S55">
        <v>332</v>
      </c>
      <c r="T55">
        <v>2.4024024024024024</v>
      </c>
      <c r="U55">
        <v>1.7017017017017018</v>
      </c>
      <c r="V55">
        <v>95.895895895895904</v>
      </c>
      <c r="W55">
        <v>-0.20437918161193858</v>
      </c>
      <c r="X55">
        <v>0.81515322146655944</v>
      </c>
      <c r="Y55" t="s">
        <v>534</v>
      </c>
      <c r="Z55">
        <v>6.1</v>
      </c>
      <c r="AA55" t="s">
        <v>20</v>
      </c>
      <c r="AC55">
        <v>0.25</v>
      </c>
      <c r="AD55">
        <v>4.7E-2</v>
      </c>
      <c r="AE55">
        <v>1.9E-2</v>
      </c>
      <c r="AF55">
        <v>8.52</v>
      </c>
      <c r="AG55">
        <v>0.66</v>
      </c>
      <c r="AH55">
        <v>24.5</v>
      </c>
      <c r="AI55">
        <v>0.08</v>
      </c>
      <c r="AJ55">
        <v>1.413440042654222</v>
      </c>
      <c r="AK55">
        <v>1.4044410940455305</v>
      </c>
      <c r="AL55">
        <f t="shared" si="0"/>
        <v>20.940216712218859</v>
      </c>
    </row>
    <row r="56" spans="1:38" x14ac:dyDescent="0.15">
      <c r="B56" s="76" t="str">
        <f>B55</f>
        <v>S-14-W</v>
      </c>
      <c r="C56" s="76" t="str">
        <f>C55</f>
        <v>Långa-Veka 2</v>
      </c>
      <c r="D56" s="76" t="str">
        <f>D55</f>
        <v>Långaveka</v>
      </c>
      <c r="E56" s="76" t="str">
        <f>E55</f>
        <v>OldPoplarClones</v>
      </c>
      <c r="F56" s="76" t="str">
        <f>F55</f>
        <v>W</v>
      </c>
      <c r="G56" s="76"/>
      <c r="H56" s="76" t="s">
        <v>176</v>
      </c>
      <c r="I56" s="76">
        <v>35</v>
      </c>
      <c r="J56" s="76">
        <f>45-25</f>
        <v>20</v>
      </c>
      <c r="AF56" s="154">
        <f>AF55+((AF55-AF57)/(I55-I57))*(I56-I55)</f>
        <v>4.7751724137931033</v>
      </c>
      <c r="AJ56" s="154">
        <f>AJ55+((AJ55-AJ57)/(I55-I57))*(I56-I55)</f>
        <v>1.4272443948574662</v>
      </c>
      <c r="AK56" s="154">
        <f>AK55+((AK55-AK57)/(I55-I57))*(I56-I55)</f>
        <v>1.4229000748394773</v>
      </c>
      <c r="AL56">
        <f t="shared" si="0"/>
        <v>13.589186369915229</v>
      </c>
    </row>
    <row r="57" spans="1:38" x14ac:dyDescent="0.15">
      <c r="A57" t="s">
        <v>577</v>
      </c>
      <c r="B57" t="s">
        <v>35</v>
      </c>
      <c r="C57" t="s">
        <v>57</v>
      </c>
      <c r="D57" t="s">
        <v>396</v>
      </c>
      <c r="E57" t="s">
        <v>406</v>
      </c>
      <c r="F57" t="s">
        <v>346</v>
      </c>
      <c r="G57" t="s">
        <v>402</v>
      </c>
      <c r="H57" t="s">
        <v>21</v>
      </c>
      <c r="I57">
        <v>52.5</v>
      </c>
      <c r="J57">
        <f>60-45</f>
        <v>15</v>
      </c>
      <c r="K57">
        <v>4</v>
      </c>
      <c r="L57">
        <v>0</v>
      </c>
      <c r="M57">
        <v>996</v>
      </c>
      <c r="N57">
        <v>999</v>
      </c>
      <c r="O57">
        <v>5</v>
      </c>
      <c r="P57">
        <v>5</v>
      </c>
      <c r="Q57">
        <v>10</v>
      </c>
      <c r="R57">
        <v>384</v>
      </c>
      <c r="S57">
        <v>595</v>
      </c>
      <c r="T57">
        <v>0.50050050050050054</v>
      </c>
      <c r="U57">
        <v>1.5015015015015014</v>
      </c>
      <c r="V57">
        <v>97.997997997997999</v>
      </c>
      <c r="W57">
        <v>-6.5174764547894795E-2</v>
      </c>
      <c r="X57">
        <v>0.93690371151524621</v>
      </c>
      <c r="Y57" t="s">
        <v>534</v>
      </c>
      <c r="Z57">
        <v>6.4</v>
      </c>
      <c r="AA57" t="s">
        <v>20</v>
      </c>
      <c r="AC57">
        <v>7.0000000000000007E-2</v>
      </c>
      <c r="AD57">
        <v>8.9999999999999993E-3</v>
      </c>
      <c r="AE57">
        <v>6.0000000000000001E-3</v>
      </c>
      <c r="AF57">
        <v>1.28</v>
      </c>
      <c r="AG57">
        <v>0.08</v>
      </c>
      <c r="AH57">
        <v>9.1999999999999993</v>
      </c>
      <c r="AI57">
        <v>0.02</v>
      </c>
      <c r="AJ57" s="76">
        <f>-0.0042*T59+1.6859</f>
        <v>1.4401284569138275</v>
      </c>
      <c r="AK57" s="76">
        <f>AJ57</f>
        <v>1.4401284569138275</v>
      </c>
      <c r="AL57">
        <f t="shared" si="0"/>
        <v>2.765046637274549</v>
      </c>
    </row>
    <row r="58" spans="1:38" x14ac:dyDescent="0.15">
      <c r="A58" t="s">
        <v>578</v>
      </c>
      <c r="B58" t="s">
        <v>36</v>
      </c>
      <c r="C58" t="s">
        <v>58</v>
      </c>
      <c r="D58" t="s">
        <v>210</v>
      </c>
      <c r="E58" t="s">
        <v>406</v>
      </c>
      <c r="F58" t="s">
        <v>346</v>
      </c>
      <c r="G58" t="s">
        <v>36</v>
      </c>
      <c r="H58" t="s">
        <v>177</v>
      </c>
      <c r="I58">
        <v>3.75</v>
      </c>
      <c r="J58">
        <v>7.5</v>
      </c>
      <c r="K58">
        <v>0</v>
      </c>
      <c r="L58">
        <v>0</v>
      </c>
      <c r="M58">
        <v>1000</v>
      </c>
      <c r="N58">
        <v>998</v>
      </c>
      <c r="O58">
        <v>572</v>
      </c>
      <c r="P58">
        <v>380</v>
      </c>
      <c r="Q58">
        <v>32</v>
      </c>
      <c r="R58">
        <v>7</v>
      </c>
      <c r="S58">
        <v>7</v>
      </c>
      <c r="T58">
        <v>57.314629258517037</v>
      </c>
      <c r="U58">
        <v>41.282565130260522</v>
      </c>
      <c r="V58">
        <v>1.402805611222445</v>
      </c>
      <c r="W58">
        <v>-5.4654806856486049</v>
      </c>
      <c r="X58">
        <v>4.2303071103127234E-3</v>
      </c>
      <c r="Y58" t="s">
        <v>534</v>
      </c>
      <c r="Z58">
        <v>5.9</v>
      </c>
      <c r="AA58" t="s">
        <v>474</v>
      </c>
      <c r="AC58">
        <v>2.16</v>
      </c>
      <c r="AD58">
        <v>0.50700000000000001</v>
      </c>
      <c r="AE58">
        <v>0.92</v>
      </c>
      <c r="AF58">
        <v>35.909999999999997</v>
      </c>
      <c r="AG58">
        <v>3</v>
      </c>
      <c r="AH58">
        <v>150</v>
      </c>
      <c r="AI58">
        <v>0.3</v>
      </c>
      <c r="AJ58" s="141">
        <f>AJ59-((AJ59-AJ61)/(I59-I61))*3.5</f>
        <v>1.3161536402159304</v>
      </c>
      <c r="AK58" s="141">
        <f>AK59-((AK59-AK61)/(I59-I61))*3.5</f>
        <v>1.3078422135300147</v>
      </c>
      <c r="AL58">
        <f t="shared" si="0"/>
        <v>35.223460415897122</v>
      </c>
    </row>
    <row r="59" spans="1:38" x14ac:dyDescent="0.15">
      <c r="A59" t="s">
        <v>476</v>
      </c>
      <c r="B59" t="s">
        <v>36</v>
      </c>
      <c r="C59" t="s">
        <v>58</v>
      </c>
      <c r="D59" t="s">
        <v>210</v>
      </c>
      <c r="E59" t="s">
        <v>406</v>
      </c>
      <c r="F59" t="s">
        <v>346</v>
      </c>
      <c r="G59" t="s">
        <v>36</v>
      </c>
      <c r="H59" t="s">
        <v>175</v>
      </c>
      <c r="I59">
        <v>16.25</v>
      </c>
      <c r="J59">
        <f>25-7.5</f>
        <v>17.5</v>
      </c>
      <c r="K59">
        <v>0</v>
      </c>
      <c r="L59">
        <v>0</v>
      </c>
      <c r="M59">
        <v>1000</v>
      </c>
      <c r="N59">
        <v>998</v>
      </c>
      <c r="O59">
        <v>584</v>
      </c>
      <c r="P59">
        <v>383</v>
      </c>
      <c r="Q59">
        <v>28</v>
      </c>
      <c r="R59">
        <v>2</v>
      </c>
      <c r="S59">
        <v>1</v>
      </c>
      <c r="T59">
        <v>58.517034068136276</v>
      </c>
      <c r="U59">
        <v>41.182364729458918</v>
      </c>
      <c r="V59">
        <v>0.30060120240480964</v>
      </c>
      <c r="W59">
        <v>-5.5451550577381026</v>
      </c>
      <c r="X59">
        <v>3.9063374491876751E-3</v>
      </c>
      <c r="Y59" t="s">
        <v>534</v>
      </c>
      <c r="Z59">
        <v>5.6</v>
      </c>
      <c r="AA59" t="s">
        <v>474</v>
      </c>
      <c r="AC59">
        <v>1.66</v>
      </c>
      <c r="AD59">
        <v>0.39500000000000002</v>
      </c>
      <c r="AE59">
        <v>0.56499999999999995</v>
      </c>
      <c r="AF59">
        <v>18.989999999999998</v>
      </c>
      <c r="AG59">
        <v>1.99</v>
      </c>
      <c r="AH59">
        <v>148</v>
      </c>
      <c r="AI59">
        <v>0.23</v>
      </c>
      <c r="AJ59">
        <v>1.327535541538259</v>
      </c>
      <c r="AK59">
        <v>1.3199559385856945</v>
      </c>
      <c r="AL59">
        <f t="shared" si="0"/>
        <v>43.865435729049096</v>
      </c>
    </row>
    <row r="60" spans="1:38" x14ac:dyDescent="0.15">
      <c r="B60" s="76" t="str">
        <f>B59</f>
        <v>S-15-W</v>
      </c>
      <c r="C60" s="76" t="str">
        <f>C59</f>
        <v>Malmön 1</v>
      </c>
      <c r="D60" s="76" t="str">
        <f>D59</f>
        <v>Malmön</v>
      </c>
      <c r="E60" s="76" t="str">
        <f>E59</f>
        <v>OldPoplarClones</v>
      </c>
      <c r="F60" s="76" t="str">
        <f>F59</f>
        <v>W</v>
      </c>
      <c r="G60" s="76"/>
      <c r="H60" s="76" t="s">
        <v>176</v>
      </c>
      <c r="I60" s="76">
        <v>35</v>
      </c>
      <c r="J60" s="76">
        <f>45-25</f>
        <v>20</v>
      </c>
      <c r="AF60" s="154">
        <f>AF59+((AF59-AF61)/(I59-I61))*(I60-I59)</f>
        <v>17.014137931034483</v>
      </c>
      <c r="AJ60" s="154">
        <f>AJ59+((AJ59-AJ61)/(I59-I61))*(I60-I59)</f>
        <v>1.3885100129078767</v>
      </c>
      <c r="AK60" s="154">
        <f>AK59+((AK59-AK61)/(I59-I61))*(I60-I59)</f>
        <v>1.3848508942411213</v>
      </c>
      <c r="AL60">
        <f t="shared" si="0"/>
        <v>47.124088257069772</v>
      </c>
    </row>
    <row r="61" spans="1:38" x14ac:dyDescent="0.15">
      <c r="A61" t="s">
        <v>579</v>
      </c>
      <c r="B61" t="s">
        <v>36</v>
      </c>
      <c r="C61" t="s">
        <v>58</v>
      </c>
      <c r="D61" t="s">
        <v>210</v>
      </c>
      <c r="E61" t="s">
        <v>406</v>
      </c>
      <c r="F61" t="s">
        <v>346</v>
      </c>
      <c r="G61" t="s">
        <v>36</v>
      </c>
      <c r="H61" t="s">
        <v>21</v>
      </c>
      <c r="I61">
        <v>52.5</v>
      </c>
      <c r="J61">
        <f>60-45</f>
        <v>15</v>
      </c>
      <c r="K61">
        <v>0</v>
      </c>
      <c r="L61">
        <v>0</v>
      </c>
      <c r="M61">
        <v>1000</v>
      </c>
      <c r="N61">
        <v>999</v>
      </c>
      <c r="O61">
        <v>606</v>
      </c>
      <c r="P61">
        <v>337</v>
      </c>
      <c r="Q61">
        <v>44</v>
      </c>
      <c r="R61">
        <v>6</v>
      </c>
      <c r="S61">
        <v>6</v>
      </c>
      <c r="T61">
        <v>60.66066066066066</v>
      </c>
      <c r="U61">
        <v>38.138138138138139</v>
      </c>
      <c r="V61">
        <v>1.2012012012012012</v>
      </c>
      <c r="W61">
        <v>-5.5819052732913921</v>
      </c>
      <c r="X61">
        <v>3.7653845934541206E-3</v>
      </c>
      <c r="Y61" t="s">
        <v>534</v>
      </c>
      <c r="Z61">
        <v>5.3</v>
      </c>
      <c r="AA61" t="s">
        <v>20</v>
      </c>
      <c r="AC61">
        <v>1.1399999999999999</v>
      </c>
      <c r="AD61">
        <v>0.56000000000000005</v>
      </c>
      <c r="AE61">
        <v>0.252</v>
      </c>
      <c r="AF61">
        <v>15.17</v>
      </c>
      <c r="AG61">
        <v>1.55</v>
      </c>
      <c r="AH61">
        <v>134</v>
      </c>
      <c r="AI61">
        <v>0.21</v>
      </c>
      <c r="AJ61" s="76">
        <f>-0.0042*T63+1.6859</f>
        <v>1.4454195195195196</v>
      </c>
      <c r="AK61" s="76">
        <f>AJ61</f>
        <v>1.4454195195195196</v>
      </c>
      <c r="AL61">
        <f t="shared" si="0"/>
        <v>32.890521166666673</v>
      </c>
    </row>
    <row r="62" spans="1:38" x14ac:dyDescent="0.15">
      <c r="A62" t="s">
        <v>580</v>
      </c>
      <c r="B62" t="s">
        <v>37</v>
      </c>
      <c r="C62" t="s">
        <v>59</v>
      </c>
      <c r="D62" t="s">
        <v>210</v>
      </c>
      <c r="E62" t="s">
        <v>91</v>
      </c>
      <c r="F62" t="s">
        <v>346</v>
      </c>
      <c r="G62" t="s">
        <v>37</v>
      </c>
      <c r="H62" t="s">
        <v>177</v>
      </c>
      <c r="I62">
        <v>3.75</v>
      </c>
      <c r="J62">
        <v>7.5</v>
      </c>
      <c r="K62">
        <v>0</v>
      </c>
      <c r="L62">
        <v>0</v>
      </c>
      <c r="M62">
        <v>1000</v>
      </c>
      <c r="N62">
        <v>998</v>
      </c>
      <c r="O62">
        <v>535</v>
      </c>
      <c r="P62">
        <v>381</v>
      </c>
      <c r="Q62">
        <v>52</v>
      </c>
      <c r="R62">
        <v>20</v>
      </c>
      <c r="S62">
        <v>10</v>
      </c>
      <c r="T62">
        <v>53.607214428857716</v>
      </c>
      <c r="U62">
        <v>43.386773547094187</v>
      </c>
      <c r="V62">
        <v>3.0060120240480961</v>
      </c>
      <c r="W62">
        <v>-5.2857820949035021</v>
      </c>
      <c r="X62">
        <v>5.0630708373885832E-3</v>
      </c>
      <c r="Y62" t="s">
        <v>534</v>
      </c>
      <c r="Z62">
        <v>5.6</v>
      </c>
      <c r="AA62" t="s">
        <v>474</v>
      </c>
      <c r="AC62">
        <v>1.71</v>
      </c>
      <c r="AD62">
        <v>0.41899999999999998</v>
      </c>
      <c r="AE62">
        <v>0.68200000000000005</v>
      </c>
      <c r="AF62">
        <v>30.81</v>
      </c>
      <c r="AG62">
        <v>2.99</v>
      </c>
      <c r="AH62">
        <v>148</v>
      </c>
      <c r="AI62">
        <v>0.27</v>
      </c>
      <c r="AJ62" s="141">
        <f>AJ63-((AJ63-AJ65)/(I63-I65))*3.5</f>
        <v>1.3196445794310077</v>
      </c>
      <c r="AK62" s="141">
        <f>AK63-((AK63-AK65)/(I63-I65))*3.5</f>
        <v>1.311333152745092</v>
      </c>
      <c r="AL62">
        <f t="shared" si="0"/>
        <v>30.30163082705721</v>
      </c>
    </row>
    <row r="63" spans="1:38" x14ac:dyDescent="0.15">
      <c r="A63" t="s">
        <v>581</v>
      </c>
      <c r="B63" t="s">
        <v>37</v>
      </c>
      <c r="C63" t="s">
        <v>59</v>
      </c>
      <c r="D63" t="s">
        <v>210</v>
      </c>
      <c r="E63" t="s">
        <v>91</v>
      </c>
      <c r="F63" t="s">
        <v>346</v>
      </c>
      <c r="G63" t="s">
        <v>37</v>
      </c>
      <c r="H63" t="s">
        <v>175</v>
      </c>
      <c r="I63">
        <v>16.25</v>
      </c>
      <c r="J63">
        <f>25-7.5</f>
        <v>17.5</v>
      </c>
      <c r="K63">
        <v>0</v>
      </c>
      <c r="L63">
        <v>0</v>
      </c>
      <c r="M63">
        <v>1000</v>
      </c>
      <c r="N63">
        <v>999</v>
      </c>
      <c r="O63">
        <v>572</v>
      </c>
      <c r="P63">
        <v>398</v>
      </c>
      <c r="Q63">
        <v>24</v>
      </c>
      <c r="R63">
        <v>4</v>
      </c>
      <c r="S63">
        <v>1</v>
      </c>
      <c r="T63">
        <v>57.257257257257251</v>
      </c>
      <c r="U63">
        <v>42.242242242242241</v>
      </c>
      <c r="V63">
        <v>0.50050050050050054</v>
      </c>
      <c r="W63">
        <v>-5.496765310510737</v>
      </c>
      <c r="X63">
        <v>4.1000122785390513E-3</v>
      </c>
      <c r="Y63" t="s">
        <v>534</v>
      </c>
      <c r="Z63">
        <v>5.3</v>
      </c>
      <c r="AA63" t="s">
        <v>20</v>
      </c>
      <c r="AC63">
        <v>1.31</v>
      </c>
      <c r="AD63">
        <v>0.35399999999999998</v>
      </c>
      <c r="AE63">
        <v>0.56899999999999995</v>
      </c>
      <c r="AF63">
        <v>19</v>
      </c>
      <c r="AG63">
        <v>1.98</v>
      </c>
      <c r="AH63">
        <v>150</v>
      </c>
      <c r="AI63">
        <v>0.22</v>
      </c>
      <c r="AJ63">
        <v>1.327535541538259</v>
      </c>
      <c r="AK63">
        <v>1.3199559385856945</v>
      </c>
      <c r="AL63">
        <f t="shared" si="0"/>
        <v>43.888534957974343</v>
      </c>
    </row>
    <row r="64" spans="1:38" x14ac:dyDescent="0.15">
      <c r="B64" s="76" t="str">
        <f>B63</f>
        <v>S-16-W</v>
      </c>
      <c r="C64" s="76" t="str">
        <f>C63</f>
        <v>Malmön 2</v>
      </c>
      <c r="D64" s="76" t="str">
        <f>D63</f>
        <v>Malmön</v>
      </c>
      <c r="E64" s="76" t="str">
        <f>E63</f>
        <v>Hasp</v>
      </c>
      <c r="F64" s="76" t="str">
        <f>F63</f>
        <v>W</v>
      </c>
      <c r="G64" s="76"/>
      <c r="H64" s="76" t="s">
        <v>176</v>
      </c>
      <c r="I64" s="76">
        <v>35</v>
      </c>
      <c r="J64" s="76">
        <f>45-25</f>
        <v>20</v>
      </c>
      <c r="AF64" s="154">
        <f>AF63+((AF63-AF65)/(I63-I65))*(I64-I63)</f>
        <v>16.579310344827586</v>
      </c>
      <c r="AJ64" s="154">
        <f>AJ63+((AJ63-AJ65)/(I63-I65))*(I64-I63)</f>
        <v>1.369808552827106</v>
      </c>
      <c r="AK64" s="154">
        <f>AK63+((AK63-AK65)/(I63-I65))*(I64-I63)</f>
        <v>1.3661494341603508</v>
      </c>
      <c r="AL64">
        <f t="shared" si="0"/>
        <v>45.299630892710127</v>
      </c>
    </row>
    <row r="65" spans="1:38" x14ac:dyDescent="0.15">
      <c r="A65" t="s">
        <v>582</v>
      </c>
      <c r="B65" t="s">
        <v>37</v>
      </c>
      <c r="C65" t="s">
        <v>59</v>
      </c>
      <c r="D65" t="s">
        <v>210</v>
      </c>
      <c r="E65" t="s">
        <v>91</v>
      </c>
      <c r="F65" t="s">
        <v>346</v>
      </c>
      <c r="G65" t="s">
        <v>37</v>
      </c>
      <c r="H65" t="s">
        <v>21</v>
      </c>
      <c r="I65">
        <v>52.5</v>
      </c>
      <c r="J65">
        <f>60-45</f>
        <v>15</v>
      </c>
      <c r="K65">
        <v>0</v>
      </c>
      <c r="L65">
        <v>0</v>
      </c>
      <c r="M65">
        <v>1000</v>
      </c>
      <c r="N65">
        <v>999</v>
      </c>
      <c r="O65">
        <v>551</v>
      </c>
      <c r="P65">
        <v>388</v>
      </c>
      <c r="Q65">
        <v>52</v>
      </c>
      <c r="R65">
        <v>7</v>
      </c>
      <c r="S65">
        <v>1</v>
      </c>
      <c r="T65">
        <v>55.155155155155157</v>
      </c>
      <c r="U65">
        <v>44.044044044044043</v>
      </c>
      <c r="V65">
        <v>0.80080080080080074</v>
      </c>
      <c r="W65">
        <v>-5.41724270654767</v>
      </c>
      <c r="X65">
        <v>4.4393704348355684E-3</v>
      </c>
      <c r="Y65" t="s">
        <v>534</v>
      </c>
      <c r="Z65">
        <v>4.7</v>
      </c>
      <c r="AA65" t="s">
        <v>20</v>
      </c>
      <c r="AC65">
        <v>0.76</v>
      </c>
      <c r="AD65">
        <v>0.38100000000000001</v>
      </c>
      <c r="AE65">
        <v>0.31</v>
      </c>
      <c r="AF65">
        <v>14.32</v>
      </c>
      <c r="AG65">
        <v>1.57</v>
      </c>
      <c r="AH65">
        <v>144</v>
      </c>
      <c r="AI65">
        <v>0.18</v>
      </c>
      <c r="AJ65" s="76">
        <f>-0.0042*T67+1.6859</f>
        <v>1.4092633633633633</v>
      </c>
      <c r="AK65" s="76">
        <f>AJ65</f>
        <v>1.4092633633633633</v>
      </c>
      <c r="AL65">
        <f t="shared" si="0"/>
        <v>30.270977045045047</v>
      </c>
    </row>
    <row r="66" spans="1:38" x14ac:dyDescent="0.15">
      <c r="A66" t="s">
        <v>583</v>
      </c>
      <c r="B66" t="s">
        <v>38</v>
      </c>
      <c r="C66" t="s">
        <v>60</v>
      </c>
      <c r="D66" t="s">
        <v>131</v>
      </c>
      <c r="E66" t="s">
        <v>406</v>
      </c>
      <c r="F66" t="s">
        <v>346</v>
      </c>
      <c r="G66" t="s">
        <v>38</v>
      </c>
      <c r="H66" t="s">
        <v>177</v>
      </c>
      <c r="I66">
        <v>3.75</v>
      </c>
      <c r="J66">
        <v>7.5</v>
      </c>
      <c r="K66">
        <v>0</v>
      </c>
      <c r="L66">
        <v>0</v>
      </c>
      <c r="M66">
        <v>1000</v>
      </c>
      <c r="N66">
        <v>999</v>
      </c>
      <c r="O66">
        <v>659</v>
      </c>
      <c r="P66">
        <v>274</v>
      </c>
      <c r="Q66">
        <v>53</v>
      </c>
      <c r="R66">
        <v>9</v>
      </c>
      <c r="S66">
        <v>4</v>
      </c>
      <c r="T66">
        <v>65.965965965965964</v>
      </c>
      <c r="U66">
        <v>32.732732732732735</v>
      </c>
      <c r="V66">
        <v>1.3013013013013013</v>
      </c>
      <c r="W66">
        <v>-5.7510792123920806</v>
      </c>
      <c r="X66">
        <v>3.1793477528576286E-3</v>
      </c>
      <c r="Y66" t="s">
        <v>534</v>
      </c>
      <c r="Z66">
        <v>6.2</v>
      </c>
      <c r="AA66" t="s">
        <v>20</v>
      </c>
      <c r="AC66">
        <v>3.8</v>
      </c>
      <c r="AD66">
        <v>0.35099999999999998</v>
      </c>
      <c r="AE66">
        <v>0.315</v>
      </c>
      <c r="AF66">
        <v>38.979999999999997</v>
      </c>
      <c r="AG66">
        <v>3.93</v>
      </c>
      <c r="AH66">
        <v>142</v>
      </c>
      <c r="AI66">
        <v>0.39</v>
      </c>
      <c r="AJ66" s="141">
        <f>AJ67-((AJ67-AJ69)/(I67-I69))*3.5</f>
        <v>0.96186006361022292</v>
      </c>
      <c r="AK66" s="141">
        <f>AK67-((AK67-AK69)/(I67-I69))*3.5</f>
        <v>1.0596577079790588</v>
      </c>
      <c r="AL66">
        <f t="shared" si="0"/>
        <v>30.97909309276778</v>
      </c>
    </row>
    <row r="67" spans="1:38" x14ac:dyDescent="0.15">
      <c r="A67" t="s">
        <v>584</v>
      </c>
      <c r="B67" t="s">
        <v>38</v>
      </c>
      <c r="C67" t="s">
        <v>60</v>
      </c>
      <c r="D67" t="s">
        <v>131</v>
      </c>
      <c r="E67" t="s">
        <v>406</v>
      </c>
      <c r="F67" t="s">
        <v>346</v>
      </c>
      <c r="G67" t="s">
        <v>38</v>
      </c>
      <c r="H67" t="s">
        <v>175</v>
      </c>
      <c r="I67">
        <v>16.25</v>
      </c>
      <c r="J67">
        <f>25-7.5</f>
        <v>17.5</v>
      </c>
      <c r="K67">
        <v>0</v>
      </c>
      <c r="L67">
        <v>0</v>
      </c>
      <c r="M67">
        <v>1000</v>
      </c>
      <c r="N67">
        <v>999</v>
      </c>
      <c r="O67">
        <v>658</v>
      </c>
      <c r="P67">
        <v>278</v>
      </c>
      <c r="Q67">
        <v>55</v>
      </c>
      <c r="R67">
        <v>7</v>
      </c>
      <c r="S67">
        <v>1</v>
      </c>
      <c r="T67">
        <v>65.865865865865871</v>
      </c>
      <c r="U67">
        <v>33.333333333333329</v>
      </c>
      <c r="V67">
        <v>0.80080080080080074</v>
      </c>
      <c r="W67">
        <v>-5.7662080014108321</v>
      </c>
      <c r="X67">
        <v>3.1316100885272892E-3</v>
      </c>
      <c r="Y67" t="s">
        <v>534</v>
      </c>
      <c r="Z67">
        <v>5.9</v>
      </c>
      <c r="AA67" t="s">
        <v>20</v>
      </c>
      <c r="AC67">
        <v>3.81</v>
      </c>
      <c r="AD67">
        <v>0.34499999999999997</v>
      </c>
      <c r="AE67">
        <v>0.155</v>
      </c>
      <c r="AF67">
        <v>34.26</v>
      </c>
      <c r="AG67">
        <v>3.64</v>
      </c>
      <c r="AH67">
        <v>139</v>
      </c>
      <c r="AI67">
        <v>0.32</v>
      </c>
      <c r="AJ67">
        <v>1.0014519895453509</v>
      </c>
      <c r="AK67">
        <v>1.0906385205735345</v>
      </c>
      <c r="AL67">
        <f t="shared" ref="AL67:AL81" si="2">AK67*AF67*0.1*J67</f>
        <v>65.389232500986267</v>
      </c>
    </row>
    <row r="68" spans="1:38" x14ac:dyDescent="0.15">
      <c r="B68" s="76" t="str">
        <f>B67</f>
        <v>S-17-W</v>
      </c>
      <c r="C68" s="76" t="str">
        <f>C67</f>
        <v>Bodarna 1</v>
      </c>
      <c r="D68" s="76" t="str">
        <f>D67</f>
        <v>Bodarna</v>
      </c>
      <c r="E68" s="76" t="str">
        <f>E67</f>
        <v>OldPoplarClones</v>
      </c>
      <c r="F68" s="76" t="str">
        <f>F67</f>
        <v>W</v>
      </c>
      <c r="G68" s="76"/>
      <c r="H68" s="76" t="s">
        <v>176</v>
      </c>
      <c r="I68" s="76">
        <v>35</v>
      </c>
      <c r="J68" s="76">
        <f>45-25</f>
        <v>20</v>
      </c>
      <c r="AF68" s="154">
        <f>AF67+((AF67-AF69)/(I67-I69))*(I68-I67)</f>
        <v>24.406551724137934</v>
      </c>
      <c r="AJ68" s="154">
        <f>AJ67+((AJ67-AJ69)/(I67-I69))*(I68-I67)</f>
        <v>1.2135515927692504</v>
      </c>
      <c r="AK68" s="154">
        <f>AK67+((AK67-AK69)/(I67-I69))*(I68-I67)</f>
        <v>1.2566071594725114</v>
      </c>
      <c r="AL68">
        <f t="shared" si="2"/>
        <v>61.338895269175794</v>
      </c>
    </row>
    <row r="69" spans="1:38" x14ac:dyDescent="0.15">
      <c r="A69" t="s">
        <v>585</v>
      </c>
      <c r="B69" t="s">
        <v>38</v>
      </c>
      <c r="C69" t="s">
        <v>60</v>
      </c>
      <c r="D69" t="s">
        <v>131</v>
      </c>
      <c r="E69" t="s">
        <v>406</v>
      </c>
      <c r="F69" t="s">
        <v>346</v>
      </c>
      <c r="G69" t="s">
        <v>38</v>
      </c>
      <c r="H69" t="s">
        <v>21</v>
      </c>
      <c r="I69">
        <v>52.5</v>
      </c>
      <c r="J69">
        <f>60-45</f>
        <v>15</v>
      </c>
      <c r="K69">
        <v>0</v>
      </c>
      <c r="L69">
        <v>1</v>
      </c>
      <c r="M69">
        <v>999</v>
      </c>
      <c r="N69">
        <v>999</v>
      </c>
      <c r="O69">
        <v>628</v>
      </c>
      <c r="P69">
        <v>306</v>
      </c>
      <c r="Q69">
        <v>59</v>
      </c>
      <c r="R69">
        <v>4</v>
      </c>
      <c r="S69">
        <v>2</v>
      </c>
      <c r="T69">
        <v>62.862862862862869</v>
      </c>
      <c r="U69">
        <v>36.536536536536538</v>
      </c>
      <c r="V69">
        <v>0.60060060060060061</v>
      </c>
      <c r="W69">
        <v>-5.6757233232991782</v>
      </c>
      <c r="X69">
        <v>3.4281883907362289E-3</v>
      </c>
      <c r="Y69" t="s">
        <v>534</v>
      </c>
      <c r="Z69">
        <v>6.5</v>
      </c>
      <c r="AA69" t="s">
        <v>20</v>
      </c>
      <c r="AC69">
        <v>2.91</v>
      </c>
      <c r="AD69">
        <v>0.41899999999999998</v>
      </c>
      <c r="AE69">
        <v>0.161</v>
      </c>
      <c r="AF69">
        <v>15.21</v>
      </c>
      <c r="AG69">
        <v>1.97</v>
      </c>
      <c r="AH69">
        <v>139</v>
      </c>
      <c r="AI69">
        <v>0.21</v>
      </c>
      <c r="AJ69" s="76">
        <f>-0.0042*T71+1.6859</f>
        <v>1.4115112224448898</v>
      </c>
      <c r="AK69" s="76">
        <f>AJ69</f>
        <v>1.4115112224448898</v>
      </c>
      <c r="AL69">
        <f t="shared" si="2"/>
        <v>32.20362854008016</v>
      </c>
    </row>
    <row r="70" spans="1:38" x14ac:dyDescent="0.15">
      <c r="A70" t="s">
        <v>586</v>
      </c>
      <c r="B70" t="s">
        <v>39</v>
      </c>
      <c r="C70" t="s">
        <v>61</v>
      </c>
      <c r="D70" t="s">
        <v>131</v>
      </c>
      <c r="E70" t="s">
        <v>91</v>
      </c>
      <c r="F70" t="s">
        <v>346</v>
      </c>
      <c r="G70" t="s">
        <v>39</v>
      </c>
      <c r="H70" t="s">
        <v>177</v>
      </c>
      <c r="I70">
        <v>3.75</v>
      </c>
      <c r="J70">
        <v>7.5</v>
      </c>
      <c r="K70">
        <v>0</v>
      </c>
      <c r="L70">
        <v>0</v>
      </c>
      <c r="M70">
        <v>1000</v>
      </c>
      <c r="N70">
        <v>999</v>
      </c>
      <c r="O70">
        <v>665</v>
      </c>
      <c r="P70">
        <v>280</v>
      </c>
      <c r="Q70">
        <v>46</v>
      </c>
      <c r="R70">
        <v>7</v>
      </c>
      <c r="S70">
        <v>1</v>
      </c>
      <c r="T70">
        <v>66.566566566566564</v>
      </c>
      <c r="U70">
        <v>32.632632632632628</v>
      </c>
      <c r="V70">
        <v>0.80080080080080074</v>
      </c>
      <c r="W70">
        <v>-5.789037506682253</v>
      </c>
      <c r="X70">
        <v>3.0609268807356865E-3</v>
      </c>
      <c r="Y70" t="s">
        <v>534</v>
      </c>
      <c r="Z70">
        <v>5.6</v>
      </c>
      <c r="AA70" t="s">
        <v>20</v>
      </c>
      <c r="AC70">
        <v>3.05</v>
      </c>
      <c r="AD70">
        <v>0.32500000000000001</v>
      </c>
      <c r="AE70">
        <v>0.27100000000000002</v>
      </c>
      <c r="AF70">
        <v>42.28</v>
      </c>
      <c r="AG70">
        <v>4.29</v>
      </c>
      <c r="AH70">
        <v>139</v>
      </c>
      <c r="AI70">
        <v>0.36</v>
      </c>
      <c r="AJ70" s="141">
        <f>AJ71-((AJ71-AJ73)/(I71-I73))*3.5</f>
        <v>1.0002418139998075</v>
      </c>
      <c r="AK70" s="141">
        <f>AK71-((AK71-AK73)/(I71-I73))*3.5</f>
        <v>1.0727707129061674</v>
      </c>
      <c r="AL70">
        <f t="shared" si="2"/>
        <v>34.017559306254576</v>
      </c>
    </row>
    <row r="71" spans="1:38" x14ac:dyDescent="0.15">
      <c r="A71" t="s">
        <v>587</v>
      </c>
      <c r="B71" t="s">
        <v>39</v>
      </c>
      <c r="C71" t="s">
        <v>61</v>
      </c>
      <c r="D71" t="s">
        <v>131</v>
      </c>
      <c r="E71" t="s">
        <v>91</v>
      </c>
      <c r="F71" t="s">
        <v>346</v>
      </c>
      <c r="G71" t="s">
        <v>39</v>
      </c>
      <c r="H71" t="s">
        <v>175</v>
      </c>
      <c r="I71">
        <v>16.25</v>
      </c>
      <c r="J71">
        <f>25-7.5</f>
        <v>17.5</v>
      </c>
      <c r="K71">
        <v>0</v>
      </c>
      <c r="L71">
        <v>0</v>
      </c>
      <c r="M71">
        <v>1000</v>
      </c>
      <c r="N71">
        <v>998</v>
      </c>
      <c r="O71">
        <v>652</v>
      </c>
      <c r="P71">
        <v>291</v>
      </c>
      <c r="Q71">
        <v>48</v>
      </c>
      <c r="R71">
        <v>6</v>
      </c>
      <c r="S71">
        <v>1</v>
      </c>
      <c r="T71">
        <v>65.330661322645284</v>
      </c>
      <c r="U71">
        <v>33.967935871743485</v>
      </c>
      <c r="V71">
        <v>0.70140280561122248</v>
      </c>
      <c r="W71">
        <v>-5.7524227522984788</v>
      </c>
      <c r="X71">
        <v>3.175079040510162E-3</v>
      </c>
      <c r="Y71" t="s">
        <v>534</v>
      </c>
      <c r="Z71">
        <v>5.3</v>
      </c>
      <c r="AA71" t="s">
        <v>474</v>
      </c>
      <c r="AC71">
        <v>2.82</v>
      </c>
      <c r="AD71">
        <v>0.28899999999999998</v>
      </c>
      <c r="AE71">
        <v>0.17799999999999999</v>
      </c>
      <c r="AF71">
        <v>40.1</v>
      </c>
      <c r="AG71">
        <v>4.12</v>
      </c>
      <c r="AH71">
        <v>137</v>
      </c>
      <c r="AI71">
        <v>0.32</v>
      </c>
      <c r="AJ71">
        <v>1.037403852701394</v>
      </c>
      <c r="AK71">
        <v>1.103546559251219</v>
      </c>
      <c r="AL71">
        <f t="shared" si="2"/>
        <v>77.44137979545431</v>
      </c>
    </row>
    <row r="72" spans="1:38" x14ac:dyDescent="0.15">
      <c r="B72" s="76" t="str">
        <f>B71</f>
        <v>S-18-W</v>
      </c>
      <c r="C72" s="76" t="str">
        <f>C71</f>
        <v>Bodarna 2</v>
      </c>
      <c r="D72" s="76" t="str">
        <f>D71</f>
        <v>Bodarna</v>
      </c>
      <c r="E72" s="76" t="str">
        <f>E71</f>
        <v>Hasp</v>
      </c>
      <c r="F72" s="76" t="str">
        <f>F71</f>
        <v>W</v>
      </c>
      <c r="G72" s="76"/>
      <c r="H72" s="76" t="s">
        <v>176</v>
      </c>
      <c r="I72" s="76">
        <v>35</v>
      </c>
      <c r="J72" s="76">
        <f>45-25</f>
        <v>20</v>
      </c>
      <c r="AF72" s="154">
        <f>AF71+((AF71-AF73)/(I71-I73))*(I72-I71)</f>
        <v>27.644827586206894</v>
      </c>
      <c r="AJ72" s="154">
        <f>AJ71+((AJ71-AJ73)/(I71-I73))*(I72-I71)</f>
        <v>1.2364862028884642</v>
      </c>
      <c r="AK72" s="154">
        <f>AK71+((AK71-AK73)/(I71-I73))*(I72-I71)</f>
        <v>1.2684171646711384</v>
      </c>
      <c r="AL72">
        <f t="shared" si="2"/>
        <v>70.130347649438036</v>
      </c>
    </row>
    <row r="73" spans="1:38" x14ac:dyDescent="0.15">
      <c r="A73" t="s">
        <v>588</v>
      </c>
      <c r="B73" t="s">
        <v>39</v>
      </c>
      <c r="C73" t="s">
        <v>61</v>
      </c>
      <c r="D73" t="s">
        <v>131</v>
      </c>
      <c r="E73" t="s">
        <v>91</v>
      </c>
      <c r="F73" t="s">
        <v>346</v>
      </c>
      <c r="G73" t="s">
        <v>39</v>
      </c>
      <c r="H73" t="s">
        <v>21</v>
      </c>
      <c r="I73">
        <v>52.5</v>
      </c>
      <c r="J73">
        <f>60-45</f>
        <v>15</v>
      </c>
      <c r="K73">
        <v>0</v>
      </c>
      <c r="L73">
        <v>0</v>
      </c>
      <c r="M73">
        <v>1000</v>
      </c>
      <c r="N73">
        <v>999</v>
      </c>
      <c r="O73">
        <v>660</v>
      </c>
      <c r="P73">
        <v>294</v>
      </c>
      <c r="Q73">
        <v>39</v>
      </c>
      <c r="R73">
        <v>5</v>
      </c>
      <c r="S73">
        <v>1</v>
      </c>
      <c r="T73">
        <v>66.066066066066071</v>
      </c>
      <c r="U73">
        <v>33.333333333333329</v>
      </c>
      <c r="V73">
        <v>0.60060060060060061</v>
      </c>
      <c r="W73">
        <v>-5.7800867759685346</v>
      </c>
      <c r="X73">
        <v>3.0884473935944754E-3</v>
      </c>
      <c r="Y73" t="s">
        <v>534</v>
      </c>
      <c r="Z73">
        <v>5.3</v>
      </c>
      <c r="AA73" t="s">
        <v>20</v>
      </c>
      <c r="AC73">
        <v>1.78</v>
      </c>
      <c r="AD73">
        <v>0.39400000000000002</v>
      </c>
      <c r="AE73">
        <v>0.16900000000000001</v>
      </c>
      <c r="AF73">
        <v>16.02</v>
      </c>
      <c r="AG73">
        <v>2.09</v>
      </c>
      <c r="AH73">
        <v>145</v>
      </c>
      <c r="AI73">
        <v>0.17</v>
      </c>
      <c r="AJ73" s="76">
        <f>-0.0042*T75+1.6859</f>
        <v>1.4222963963963964</v>
      </c>
      <c r="AK73" s="76">
        <f>AJ73</f>
        <v>1.4222963963963964</v>
      </c>
      <c r="AL73">
        <f t="shared" si="2"/>
        <v>34.177782405405402</v>
      </c>
    </row>
    <row r="74" spans="1:38" x14ac:dyDescent="0.15">
      <c r="A74" t="s">
        <v>589</v>
      </c>
      <c r="B74" t="s">
        <v>40</v>
      </c>
      <c r="C74" t="s">
        <v>63</v>
      </c>
      <c r="D74" t="s">
        <v>131</v>
      </c>
      <c r="E74" t="s">
        <v>91</v>
      </c>
      <c r="F74" t="s">
        <v>346</v>
      </c>
      <c r="G74" t="s">
        <v>40</v>
      </c>
      <c r="H74" t="s">
        <v>177</v>
      </c>
      <c r="I74">
        <v>3.75</v>
      </c>
      <c r="J74">
        <v>7.5</v>
      </c>
      <c r="K74">
        <v>0</v>
      </c>
      <c r="L74">
        <v>0</v>
      </c>
      <c r="M74">
        <v>1000</v>
      </c>
      <c r="N74">
        <v>999</v>
      </c>
      <c r="O74">
        <v>630</v>
      </c>
      <c r="P74">
        <v>263</v>
      </c>
      <c r="Q74">
        <v>74</v>
      </c>
      <c r="R74">
        <v>30</v>
      </c>
      <c r="S74">
        <v>2</v>
      </c>
      <c r="T74">
        <v>63.063063063063062</v>
      </c>
      <c r="U74">
        <v>33.733733733733736</v>
      </c>
      <c r="V74">
        <v>3.203203203203203</v>
      </c>
      <c r="W74">
        <v>-5.5866172751347305</v>
      </c>
      <c r="X74">
        <v>3.7476838300744917E-3</v>
      </c>
      <c r="Y74" t="s">
        <v>534</v>
      </c>
      <c r="Z74">
        <v>5.7</v>
      </c>
      <c r="AA74" t="s">
        <v>20</v>
      </c>
      <c r="AC74">
        <v>3</v>
      </c>
      <c r="AD74">
        <v>0.44400000000000001</v>
      </c>
      <c r="AE74">
        <v>0.26100000000000001</v>
      </c>
      <c r="AF74">
        <v>39.25</v>
      </c>
      <c r="AG74">
        <v>4.04</v>
      </c>
      <c r="AH74">
        <v>143</v>
      </c>
      <c r="AI74">
        <v>0.35</v>
      </c>
      <c r="AJ74" s="141">
        <f>AJ75-((AJ75-AJ77)/(I75-I77))*3.5</f>
        <v>0.9604340839984371</v>
      </c>
      <c r="AK74" s="141">
        <f>AK75-((AK75-AK77)/(I75-I77))*3.5</f>
        <v>1.058263823834684</v>
      </c>
      <c r="AL74">
        <f t="shared" si="2"/>
        <v>31.152641314133511</v>
      </c>
    </row>
    <row r="75" spans="1:38" x14ac:dyDescent="0.15">
      <c r="A75" t="s">
        <v>590</v>
      </c>
      <c r="B75" t="s">
        <v>40</v>
      </c>
      <c r="C75" t="s">
        <v>63</v>
      </c>
      <c r="D75" t="s">
        <v>131</v>
      </c>
      <c r="E75" t="s">
        <v>91</v>
      </c>
      <c r="F75" t="s">
        <v>346</v>
      </c>
      <c r="G75" t="s">
        <v>40</v>
      </c>
      <c r="H75" t="s">
        <v>175</v>
      </c>
      <c r="I75">
        <v>16.25</v>
      </c>
      <c r="J75">
        <f>25-7.5</f>
        <v>17.5</v>
      </c>
      <c r="K75">
        <v>0</v>
      </c>
      <c r="L75">
        <v>0</v>
      </c>
      <c r="M75">
        <v>1000</v>
      </c>
      <c r="N75">
        <v>999</v>
      </c>
      <c r="O75">
        <v>627</v>
      </c>
      <c r="P75">
        <v>279</v>
      </c>
      <c r="Q75">
        <v>67</v>
      </c>
      <c r="R75">
        <v>24</v>
      </c>
      <c r="S75">
        <v>2</v>
      </c>
      <c r="T75">
        <v>62.762762762762762</v>
      </c>
      <c r="U75">
        <v>34.634634634634637</v>
      </c>
      <c r="V75">
        <v>2.6026026026026026</v>
      </c>
      <c r="W75">
        <v>-5.5989013777445811</v>
      </c>
      <c r="X75">
        <v>3.7019285042836957E-3</v>
      </c>
      <c r="Y75" t="s">
        <v>534</v>
      </c>
      <c r="Z75">
        <v>5.6</v>
      </c>
      <c r="AA75" t="s">
        <v>20</v>
      </c>
      <c r="AC75">
        <v>2.99</v>
      </c>
      <c r="AD75">
        <v>0.46200000000000002</v>
      </c>
      <c r="AE75">
        <v>0.13800000000000001</v>
      </c>
      <c r="AF75">
        <v>31.15</v>
      </c>
      <c r="AG75">
        <v>3.36</v>
      </c>
      <c r="AH75">
        <v>139</v>
      </c>
      <c r="AI75">
        <v>0.26</v>
      </c>
      <c r="AJ75">
        <v>1.0016564780981838</v>
      </c>
      <c r="AK75">
        <v>1.09087227857778</v>
      </c>
      <c r="AL75">
        <f t="shared" si="2"/>
        <v>59.466175085971237</v>
      </c>
    </row>
    <row r="76" spans="1:38" x14ac:dyDescent="0.15">
      <c r="B76" s="76" t="str">
        <f>B75</f>
        <v>A-19-W</v>
      </c>
      <c r="C76" s="76" t="str">
        <f>C75</f>
        <v>Bodarna 3</v>
      </c>
      <c r="D76" s="76" t="str">
        <f>D75</f>
        <v>Bodarna</v>
      </c>
      <c r="E76" s="76" t="str">
        <f>E75</f>
        <v>Hasp</v>
      </c>
      <c r="F76" s="76" t="str">
        <f>F75</f>
        <v>W</v>
      </c>
      <c r="G76" s="76"/>
      <c r="H76" s="76" t="s">
        <v>176</v>
      </c>
      <c r="I76" s="76">
        <v>35</v>
      </c>
      <c r="J76" s="76">
        <f>45-25</f>
        <v>20</v>
      </c>
      <c r="AF76" s="154">
        <f>AF75+((AF75-AF77)/(I75-I77))*(I76-I75)</f>
        <v>24.782758620689656</v>
      </c>
      <c r="AJ76" s="154">
        <f>AJ75+((AJ75-AJ77)/(I75-I77))*(I76-I75)</f>
        <v>1.2224907322039695</v>
      </c>
      <c r="AK76" s="154">
        <f>AK75+((AK75-AK77)/(I75-I77))*(I76-I75)</f>
        <v>1.2655604289872229</v>
      </c>
      <c r="AL76">
        <f t="shared" si="2"/>
        <v>62.728157262973596</v>
      </c>
    </row>
    <row r="77" spans="1:38" x14ac:dyDescent="0.15">
      <c r="A77" t="s">
        <v>591</v>
      </c>
      <c r="B77" t="s">
        <v>40</v>
      </c>
      <c r="C77" t="s">
        <v>63</v>
      </c>
      <c r="D77" t="s">
        <v>131</v>
      </c>
      <c r="E77" t="s">
        <v>91</v>
      </c>
      <c r="F77" t="s">
        <v>346</v>
      </c>
      <c r="G77" t="s">
        <v>40</v>
      </c>
      <c r="H77" t="s">
        <v>21</v>
      </c>
      <c r="I77">
        <v>52.5</v>
      </c>
      <c r="J77">
        <f>60-45</f>
        <v>15</v>
      </c>
      <c r="K77">
        <v>0</v>
      </c>
      <c r="L77">
        <v>0</v>
      </c>
      <c r="M77">
        <v>1000</v>
      </c>
      <c r="N77">
        <v>999</v>
      </c>
      <c r="O77">
        <v>635</v>
      </c>
      <c r="P77">
        <v>307</v>
      </c>
      <c r="Q77">
        <v>52</v>
      </c>
      <c r="R77">
        <v>4</v>
      </c>
      <c r="S77">
        <v>1</v>
      </c>
      <c r="T77">
        <v>63.563563563563562</v>
      </c>
      <c r="U77">
        <v>35.935935935935937</v>
      </c>
      <c r="V77">
        <v>0.50050050050050054</v>
      </c>
      <c r="W77">
        <v>-5.7022308579535332</v>
      </c>
      <c r="X77">
        <v>3.3385094036089843E-3</v>
      </c>
      <c r="Y77" t="s">
        <v>534</v>
      </c>
      <c r="Z77">
        <v>5.8</v>
      </c>
      <c r="AA77" t="s">
        <v>20</v>
      </c>
      <c r="AC77">
        <v>2.2000000000000002</v>
      </c>
      <c r="AD77">
        <v>0.49399999999999999</v>
      </c>
      <c r="AE77">
        <v>0.17799999999999999</v>
      </c>
      <c r="AF77">
        <v>18.84</v>
      </c>
      <c r="AG77">
        <v>2.41</v>
      </c>
      <c r="AH77">
        <v>143</v>
      </c>
      <c r="AI77">
        <v>0.24</v>
      </c>
      <c r="AJ77" s="76">
        <f>-0.0042*T79+1.6859</f>
        <v>1.4286027027027028</v>
      </c>
      <c r="AK77" s="76">
        <f>AJ77</f>
        <v>1.4286027027027028</v>
      </c>
      <c r="AL77">
        <f t="shared" si="2"/>
        <v>40.372312378378389</v>
      </c>
    </row>
    <row r="78" spans="1:38" x14ac:dyDescent="0.15">
      <c r="A78" t="s">
        <v>592</v>
      </c>
      <c r="B78" t="s">
        <v>41</v>
      </c>
      <c r="C78" t="s">
        <v>64</v>
      </c>
      <c r="D78" t="s">
        <v>131</v>
      </c>
      <c r="E78" t="s">
        <v>91</v>
      </c>
      <c r="F78" t="s">
        <v>346</v>
      </c>
      <c r="G78" t="s">
        <v>41</v>
      </c>
      <c r="H78" t="s">
        <v>177</v>
      </c>
      <c r="I78">
        <v>3.75</v>
      </c>
      <c r="J78">
        <v>7.5</v>
      </c>
      <c r="K78">
        <v>0</v>
      </c>
      <c r="L78">
        <v>0</v>
      </c>
      <c r="M78">
        <v>1000</v>
      </c>
      <c r="N78">
        <v>999</v>
      </c>
      <c r="O78">
        <v>600</v>
      </c>
      <c r="P78">
        <v>269</v>
      </c>
      <c r="Q78">
        <v>75</v>
      </c>
      <c r="R78">
        <v>53</v>
      </c>
      <c r="S78">
        <v>2</v>
      </c>
      <c r="T78">
        <v>60.06006006006006</v>
      </c>
      <c r="U78">
        <v>34.434434434434436</v>
      </c>
      <c r="V78">
        <v>5.5055055055055053</v>
      </c>
      <c r="W78">
        <v>-5.4041818624497271</v>
      </c>
      <c r="X78">
        <v>4.4977326602978112E-3</v>
      </c>
      <c r="Y78" t="s">
        <v>534</v>
      </c>
      <c r="Z78">
        <v>6</v>
      </c>
      <c r="AA78" t="s">
        <v>20</v>
      </c>
      <c r="AC78">
        <v>3.49</v>
      </c>
      <c r="AD78">
        <v>0.36699999999999999</v>
      </c>
      <c r="AE78">
        <v>0.26300000000000001</v>
      </c>
      <c r="AF78">
        <v>35.86</v>
      </c>
      <c r="AG78">
        <v>3.87</v>
      </c>
      <c r="AH78">
        <v>149</v>
      </c>
      <c r="AI78">
        <v>0.42</v>
      </c>
      <c r="AJ78" s="141">
        <f>AJ79-((AJ79-AJ81)/(I79-I81))*3.5</f>
        <v>0.93367731611192029</v>
      </c>
      <c r="AK78" s="141">
        <f>AK79-((AK79-AK81)/(I79-I81))*3.5</f>
        <v>1.0330353217206369</v>
      </c>
      <c r="AL78">
        <f t="shared" si="2"/>
        <v>27.78348497767653</v>
      </c>
    </row>
    <row r="79" spans="1:38" x14ac:dyDescent="0.15">
      <c r="A79" t="s">
        <v>593</v>
      </c>
      <c r="B79" t="s">
        <v>41</v>
      </c>
      <c r="C79" t="s">
        <v>64</v>
      </c>
      <c r="D79" t="s">
        <v>131</v>
      </c>
      <c r="E79" t="s">
        <v>91</v>
      </c>
      <c r="F79" t="s">
        <v>346</v>
      </c>
      <c r="G79" t="s">
        <v>41</v>
      </c>
      <c r="H79" t="s">
        <v>175</v>
      </c>
      <c r="I79">
        <v>16.25</v>
      </c>
      <c r="J79">
        <f>25-7.5</f>
        <v>17.5</v>
      </c>
      <c r="K79">
        <v>0</v>
      </c>
      <c r="L79">
        <v>0</v>
      </c>
      <c r="M79">
        <v>1000</v>
      </c>
      <c r="N79">
        <v>999</v>
      </c>
      <c r="O79">
        <v>612</v>
      </c>
      <c r="P79">
        <v>274</v>
      </c>
      <c r="Q79">
        <v>67</v>
      </c>
      <c r="R79">
        <v>44</v>
      </c>
      <c r="S79">
        <v>2</v>
      </c>
      <c r="T79">
        <v>61.261261261261254</v>
      </c>
      <c r="U79">
        <v>34.134134134134136</v>
      </c>
      <c r="V79">
        <v>4.6046046046046047</v>
      </c>
      <c r="W79">
        <v>-5.4764204216471404</v>
      </c>
      <c r="X79">
        <v>4.184280883742654E-3</v>
      </c>
      <c r="Y79" t="s">
        <v>534</v>
      </c>
      <c r="Z79">
        <v>5.9</v>
      </c>
      <c r="AA79" t="s">
        <v>20</v>
      </c>
      <c r="AC79">
        <v>3.86</v>
      </c>
      <c r="AD79">
        <v>0.33400000000000002</v>
      </c>
      <c r="AE79">
        <v>0.14799999999999999</v>
      </c>
      <c r="AF79">
        <v>32.32</v>
      </c>
      <c r="AG79">
        <v>3.51</v>
      </c>
      <c r="AH79">
        <v>151</v>
      </c>
      <c r="AI79">
        <v>0.48</v>
      </c>
      <c r="AJ79">
        <v>0.99991075997627954</v>
      </c>
      <c r="AK79">
        <v>1.0905202619464929</v>
      </c>
      <c r="AL79">
        <f t="shared" si="2"/>
        <v>61.679826015693635</v>
      </c>
    </row>
    <row r="80" spans="1:38" x14ac:dyDescent="0.15">
      <c r="B80" s="76" t="str">
        <f>B79</f>
        <v>A-20-W</v>
      </c>
      <c r="C80" s="76" t="str">
        <f>C79</f>
        <v>Bodarna 4</v>
      </c>
      <c r="D80" s="76" t="str">
        <f>D79</f>
        <v>Bodarna</v>
      </c>
      <c r="E80" s="76" t="str">
        <f>E79</f>
        <v>Hasp</v>
      </c>
      <c r="F80" s="76" t="str">
        <f>F79</f>
        <v>W</v>
      </c>
      <c r="G80" s="76"/>
      <c r="H80" s="76" t="s">
        <v>176</v>
      </c>
      <c r="I80" s="76">
        <v>35</v>
      </c>
      <c r="J80" s="76">
        <f>45-25</f>
        <v>20</v>
      </c>
      <c r="AF80" s="154">
        <f>AF79+((AF79-AF81)/(I79-I81))*(I80-I79)</f>
        <v>22.895862068965521</v>
      </c>
      <c r="AJ80" s="154">
        <f>AJ79+((AJ79-AJ81)/(I79-I81))*(I80-I79)</f>
        <v>1.3547327806782039</v>
      </c>
      <c r="AK80" s="154">
        <f>AK79+((AK79-AK81)/(I79-I81))*(I80-I79)</f>
        <v>1.3984752988707208</v>
      </c>
      <c r="AL80">
        <f t="shared" si="2"/>
        <v>64.038595099598709</v>
      </c>
    </row>
    <row r="81" spans="1:38" x14ac:dyDescent="0.15">
      <c r="A81" t="s">
        <v>594</v>
      </c>
      <c r="B81" t="s">
        <v>41</v>
      </c>
      <c r="C81" t="s">
        <v>64</v>
      </c>
      <c r="D81" t="s">
        <v>131</v>
      </c>
      <c r="E81" t="s">
        <v>91</v>
      </c>
      <c r="F81" t="s">
        <v>346</v>
      </c>
      <c r="G81" t="s">
        <v>41</v>
      </c>
      <c r="H81" t="s">
        <v>21</v>
      </c>
      <c r="I81">
        <v>52.5</v>
      </c>
      <c r="J81">
        <f>60-45</f>
        <v>15</v>
      </c>
      <c r="K81">
        <v>0</v>
      </c>
      <c r="L81">
        <v>6</v>
      </c>
      <c r="M81">
        <v>994</v>
      </c>
      <c r="N81">
        <v>999</v>
      </c>
      <c r="O81">
        <v>521</v>
      </c>
      <c r="P81">
        <v>257</v>
      </c>
      <c r="Q81">
        <v>154</v>
      </c>
      <c r="R81">
        <v>65</v>
      </c>
      <c r="S81">
        <v>2</v>
      </c>
      <c r="T81">
        <v>52.152152152152155</v>
      </c>
      <c r="U81">
        <v>41.141141141141141</v>
      </c>
      <c r="V81">
        <v>6.706706706706707</v>
      </c>
      <c r="W81">
        <v>-5.102398236077045</v>
      </c>
      <c r="X81">
        <v>6.0821426467715951E-3</v>
      </c>
      <c r="Y81" t="s">
        <v>534</v>
      </c>
      <c r="Z81">
        <v>6.4</v>
      </c>
      <c r="AA81" t="s">
        <v>20</v>
      </c>
      <c r="AC81">
        <v>2.75</v>
      </c>
      <c r="AD81">
        <v>0.32300000000000001</v>
      </c>
      <c r="AE81">
        <v>0.12</v>
      </c>
      <c r="AF81">
        <v>14.1</v>
      </c>
      <c r="AG81">
        <v>1.79</v>
      </c>
      <c r="AH81">
        <v>128</v>
      </c>
      <c r="AI81">
        <v>0.18</v>
      </c>
      <c r="AJ81" s="76">
        <f>-0.0042*T83+1.6859</f>
        <v>1.6859</v>
      </c>
      <c r="AK81" s="76">
        <f>AJ81</f>
        <v>1.6859</v>
      </c>
      <c r="AL81">
        <f t="shared" si="2"/>
        <v>35.656784999999999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workbookViewId="0">
      <pane xSplit="8" ySplit="1" topLeftCell="AH26" activePane="bottomRight" state="frozen"/>
      <selection pane="topRight" activeCell="I1" sqref="I1"/>
      <selection pane="bottomLeft" activeCell="A2" sqref="A2"/>
      <selection pane="bottomRight" activeCell="AS26" sqref="AS26"/>
    </sheetView>
  </sheetViews>
  <sheetFormatPr defaultRowHeight="10.5" x14ac:dyDescent="0.15"/>
  <cols>
    <col min="7" max="7" width="28.1640625" customWidth="1"/>
  </cols>
  <sheetData>
    <row r="1" spans="1:40" ht="15" x14ac:dyDescent="0.25">
      <c r="B1" t="s">
        <v>521</v>
      </c>
      <c r="C1" t="s">
        <v>522</v>
      </c>
      <c r="D1" t="s">
        <v>65</v>
      </c>
      <c r="E1" t="s">
        <v>435</v>
      </c>
      <c r="F1" t="s">
        <v>537</v>
      </c>
      <c r="G1" t="s">
        <v>410</v>
      </c>
      <c r="H1" t="s">
        <v>0</v>
      </c>
      <c r="I1" t="s">
        <v>517</v>
      </c>
      <c r="J1" t="s">
        <v>598</v>
      </c>
      <c r="K1" t="s">
        <v>2</v>
      </c>
      <c r="L1" t="s">
        <v>1</v>
      </c>
      <c r="M1" t="s">
        <v>3</v>
      </c>
      <c r="N1" t="s">
        <v>523</v>
      </c>
      <c r="O1" t="s">
        <v>4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598</v>
      </c>
      <c r="W1" t="s">
        <v>530</v>
      </c>
      <c r="X1" t="s">
        <v>104</v>
      </c>
      <c r="Y1" t="s">
        <v>105</v>
      </c>
      <c r="Z1" t="s">
        <v>109</v>
      </c>
      <c r="AA1" t="s">
        <v>9</v>
      </c>
      <c r="AB1" t="s">
        <v>10</v>
      </c>
      <c r="AC1" t="s">
        <v>531</v>
      </c>
      <c r="AD1" t="s">
        <v>12</v>
      </c>
      <c r="AE1" t="s">
        <v>13</v>
      </c>
      <c r="AF1" t="s">
        <v>14</v>
      </c>
      <c r="AG1" t="s">
        <v>605</v>
      </c>
      <c r="AH1" t="s">
        <v>532</v>
      </c>
      <c r="AI1" t="s">
        <v>17</v>
      </c>
      <c r="AJ1" t="s">
        <v>18</v>
      </c>
      <c r="AK1" t="s">
        <v>595</v>
      </c>
      <c r="AL1" t="s">
        <v>596</v>
      </c>
      <c r="AM1" t="s">
        <v>599</v>
      </c>
      <c r="AN1" s="159" t="s">
        <v>606</v>
      </c>
    </row>
    <row r="2" spans="1:40" ht="15" x14ac:dyDescent="0.25">
      <c r="A2" t="s">
        <v>535</v>
      </c>
      <c r="B2" t="s">
        <v>66</v>
      </c>
      <c r="C2" t="s">
        <v>179</v>
      </c>
      <c r="D2" t="s">
        <v>95</v>
      </c>
      <c r="E2" t="s">
        <v>111</v>
      </c>
      <c r="F2" t="s">
        <v>348</v>
      </c>
      <c r="G2" t="s">
        <v>399</v>
      </c>
      <c r="H2" t="s">
        <v>177</v>
      </c>
      <c r="I2">
        <v>3.75</v>
      </c>
      <c r="J2">
        <v>7.5</v>
      </c>
      <c r="K2">
        <v>22</v>
      </c>
      <c r="L2">
        <v>45</v>
      </c>
      <c r="M2">
        <v>933</v>
      </c>
      <c r="N2">
        <v>999</v>
      </c>
      <c r="O2">
        <v>69</v>
      </c>
      <c r="P2">
        <v>66</v>
      </c>
      <c r="Q2">
        <v>56</v>
      </c>
      <c r="R2">
        <v>279</v>
      </c>
      <c r="S2">
        <v>529</v>
      </c>
      <c r="T2">
        <v>6.9069069069069062</v>
      </c>
      <c r="U2">
        <v>12.212212212212211</v>
      </c>
      <c r="V2">
        <v>7.5</v>
      </c>
      <c r="W2">
        <v>80.880880880880881</v>
      </c>
      <c r="X2">
        <v>-0.90284469436831549</v>
      </c>
      <c r="Y2">
        <v>0.40541473679943085</v>
      </c>
      <c r="Z2" t="s">
        <v>534</v>
      </c>
      <c r="AA2">
        <v>5.5</v>
      </c>
      <c r="AB2" t="s">
        <v>20</v>
      </c>
      <c r="AC2">
        <v>0.108</v>
      </c>
      <c r="AD2">
        <v>0.98</v>
      </c>
      <c r="AE2">
        <v>2.3E-2</v>
      </c>
      <c r="AF2">
        <v>6.4000000000000001E-2</v>
      </c>
      <c r="AG2">
        <v>12.58</v>
      </c>
      <c r="AH2">
        <v>1.1399999999999999</v>
      </c>
      <c r="AI2">
        <v>42.8</v>
      </c>
      <c r="AJ2">
        <v>0.23</v>
      </c>
      <c r="AK2" s="141">
        <f>AK3-((AK3-AK5)/(I3-I5))*3.5</f>
        <v>1.1332942147463552</v>
      </c>
      <c r="AL2" s="141">
        <f>AL3-((AL3-AL5)/(I3-I5))*3.5</f>
        <v>1.3031871528940344</v>
      </c>
      <c r="AM2">
        <f t="shared" ref="AM2:AM17" si="0">AL2*AG2*0.1*I2</f>
        <v>6.1477853937776068</v>
      </c>
      <c r="AN2" s="82">
        <f>AL2*AG2*0.1*J2</f>
        <v>12.295570787555214</v>
      </c>
    </row>
    <row r="3" spans="1:40" ht="15" x14ac:dyDescent="0.25">
      <c r="A3" t="s">
        <v>474</v>
      </c>
      <c r="B3" t="s">
        <v>66</v>
      </c>
      <c r="C3" t="s">
        <v>179</v>
      </c>
      <c r="D3" t="s">
        <v>95</v>
      </c>
      <c r="E3" t="s">
        <v>111</v>
      </c>
      <c r="F3" t="s">
        <v>348</v>
      </c>
      <c r="G3" t="s">
        <v>399</v>
      </c>
      <c r="H3" t="s">
        <v>175</v>
      </c>
      <c r="I3">
        <v>16.25</v>
      </c>
      <c r="J3">
        <f>25-7.5</f>
        <v>17.5</v>
      </c>
      <c r="K3">
        <v>26</v>
      </c>
      <c r="L3">
        <v>58</v>
      </c>
      <c r="M3">
        <v>916</v>
      </c>
      <c r="N3">
        <v>999</v>
      </c>
      <c r="O3">
        <v>58</v>
      </c>
      <c r="P3">
        <v>68</v>
      </c>
      <c r="Q3">
        <v>44</v>
      </c>
      <c r="R3">
        <v>269</v>
      </c>
      <c r="S3">
        <v>560</v>
      </c>
      <c r="T3">
        <v>5.8058058058058064</v>
      </c>
      <c r="U3">
        <v>11.211211211211211</v>
      </c>
      <c r="V3">
        <f>25-7.5</f>
        <v>17.5</v>
      </c>
      <c r="W3">
        <v>82.982982982982975</v>
      </c>
      <c r="X3">
        <v>-0.78973114047161119</v>
      </c>
      <c r="Y3">
        <v>0.45396683218463402</v>
      </c>
      <c r="Z3" t="s">
        <v>534</v>
      </c>
      <c r="AA3">
        <v>5.6</v>
      </c>
      <c r="AB3" t="s">
        <v>20</v>
      </c>
      <c r="AC3">
        <v>0.11700000000000001</v>
      </c>
      <c r="AD3">
        <v>0.53</v>
      </c>
      <c r="AE3">
        <v>0.22</v>
      </c>
      <c r="AF3">
        <v>8.3000000000000004E-2</v>
      </c>
      <c r="AG3">
        <v>10.83</v>
      </c>
      <c r="AH3">
        <v>1.01</v>
      </c>
      <c r="AI3">
        <v>41.6</v>
      </c>
      <c r="AJ3">
        <v>0.22</v>
      </c>
      <c r="AK3">
        <v>1.1775091498862591</v>
      </c>
      <c r="AL3">
        <v>1.332442961404583</v>
      </c>
      <c r="AM3">
        <f t="shared" si="0"/>
        <v>23.449330567018905</v>
      </c>
      <c r="AN3" s="82">
        <f t="shared" ref="AN3:AN57" si="1">AL3*AG3*0.1*J3</f>
        <v>25.253125226020359</v>
      </c>
    </row>
    <row r="4" spans="1:40" ht="15" x14ac:dyDescent="0.25">
      <c r="A4" s="76"/>
      <c r="B4" s="76" t="str">
        <f>B3</f>
        <v>S-01-A</v>
      </c>
      <c r="C4" s="76" t="str">
        <f>C3</f>
        <v>Sångletorp</v>
      </c>
      <c r="D4" s="76" t="str">
        <f>D3</f>
        <v>Spring Rye</v>
      </c>
      <c r="E4" s="76" t="str">
        <f>E3</f>
        <v>Agr</v>
      </c>
      <c r="F4" s="76" t="str">
        <f>F3</f>
        <v>A</v>
      </c>
      <c r="H4" s="76" t="s">
        <v>176</v>
      </c>
      <c r="I4" s="76">
        <v>35</v>
      </c>
      <c r="J4" s="76">
        <f>45-25</f>
        <v>20</v>
      </c>
      <c r="V4" s="76">
        <f>45-25</f>
        <v>20</v>
      </c>
      <c r="AG4" s="154">
        <f>AG3+((AG3-AG5)/(I3-I5))*(I4-I3)</f>
        <v>6.7386206896551721</v>
      </c>
      <c r="AK4" s="154">
        <f>AK3+((AK3-AK5)/(I3-I5))*(I4-I3)</f>
        <v>1.4143748738500301</v>
      </c>
      <c r="AL4" s="154">
        <f>AL3+((AL3-AL5)/(I3-I5))*(I4-I3)</f>
        <v>1.4891705069968071</v>
      </c>
      <c r="AM4">
        <f t="shared" si="0"/>
        <v>35.122343161055383</v>
      </c>
      <c r="AN4" s="82">
        <f t="shared" si="1"/>
        <v>20.069910377745934</v>
      </c>
    </row>
    <row r="5" spans="1:40" ht="15" x14ac:dyDescent="0.25">
      <c r="A5" t="s">
        <v>540</v>
      </c>
      <c r="B5" t="s">
        <v>66</v>
      </c>
      <c r="C5" t="s">
        <v>179</v>
      </c>
      <c r="D5" t="s">
        <v>95</v>
      </c>
      <c r="E5" t="s">
        <v>111</v>
      </c>
      <c r="F5" t="s">
        <v>348</v>
      </c>
      <c r="G5" t="s">
        <v>399</v>
      </c>
      <c r="H5" t="s">
        <v>21</v>
      </c>
      <c r="I5">
        <v>52.5</v>
      </c>
      <c r="J5">
        <f>60-45</f>
        <v>15</v>
      </c>
      <c r="K5">
        <v>33</v>
      </c>
      <c r="L5">
        <v>56</v>
      </c>
      <c r="M5">
        <v>910</v>
      </c>
      <c r="N5">
        <v>999</v>
      </c>
      <c r="O5">
        <v>68</v>
      </c>
      <c r="P5">
        <v>105</v>
      </c>
      <c r="Q5">
        <v>74</v>
      </c>
      <c r="R5">
        <v>218</v>
      </c>
      <c r="S5">
        <v>534</v>
      </c>
      <c r="T5">
        <v>6.8068068068068071</v>
      </c>
      <c r="U5">
        <v>17.917917917917915</v>
      </c>
      <c r="V5">
        <f>60-45</f>
        <v>15</v>
      </c>
      <c r="W5">
        <v>75.275275275275277</v>
      </c>
      <c r="X5">
        <v>-1.1055529819167</v>
      </c>
      <c r="Y5">
        <v>0.33102777924447607</v>
      </c>
      <c r="Z5" t="s">
        <v>534</v>
      </c>
      <c r="AA5">
        <v>6.6</v>
      </c>
      <c r="AB5" t="s">
        <v>20</v>
      </c>
      <c r="AC5">
        <v>2.4E-2</v>
      </c>
      <c r="AD5">
        <v>0.52</v>
      </c>
      <c r="AE5">
        <v>1.4E-2</v>
      </c>
      <c r="AF5">
        <v>6.8000000000000005E-2</v>
      </c>
      <c r="AG5">
        <v>2.92</v>
      </c>
      <c r="AH5">
        <v>0.28999999999999998</v>
      </c>
      <c r="AI5">
        <v>37.5</v>
      </c>
      <c r="AJ5">
        <v>0.13</v>
      </c>
      <c r="AK5" s="76">
        <f>-0.0042*T7+1.6859</f>
        <v>1.6354495495495496</v>
      </c>
      <c r="AL5" s="76">
        <f>AK5</f>
        <v>1.6354495495495496</v>
      </c>
      <c r="AM5">
        <f t="shared" si="0"/>
        <v>25.071441594594596</v>
      </c>
      <c r="AN5" s="82">
        <f t="shared" si="1"/>
        <v>7.1632690270270274</v>
      </c>
    </row>
    <row r="6" spans="1:40" ht="15" x14ac:dyDescent="0.25">
      <c r="A6" t="s">
        <v>541</v>
      </c>
      <c r="B6" t="s">
        <v>67</v>
      </c>
      <c r="C6" t="s">
        <v>179</v>
      </c>
      <c r="D6" t="s">
        <v>94</v>
      </c>
      <c r="E6" t="s">
        <v>111</v>
      </c>
      <c r="F6" t="s">
        <v>348</v>
      </c>
      <c r="G6" t="s">
        <v>399</v>
      </c>
      <c r="H6" t="s">
        <v>177</v>
      </c>
      <c r="I6">
        <v>3.75</v>
      </c>
      <c r="J6">
        <v>7.5</v>
      </c>
      <c r="K6">
        <v>6</v>
      </c>
      <c r="L6">
        <v>37</v>
      </c>
      <c r="M6">
        <v>957</v>
      </c>
      <c r="N6">
        <v>999</v>
      </c>
      <c r="O6">
        <v>113</v>
      </c>
      <c r="P6">
        <v>134</v>
      </c>
      <c r="Q6">
        <v>105</v>
      </c>
      <c r="R6">
        <v>294</v>
      </c>
      <c r="S6">
        <v>353</v>
      </c>
      <c r="T6">
        <v>11.311311311311311</v>
      </c>
      <c r="U6">
        <v>23.923923923923923</v>
      </c>
      <c r="V6">
        <v>7.5</v>
      </c>
      <c r="W6">
        <v>64.764764764764763</v>
      </c>
      <c r="X6">
        <v>-1.6385071724410489</v>
      </c>
      <c r="Y6">
        <v>0.19426983729707792</v>
      </c>
      <c r="Z6" t="s">
        <v>534</v>
      </c>
      <c r="AA6">
        <v>6.7</v>
      </c>
      <c r="AB6" t="s">
        <v>20</v>
      </c>
      <c r="AC6">
        <v>7.0999999999999994E-2</v>
      </c>
      <c r="AD6">
        <v>1.55</v>
      </c>
      <c r="AE6">
        <v>4.9000000000000002E-2</v>
      </c>
      <c r="AF6">
        <v>0.107</v>
      </c>
      <c r="AG6">
        <v>18.34</v>
      </c>
      <c r="AH6">
        <v>1.7</v>
      </c>
      <c r="AI6">
        <v>56.3</v>
      </c>
      <c r="AJ6">
        <v>0.28999999999999998</v>
      </c>
      <c r="AK6" s="141">
        <f>AK7-((AK7-AK9)/(I7-I9))*3.5</f>
        <v>1.0811391143835787</v>
      </c>
      <c r="AL6" s="141">
        <f>AL7-((AL7-AL9)/(I7-I9))*3.5</f>
        <v>1.2224171783882285</v>
      </c>
      <c r="AM6">
        <f t="shared" si="0"/>
        <v>8.4071741443650421</v>
      </c>
      <c r="AN6" s="82">
        <f t="shared" si="1"/>
        <v>16.814348288730084</v>
      </c>
    </row>
    <row r="7" spans="1:40" ht="15" x14ac:dyDescent="0.25">
      <c r="A7" t="s">
        <v>542</v>
      </c>
      <c r="B7" t="s">
        <v>67</v>
      </c>
      <c r="C7" t="s">
        <v>179</v>
      </c>
      <c r="D7" t="s">
        <v>94</v>
      </c>
      <c r="E7" t="s">
        <v>111</v>
      </c>
      <c r="F7" t="s">
        <v>348</v>
      </c>
      <c r="G7" t="s">
        <v>399</v>
      </c>
      <c r="H7" t="s">
        <v>175</v>
      </c>
      <c r="I7">
        <v>16.25</v>
      </c>
      <c r="J7">
        <v>17.5</v>
      </c>
      <c r="K7">
        <v>5</v>
      </c>
      <c r="L7">
        <v>64</v>
      </c>
      <c r="M7">
        <v>931</v>
      </c>
      <c r="N7">
        <v>999</v>
      </c>
      <c r="O7">
        <v>120</v>
      </c>
      <c r="P7">
        <v>122</v>
      </c>
      <c r="Q7">
        <v>94</v>
      </c>
      <c r="R7">
        <v>278</v>
      </c>
      <c r="S7">
        <v>385</v>
      </c>
      <c r="T7">
        <v>12.012012012012011</v>
      </c>
      <c r="U7">
        <v>21.621621621621621</v>
      </c>
      <c r="V7">
        <f>25-7.5</f>
        <v>17.5</v>
      </c>
      <c r="W7">
        <v>66.366366366366364</v>
      </c>
      <c r="X7">
        <v>-1.6024882075855271</v>
      </c>
      <c r="Y7">
        <v>0.20139478201758296</v>
      </c>
      <c r="Z7" t="s">
        <v>534</v>
      </c>
      <c r="AA7">
        <v>6.9</v>
      </c>
      <c r="AB7" t="s">
        <v>20</v>
      </c>
      <c r="AC7">
        <v>7.8E-2</v>
      </c>
      <c r="AD7">
        <v>1.71</v>
      </c>
      <c r="AE7">
        <v>4.4999999999999998E-2</v>
      </c>
      <c r="AF7">
        <v>0.127</v>
      </c>
      <c r="AG7">
        <v>18.38</v>
      </c>
      <c r="AH7">
        <v>1.68</v>
      </c>
      <c r="AI7">
        <v>59.4</v>
      </c>
      <c r="AJ7">
        <v>0.31</v>
      </c>
      <c r="AK7">
        <v>1.1303905403141083</v>
      </c>
      <c r="AL7">
        <v>1.2592290263560846</v>
      </c>
      <c r="AM7">
        <f t="shared" si="0"/>
        <v>37.610022944690357</v>
      </c>
      <c r="AN7" s="82">
        <f t="shared" si="1"/>
        <v>40.503101632743466</v>
      </c>
    </row>
    <row r="8" spans="1:40" ht="15" x14ac:dyDescent="0.25">
      <c r="A8" s="76"/>
      <c r="B8" s="76" t="str">
        <f>B7</f>
        <v>S-02-A</v>
      </c>
      <c r="C8" s="76" t="str">
        <f>C7</f>
        <v>Sångletorp</v>
      </c>
      <c r="D8" s="76" t="str">
        <f>D7</f>
        <v>Spring wheat</v>
      </c>
      <c r="E8" s="76" t="str">
        <f>E7</f>
        <v>Agr</v>
      </c>
      <c r="F8" s="76" t="str">
        <f>F7</f>
        <v>A</v>
      </c>
      <c r="H8" s="76" t="s">
        <v>176</v>
      </c>
      <c r="I8" s="76">
        <v>35</v>
      </c>
      <c r="J8" s="76">
        <v>20</v>
      </c>
      <c r="V8" s="76">
        <f>45-25</f>
        <v>20</v>
      </c>
      <c r="AG8" s="154">
        <f>AG7+((AG7-AG9)/(I7-I9))*(I8-I7)</f>
        <v>9.876551724137931</v>
      </c>
      <c r="AK8" s="154">
        <f>AK7+((AK7-AK9)/(I7-I9))*(I8-I7)</f>
        <v>1.394237464941946</v>
      </c>
      <c r="AL8" s="154">
        <f>AL7+((AL7-AL9)/(I7-I9))*(I8-I7)</f>
        <v>1.4564353547553139</v>
      </c>
      <c r="AM8">
        <f t="shared" si="0"/>
        <v>50.345956899364126</v>
      </c>
      <c r="AN8" s="82">
        <f t="shared" si="1"/>
        <v>28.769118228208072</v>
      </c>
    </row>
    <row r="9" spans="1:40" ht="15" x14ac:dyDescent="0.25">
      <c r="A9" t="s">
        <v>475</v>
      </c>
      <c r="B9" t="s">
        <v>67</v>
      </c>
      <c r="C9" t="s">
        <v>179</v>
      </c>
      <c r="D9" t="s">
        <v>94</v>
      </c>
      <c r="E9" t="s">
        <v>111</v>
      </c>
      <c r="F9" t="s">
        <v>348</v>
      </c>
      <c r="G9" t="s">
        <v>399</v>
      </c>
      <c r="H9" t="s">
        <v>21</v>
      </c>
      <c r="I9">
        <v>52.5</v>
      </c>
      <c r="J9">
        <v>15</v>
      </c>
      <c r="K9">
        <v>17</v>
      </c>
      <c r="L9">
        <v>16</v>
      </c>
      <c r="M9">
        <v>966</v>
      </c>
      <c r="N9">
        <v>999</v>
      </c>
      <c r="O9">
        <v>171</v>
      </c>
      <c r="P9">
        <v>137</v>
      </c>
      <c r="Q9">
        <v>156</v>
      </c>
      <c r="R9">
        <v>286</v>
      </c>
      <c r="S9">
        <v>249</v>
      </c>
      <c r="T9">
        <v>17.117117117117118</v>
      </c>
      <c r="U9">
        <v>29.32932932932933</v>
      </c>
      <c r="V9">
        <f>60-45</f>
        <v>15</v>
      </c>
      <c r="W9">
        <v>53.553553553553556</v>
      </c>
      <c r="X9">
        <v>-2.2396052212928614</v>
      </c>
      <c r="Y9">
        <v>0.10650054022685841</v>
      </c>
      <c r="Z9" t="s">
        <v>534</v>
      </c>
      <c r="AA9">
        <v>7.6</v>
      </c>
      <c r="AB9" t="s">
        <v>20</v>
      </c>
      <c r="AC9">
        <v>0.01</v>
      </c>
      <c r="AD9">
        <v>2.14</v>
      </c>
      <c r="AE9">
        <v>9.1999999999999998E-2</v>
      </c>
      <c r="AF9">
        <v>0.107</v>
      </c>
      <c r="AG9">
        <v>1.94</v>
      </c>
      <c r="AH9">
        <v>0.28999999999999998</v>
      </c>
      <c r="AI9">
        <v>50.5</v>
      </c>
      <c r="AJ9">
        <v>0.16</v>
      </c>
      <c r="AK9" s="76">
        <f>-0.0042*T11+1.6859</f>
        <v>1.6404945945945946</v>
      </c>
      <c r="AL9" s="76">
        <f>AK9</f>
        <v>1.6404945945945946</v>
      </c>
      <c r="AM9">
        <f t="shared" si="0"/>
        <v>16.708437445945947</v>
      </c>
      <c r="AN9" s="82">
        <f t="shared" si="1"/>
        <v>4.7738392702702708</v>
      </c>
    </row>
    <row r="10" spans="1:40" ht="15" x14ac:dyDescent="0.25">
      <c r="A10" t="s">
        <v>543</v>
      </c>
      <c r="B10" t="s">
        <v>68</v>
      </c>
      <c r="C10" t="s">
        <v>179</v>
      </c>
      <c r="D10" t="s">
        <v>93</v>
      </c>
      <c r="E10" t="s">
        <v>407</v>
      </c>
      <c r="F10" t="s">
        <v>348</v>
      </c>
      <c r="G10" t="s">
        <v>597</v>
      </c>
      <c r="H10" t="s">
        <v>177</v>
      </c>
      <c r="I10">
        <v>3.75</v>
      </c>
      <c r="J10">
        <v>7.5</v>
      </c>
      <c r="K10">
        <v>7</v>
      </c>
      <c r="L10">
        <v>64</v>
      </c>
      <c r="M10">
        <v>929</v>
      </c>
      <c r="N10">
        <v>999</v>
      </c>
      <c r="O10">
        <v>121</v>
      </c>
      <c r="P10">
        <v>135</v>
      </c>
      <c r="Q10">
        <v>82</v>
      </c>
      <c r="R10">
        <v>227</v>
      </c>
      <c r="S10">
        <v>434</v>
      </c>
      <c r="T10">
        <v>12.112112112112113</v>
      </c>
      <c r="U10">
        <v>21.721721721721721</v>
      </c>
      <c r="V10">
        <v>7.5</v>
      </c>
      <c r="W10">
        <v>66.166166166166164</v>
      </c>
      <c r="X10">
        <v>-1.6131056242473127</v>
      </c>
      <c r="Y10">
        <v>0.19926780120524348</v>
      </c>
      <c r="Z10" t="s">
        <v>534</v>
      </c>
      <c r="AA10">
        <v>6.9</v>
      </c>
      <c r="AB10" t="s">
        <v>20</v>
      </c>
      <c r="AC10">
        <v>9.9000000000000005E-2</v>
      </c>
      <c r="AD10">
        <v>1.51</v>
      </c>
      <c r="AE10">
        <v>4.3999999999999997E-2</v>
      </c>
      <c r="AF10">
        <v>0.21299999999999999</v>
      </c>
      <c r="AG10">
        <v>16.66</v>
      </c>
      <c r="AH10">
        <v>1.53</v>
      </c>
      <c r="AI10">
        <v>54.5</v>
      </c>
      <c r="AJ10">
        <v>0.28999999999999998</v>
      </c>
      <c r="AK10" s="141">
        <f>AK11-((AK11-AK13)/(I11-I13))*3.5</f>
        <v>1.3123446156320571</v>
      </c>
      <c r="AL10" s="141">
        <f>AL11-((AL11-AL13)/(I11-I13))*3.5</f>
        <v>1.303920729662285</v>
      </c>
      <c r="AM10">
        <f t="shared" si="0"/>
        <v>8.1462447585651265</v>
      </c>
      <c r="AN10" s="82">
        <f t="shared" si="1"/>
        <v>16.292489517130253</v>
      </c>
    </row>
    <row r="11" spans="1:40" ht="15" x14ac:dyDescent="0.25">
      <c r="A11" t="s">
        <v>544</v>
      </c>
      <c r="B11" t="s">
        <v>68</v>
      </c>
      <c r="C11" t="s">
        <v>179</v>
      </c>
      <c r="D11" t="s">
        <v>93</v>
      </c>
      <c r="E11" t="s">
        <v>407</v>
      </c>
      <c r="F11" t="s">
        <v>348</v>
      </c>
      <c r="G11" t="s">
        <v>597</v>
      </c>
      <c r="H11" t="s">
        <v>175</v>
      </c>
      <c r="I11">
        <v>16.25</v>
      </c>
      <c r="J11">
        <v>17.5</v>
      </c>
      <c r="K11">
        <v>5</v>
      </c>
      <c r="L11">
        <v>28</v>
      </c>
      <c r="M11">
        <v>967</v>
      </c>
      <c r="N11">
        <v>999</v>
      </c>
      <c r="O11">
        <v>108</v>
      </c>
      <c r="P11">
        <v>125</v>
      </c>
      <c r="Q11">
        <v>80</v>
      </c>
      <c r="R11">
        <v>210</v>
      </c>
      <c r="S11">
        <v>476</v>
      </c>
      <c r="T11">
        <v>10.810810810810811</v>
      </c>
      <c r="U11">
        <v>20.52052052052052</v>
      </c>
      <c r="V11">
        <f>25-7.5</f>
        <v>17.5</v>
      </c>
      <c r="W11">
        <v>68.668668668668658</v>
      </c>
      <c r="X11">
        <v>-1.4787572370270374</v>
      </c>
      <c r="Y11">
        <v>0.22792076393566088</v>
      </c>
      <c r="Z11" t="s">
        <v>534</v>
      </c>
      <c r="AA11">
        <v>6.9</v>
      </c>
      <c r="AB11" t="s">
        <v>20</v>
      </c>
      <c r="AC11">
        <v>0.108</v>
      </c>
      <c r="AD11">
        <v>1.68</v>
      </c>
      <c r="AE11">
        <v>0.04</v>
      </c>
      <c r="AF11">
        <v>0.113</v>
      </c>
      <c r="AG11">
        <v>13.51</v>
      </c>
      <c r="AH11">
        <v>1.3</v>
      </c>
      <c r="AI11">
        <v>53.1</v>
      </c>
      <c r="AJ11">
        <v>0.24</v>
      </c>
      <c r="AK11">
        <v>1.3404609433167862</v>
      </c>
      <c r="AL11">
        <v>1.3327787831556732</v>
      </c>
      <c r="AM11">
        <f t="shared" si="0"/>
        <v>29.259492210703861</v>
      </c>
      <c r="AN11" s="82">
        <f t="shared" si="1"/>
        <v>31.510222380758005</v>
      </c>
    </row>
    <row r="12" spans="1:40" ht="15" x14ac:dyDescent="0.25">
      <c r="A12" s="76"/>
      <c r="B12" s="76" t="str">
        <f>B11</f>
        <v>S-03-A</v>
      </c>
      <c r="C12" s="76" t="str">
        <f>C11</f>
        <v>Sångletorp</v>
      </c>
      <c r="D12" s="76" t="str">
        <f>D11</f>
        <v>Christmass trees</v>
      </c>
      <c r="E12" s="76" t="str">
        <f>E11</f>
        <v>Permanent crop</v>
      </c>
      <c r="F12" s="76" t="str">
        <f>F11</f>
        <v>A</v>
      </c>
      <c r="H12" s="76" t="s">
        <v>176</v>
      </c>
      <c r="I12" s="76">
        <v>35</v>
      </c>
      <c r="J12" s="76">
        <v>20</v>
      </c>
      <c r="V12" s="76">
        <f>45-25</f>
        <v>20</v>
      </c>
      <c r="AG12" s="154">
        <f>AG11+((AG11-AG13)/(I11-I13))*(I12-I11)</f>
        <v>8.8393103448275863</v>
      </c>
      <c r="AK12" s="154">
        <f>AK11+((AK11-AK13)/(I11-I13))*(I12-I11)</f>
        <v>1.4910841273421205</v>
      </c>
      <c r="AL12" s="154">
        <f>AL11+((AL11-AL13)/(I11-I13))*(I12-I11)</f>
        <v>1.4873754982988245</v>
      </c>
      <c r="AM12">
        <f t="shared" si="0"/>
        <v>46.015807700645603</v>
      </c>
      <c r="AN12" s="82">
        <f t="shared" si="1"/>
        <v>26.294747257511773</v>
      </c>
    </row>
    <row r="13" spans="1:40" ht="15" x14ac:dyDescent="0.25">
      <c r="A13" t="s">
        <v>545</v>
      </c>
      <c r="B13" t="s">
        <v>68</v>
      </c>
      <c r="C13" t="s">
        <v>179</v>
      </c>
      <c r="D13" t="s">
        <v>93</v>
      </c>
      <c r="E13" t="s">
        <v>407</v>
      </c>
      <c r="F13" t="s">
        <v>348</v>
      </c>
      <c r="G13" t="s">
        <v>597</v>
      </c>
      <c r="H13" t="s">
        <v>21</v>
      </c>
      <c r="I13">
        <v>52.5</v>
      </c>
      <c r="J13">
        <v>15</v>
      </c>
      <c r="K13">
        <v>5</v>
      </c>
      <c r="L13">
        <v>27</v>
      </c>
      <c r="M13">
        <v>967</v>
      </c>
      <c r="N13">
        <v>999</v>
      </c>
      <c r="O13">
        <v>191</v>
      </c>
      <c r="P13">
        <v>131</v>
      </c>
      <c r="Q13">
        <v>75</v>
      </c>
      <c r="R13">
        <v>179</v>
      </c>
      <c r="S13">
        <v>423</v>
      </c>
      <c r="T13">
        <v>19.119119119119119</v>
      </c>
      <c r="U13">
        <v>20.62062062062062</v>
      </c>
      <c r="V13">
        <f>60-45</f>
        <v>15</v>
      </c>
      <c r="W13">
        <v>60.260260260260253</v>
      </c>
      <c r="X13">
        <v>-2.0584044105546342</v>
      </c>
      <c r="Y13">
        <v>0.12765749643317317</v>
      </c>
      <c r="Z13" t="s">
        <v>534</v>
      </c>
      <c r="AA13">
        <v>7.4</v>
      </c>
      <c r="AB13" t="s">
        <v>20</v>
      </c>
      <c r="AC13">
        <v>1.7999999999999999E-2</v>
      </c>
      <c r="AD13">
        <v>2.67</v>
      </c>
      <c r="AE13">
        <v>7.8E-2</v>
      </c>
      <c r="AF13">
        <v>7.0999999999999994E-2</v>
      </c>
      <c r="AG13">
        <v>4.4800000000000004</v>
      </c>
      <c r="AH13">
        <v>0.52</v>
      </c>
      <c r="AI13">
        <v>60</v>
      </c>
      <c r="AJ13">
        <v>0.43</v>
      </c>
      <c r="AK13" s="76">
        <f>-0.0042*T15+1.6859</f>
        <v>1.6316657657657658</v>
      </c>
      <c r="AL13" s="76">
        <f>AK13</f>
        <v>1.6316657657657658</v>
      </c>
      <c r="AM13">
        <f t="shared" si="0"/>
        <v>38.376778810810819</v>
      </c>
      <c r="AN13" s="82">
        <f t="shared" si="1"/>
        <v>10.964793945945949</v>
      </c>
    </row>
    <row r="14" spans="1:40" ht="15" x14ac:dyDescent="0.25">
      <c r="A14" t="s">
        <v>546</v>
      </c>
      <c r="B14" t="s">
        <v>69</v>
      </c>
      <c r="C14" t="s">
        <v>194</v>
      </c>
      <c r="D14" t="s">
        <v>96</v>
      </c>
      <c r="E14" t="s">
        <v>111</v>
      </c>
      <c r="F14" t="s">
        <v>348</v>
      </c>
      <c r="G14" t="s">
        <v>400</v>
      </c>
      <c r="H14" t="s">
        <v>177</v>
      </c>
      <c r="I14">
        <v>3.75</v>
      </c>
      <c r="J14">
        <v>7.5</v>
      </c>
      <c r="K14">
        <v>51</v>
      </c>
      <c r="L14">
        <v>17</v>
      </c>
      <c r="M14">
        <v>932</v>
      </c>
      <c r="N14">
        <v>999</v>
      </c>
      <c r="O14">
        <v>117</v>
      </c>
      <c r="P14">
        <v>137</v>
      </c>
      <c r="Q14">
        <v>78</v>
      </c>
      <c r="R14">
        <v>204</v>
      </c>
      <c r="S14">
        <v>463</v>
      </c>
      <c r="T14">
        <v>11.711711711711711</v>
      </c>
      <c r="U14">
        <v>21.521521521521521</v>
      </c>
      <c r="V14">
        <v>7.5</v>
      </c>
      <c r="W14">
        <v>66.766766766766779</v>
      </c>
      <c r="X14">
        <v>-1.5779920163660393</v>
      </c>
      <c r="Y14">
        <v>0.20638910835477764</v>
      </c>
      <c r="Z14" t="s">
        <v>534</v>
      </c>
      <c r="AA14">
        <v>5.5</v>
      </c>
      <c r="AB14" t="s">
        <v>20</v>
      </c>
      <c r="AC14">
        <v>6.4000000000000001E-2</v>
      </c>
      <c r="AD14">
        <v>0.84</v>
      </c>
      <c r="AE14">
        <v>5.2999999999999999E-2</v>
      </c>
      <c r="AF14">
        <v>0.152</v>
      </c>
      <c r="AG14">
        <v>17.809999999999999</v>
      </c>
      <c r="AH14">
        <v>1.37</v>
      </c>
      <c r="AI14">
        <v>75.599999999999994</v>
      </c>
      <c r="AJ14">
        <v>0.28999999999999998</v>
      </c>
      <c r="AK14" s="141">
        <f>AK15-((AK15-AK17)/(I15-I17))*3.5</f>
        <v>1.203964497210702</v>
      </c>
      <c r="AL14" s="141">
        <f>AL15-((AL15-AL17)/(I15-I17))*3.5</f>
        <v>1.2154652755012736</v>
      </c>
      <c r="AM14">
        <f t="shared" si="0"/>
        <v>8.1177887087541301</v>
      </c>
      <c r="AN14" s="82">
        <f t="shared" si="1"/>
        <v>16.23557741750826</v>
      </c>
    </row>
    <row r="15" spans="1:40" ht="15" x14ac:dyDescent="0.25">
      <c r="A15" t="s">
        <v>547</v>
      </c>
      <c r="B15" t="s">
        <v>69</v>
      </c>
      <c r="C15" t="s">
        <v>194</v>
      </c>
      <c r="D15" t="s">
        <v>96</v>
      </c>
      <c r="E15" t="s">
        <v>111</v>
      </c>
      <c r="F15" t="s">
        <v>348</v>
      </c>
      <c r="G15" t="s">
        <v>400</v>
      </c>
      <c r="H15" t="s">
        <v>175</v>
      </c>
      <c r="I15">
        <v>16.25</v>
      </c>
      <c r="J15">
        <v>17.5</v>
      </c>
      <c r="K15">
        <v>17</v>
      </c>
      <c r="L15">
        <v>36</v>
      </c>
      <c r="M15">
        <v>947</v>
      </c>
      <c r="N15">
        <v>999</v>
      </c>
      <c r="O15">
        <v>129</v>
      </c>
      <c r="P15">
        <v>156</v>
      </c>
      <c r="Q15">
        <v>92</v>
      </c>
      <c r="R15">
        <v>208</v>
      </c>
      <c r="S15">
        <v>414</v>
      </c>
      <c r="T15">
        <v>12.912912912912914</v>
      </c>
      <c r="U15">
        <v>24.824824824824827</v>
      </c>
      <c r="V15">
        <f>25-7.5</f>
        <v>17.5</v>
      </c>
      <c r="W15">
        <v>62.262262262262254</v>
      </c>
      <c r="X15">
        <v>-1.7826396333490764</v>
      </c>
      <c r="Y15">
        <v>0.16819359138153769</v>
      </c>
      <c r="Z15" t="s">
        <v>534</v>
      </c>
      <c r="AA15">
        <v>5.6</v>
      </c>
      <c r="AB15" t="s">
        <v>20</v>
      </c>
      <c r="AC15">
        <v>6.4000000000000001E-2</v>
      </c>
      <c r="AD15">
        <v>0.97</v>
      </c>
      <c r="AE15">
        <v>5.3999999999999999E-2</v>
      </c>
      <c r="AF15">
        <v>0.13500000000000001</v>
      </c>
      <c r="AG15">
        <v>17.329999999999998</v>
      </c>
      <c r="AH15">
        <v>1.32</v>
      </c>
      <c r="AI15">
        <v>75.900000000000006</v>
      </c>
      <c r="AJ15">
        <v>0.28999999999999998</v>
      </c>
      <c r="AK15">
        <v>1.241327583202424</v>
      </c>
      <c r="AL15">
        <v>1.2518157143479138</v>
      </c>
      <c r="AM15">
        <f t="shared" si="0"/>
        <v>35.25269528568019</v>
      </c>
      <c r="AN15" s="82">
        <f t="shared" si="1"/>
        <v>37.964441076886352</v>
      </c>
    </row>
    <row r="16" spans="1:40" ht="15" x14ac:dyDescent="0.25">
      <c r="A16" s="76"/>
      <c r="B16" s="76" t="str">
        <f>B15</f>
        <v>S-04-A</v>
      </c>
      <c r="C16" s="76" t="str">
        <f>C15</f>
        <v>Rydsgård</v>
      </c>
      <c r="D16" s="76" t="str">
        <f>D15</f>
        <v>Barley</v>
      </c>
      <c r="E16" s="76" t="str">
        <f>E15</f>
        <v>Agr</v>
      </c>
      <c r="F16" s="76" t="str">
        <f>F15</f>
        <v>A</v>
      </c>
      <c r="H16" s="76" t="s">
        <v>176</v>
      </c>
      <c r="I16" s="76">
        <v>35</v>
      </c>
      <c r="J16" s="76">
        <v>20</v>
      </c>
      <c r="V16" s="76">
        <f>45-25</f>
        <v>20</v>
      </c>
      <c r="AG16" s="154">
        <f>AG15+((AG15-AG17)/(I15-I17))*(I16-I15)</f>
        <v>13.662758620689655</v>
      </c>
      <c r="AK16" s="154">
        <f>AK15+((AK15-AK17)/(I15-I17))*(I16-I15)</f>
        <v>1.4414869724437922</v>
      </c>
      <c r="AL16" s="154">
        <f>AL15+((AL15-AL17)/(I15-I17))*(I16-I15)</f>
        <v>1.446550208169201</v>
      </c>
      <c r="AM16">
        <f t="shared" si="0"/>
        <v>69.173532144234585</v>
      </c>
      <c r="AN16" s="82">
        <f t="shared" si="1"/>
        <v>39.527732653848332</v>
      </c>
    </row>
    <row r="17" spans="1:45" ht="15" x14ac:dyDescent="0.25">
      <c r="A17" t="s">
        <v>548</v>
      </c>
      <c r="B17" t="s">
        <v>69</v>
      </c>
      <c r="C17" t="s">
        <v>194</v>
      </c>
      <c r="D17" t="s">
        <v>96</v>
      </c>
      <c r="E17" t="s">
        <v>111</v>
      </c>
      <c r="F17" t="s">
        <v>348</v>
      </c>
      <c r="G17" t="s">
        <v>400</v>
      </c>
      <c r="H17" t="s">
        <v>21</v>
      </c>
      <c r="I17">
        <v>52.5</v>
      </c>
      <c r="J17">
        <v>15</v>
      </c>
      <c r="K17">
        <v>23</v>
      </c>
      <c r="L17">
        <v>22</v>
      </c>
      <c r="M17">
        <v>955</v>
      </c>
      <c r="N17">
        <v>999</v>
      </c>
      <c r="O17">
        <v>104</v>
      </c>
      <c r="P17">
        <v>139</v>
      </c>
      <c r="Q17">
        <v>86</v>
      </c>
      <c r="R17">
        <v>218</v>
      </c>
      <c r="S17">
        <v>452</v>
      </c>
      <c r="T17">
        <v>10.41041041041041</v>
      </c>
      <c r="U17">
        <v>22.522522522522522</v>
      </c>
      <c r="V17">
        <f>60-45</f>
        <v>15</v>
      </c>
      <c r="W17">
        <v>67.067067067067072</v>
      </c>
      <c r="X17">
        <v>-1.5245602755703109</v>
      </c>
      <c r="Y17">
        <v>0.21771677120277527</v>
      </c>
      <c r="Z17" t="s">
        <v>534</v>
      </c>
      <c r="AA17">
        <v>6.6</v>
      </c>
      <c r="AB17" t="s">
        <v>20</v>
      </c>
      <c r="AC17">
        <v>2.7E-2</v>
      </c>
      <c r="AD17">
        <v>1.2</v>
      </c>
      <c r="AE17">
        <v>2.9000000000000001E-2</v>
      </c>
      <c r="AF17">
        <v>5.6000000000000001E-2</v>
      </c>
      <c r="AG17">
        <v>10.24</v>
      </c>
      <c r="AH17">
        <v>0.92</v>
      </c>
      <c r="AI17">
        <v>71.099999999999994</v>
      </c>
      <c r="AJ17">
        <v>0.34</v>
      </c>
      <c r="AK17" s="76">
        <f>-0.0042*T19+1.6859</f>
        <v>1.6283024024024024</v>
      </c>
      <c r="AL17" s="76">
        <f>AK17</f>
        <v>1.6283024024024024</v>
      </c>
      <c r="AM17">
        <f t="shared" si="0"/>
        <v>87.537537153153167</v>
      </c>
      <c r="AN17" s="82">
        <f t="shared" si="1"/>
        <v>25.010724900900907</v>
      </c>
    </row>
    <row r="18" spans="1:45" ht="15" x14ac:dyDescent="0.25">
      <c r="A18" t="s">
        <v>549</v>
      </c>
      <c r="B18" t="s">
        <v>70</v>
      </c>
      <c r="C18" t="s">
        <v>194</v>
      </c>
      <c r="D18" t="s">
        <v>97</v>
      </c>
      <c r="E18" t="s">
        <v>112</v>
      </c>
      <c r="F18" t="s">
        <v>346</v>
      </c>
      <c r="G18" t="s">
        <v>70</v>
      </c>
      <c r="H18" t="s">
        <v>177</v>
      </c>
      <c r="I18">
        <v>3.75</v>
      </c>
      <c r="J18">
        <v>7.5</v>
      </c>
      <c r="K18">
        <v>14</v>
      </c>
      <c r="L18">
        <v>36</v>
      </c>
      <c r="M18">
        <v>951</v>
      </c>
      <c r="N18">
        <v>999</v>
      </c>
      <c r="O18">
        <v>127</v>
      </c>
      <c r="P18">
        <v>165</v>
      </c>
      <c r="Q18">
        <v>113</v>
      </c>
      <c r="R18">
        <v>261</v>
      </c>
      <c r="S18">
        <v>333</v>
      </c>
      <c r="T18">
        <v>12.712712712712712</v>
      </c>
      <c r="U18">
        <v>27.827827827827829</v>
      </c>
      <c r="V18">
        <v>7.5</v>
      </c>
      <c r="W18">
        <v>59.45945945945946</v>
      </c>
      <c r="X18">
        <v>-1.8791017402793924</v>
      </c>
      <c r="Y18">
        <v>0.15272723288131446</v>
      </c>
      <c r="Z18" t="s">
        <v>534</v>
      </c>
      <c r="AA18">
        <v>5.2</v>
      </c>
      <c r="AB18" t="s">
        <v>20</v>
      </c>
      <c r="AC18">
        <v>6.5000000000000002E-2</v>
      </c>
      <c r="AD18">
        <v>0.77</v>
      </c>
      <c r="AE18">
        <v>4.1000000000000002E-2</v>
      </c>
      <c r="AF18">
        <v>0.14099999999999999</v>
      </c>
      <c r="AG18">
        <v>15.87</v>
      </c>
      <c r="AH18">
        <v>1.39</v>
      </c>
      <c r="AI18">
        <v>61.7</v>
      </c>
      <c r="AJ18">
        <v>0.31</v>
      </c>
      <c r="AK18" s="149">
        <f>AVERAGE(AK14,AK22)</f>
        <v>1.2411768828260688</v>
      </c>
      <c r="AL18" s="149">
        <f>AVERAGE(AL14,AL22)</f>
        <v>1.2524648843420048</v>
      </c>
      <c r="AM18">
        <f t="shared" ref="AM18:AM57" si="2">AL18*AG18*0.1*I18</f>
        <v>7.4537316429403555</v>
      </c>
      <c r="AN18" s="82">
        <f t="shared" si="1"/>
        <v>14.907463285880711</v>
      </c>
    </row>
    <row r="19" spans="1:45" ht="15" x14ac:dyDescent="0.25">
      <c r="A19" t="s">
        <v>550</v>
      </c>
      <c r="B19" t="s">
        <v>70</v>
      </c>
      <c r="C19" t="s">
        <v>194</v>
      </c>
      <c r="D19" t="s">
        <v>97</v>
      </c>
      <c r="E19" t="s">
        <v>112</v>
      </c>
      <c r="F19" t="s">
        <v>346</v>
      </c>
      <c r="G19" t="s">
        <v>70</v>
      </c>
      <c r="H19" t="s">
        <v>175</v>
      </c>
      <c r="I19">
        <v>16.25</v>
      </c>
      <c r="J19">
        <v>17.5</v>
      </c>
      <c r="K19">
        <v>22</v>
      </c>
      <c r="L19">
        <v>75</v>
      </c>
      <c r="M19">
        <v>903</v>
      </c>
      <c r="N19">
        <v>999</v>
      </c>
      <c r="O19">
        <v>137</v>
      </c>
      <c r="P19">
        <v>175</v>
      </c>
      <c r="Q19">
        <v>114</v>
      </c>
      <c r="R19">
        <v>232</v>
      </c>
      <c r="S19">
        <v>341</v>
      </c>
      <c r="T19">
        <v>13.713713713713712</v>
      </c>
      <c r="U19">
        <v>28.928928928928926</v>
      </c>
      <c r="V19">
        <f>25-7.5</f>
        <v>17.5</v>
      </c>
      <c r="W19">
        <v>57.357357357357351</v>
      </c>
      <c r="X19">
        <v>-1.9889539362801794</v>
      </c>
      <c r="Y19">
        <v>0.13683849238627008</v>
      </c>
      <c r="Z19" t="s">
        <v>534</v>
      </c>
      <c r="AA19">
        <v>5.3</v>
      </c>
      <c r="AB19" t="s">
        <v>20</v>
      </c>
      <c r="AC19">
        <v>5.3999999999999999E-2</v>
      </c>
      <c r="AD19">
        <v>0.81</v>
      </c>
      <c r="AE19">
        <v>3.1E-2</v>
      </c>
      <c r="AF19">
        <v>0.105</v>
      </c>
      <c r="AG19">
        <v>13.85</v>
      </c>
      <c r="AH19">
        <v>1.28</v>
      </c>
      <c r="AI19">
        <v>64.599999999999994</v>
      </c>
      <c r="AJ19">
        <v>0.32</v>
      </c>
      <c r="AK19">
        <v>1.2539946271982851</v>
      </c>
      <c r="AL19">
        <v>1.2158193023600787</v>
      </c>
      <c r="AM19">
        <f t="shared" si="2"/>
        <v>27.363533173741523</v>
      </c>
      <c r="AN19" s="82">
        <f t="shared" si="1"/>
        <v>29.468420340952406</v>
      </c>
    </row>
    <row r="20" spans="1:45" ht="15" x14ac:dyDescent="0.25">
      <c r="A20" s="76"/>
      <c r="B20" s="76" t="str">
        <f t="shared" ref="B20:G21" si="3">B19</f>
        <v>S-05-A</v>
      </c>
      <c r="C20" s="76" t="str">
        <f t="shared" si="3"/>
        <v>Rydsgård</v>
      </c>
      <c r="D20" s="76" t="str">
        <f t="shared" si="3"/>
        <v>Birch</v>
      </c>
      <c r="E20" s="76" t="str">
        <f t="shared" si="3"/>
        <v>Wood</v>
      </c>
      <c r="F20" s="76" t="str">
        <f t="shared" si="3"/>
        <v>W</v>
      </c>
      <c r="G20" s="76" t="str">
        <f t="shared" si="3"/>
        <v>S-05-A</v>
      </c>
      <c r="H20" s="76" t="s">
        <v>176</v>
      </c>
      <c r="I20" s="76">
        <v>35</v>
      </c>
      <c r="J20" s="76">
        <v>20</v>
      </c>
      <c r="V20" s="76">
        <f>45-25</f>
        <v>20</v>
      </c>
      <c r="AG20" s="154">
        <f>AG19+((AG19-AG21)/(I19-I21))*(I20-I19)</f>
        <v>10.454310344827586</v>
      </c>
      <c r="AK20" s="154">
        <f>AK19+((AK19-AK21)/(I19-I21))*(I20-I19)</f>
        <v>1.4494504972557114</v>
      </c>
      <c r="AL20" s="154">
        <f>AL19+((AL19-AL21)/(I19-I21))*(I20-I19)</f>
        <v>1.4310210300924393</v>
      </c>
      <c r="AM20">
        <f t="shared" si="2"/>
        <v>52.361182854964262</v>
      </c>
      <c r="AN20" s="82">
        <f t="shared" si="1"/>
        <v>29.920675917122438</v>
      </c>
    </row>
    <row r="21" spans="1:45" ht="15" x14ac:dyDescent="0.25">
      <c r="A21" s="76"/>
      <c r="B21" s="76" t="str">
        <f t="shared" si="3"/>
        <v>S-05-A</v>
      </c>
      <c r="C21" s="76" t="str">
        <f t="shared" si="3"/>
        <v>Rydsgård</v>
      </c>
      <c r="D21" s="76" t="str">
        <f t="shared" si="3"/>
        <v>Birch</v>
      </c>
      <c r="E21" s="76" t="str">
        <f t="shared" si="3"/>
        <v>Wood</v>
      </c>
      <c r="F21" s="76" t="str">
        <f t="shared" si="3"/>
        <v>W</v>
      </c>
      <c r="G21" s="76" t="str">
        <f t="shared" si="3"/>
        <v>S-05-A</v>
      </c>
      <c r="H21" s="76" t="s">
        <v>21</v>
      </c>
      <c r="I21" s="76">
        <v>52.5</v>
      </c>
      <c r="J21" s="76">
        <v>15</v>
      </c>
      <c r="V21">
        <f>60-45</f>
        <v>15</v>
      </c>
      <c r="AG21" s="149">
        <f>AVERAGE(AG17,AG25)</f>
        <v>7.2850000000000001</v>
      </c>
      <c r="AK21" s="149">
        <f>AVERAGE(AK17,AK25)</f>
        <v>1.631875975975976</v>
      </c>
      <c r="AL21" s="149">
        <f>AVERAGE(AL17,AL25)</f>
        <v>1.631875975975976</v>
      </c>
      <c r="AM21">
        <f t="shared" si="2"/>
        <v>62.413136546171174</v>
      </c>
      <c r="AN21" s="82">
        <f t="shared" si="1"/>
        <v>17.832324727477477</v>
      </c>
    </row>
    <row r="22" spans="1:45" ht="15" x14ac:dyDescent="0.25">
      <c r="A22" t="s">
        <v>551</v>
      </c>
      <c r="B22" t="s">
        <v>71</v>
      </c>
      <c r="C22" t="s">
        <v>194</v>
      </c>
      <c r="D22" t="s">
        <v>96</v>
      </c>
      <c r="E22" t="s">
        <v>111</v>
      </c>
      <c r="F22" t="s">
        <v>348</v>
      </c>
      <c r="G22" t="s">
        <v>400</v>
      </c>
      <c r="H22" t="s">
        <v>177</v>
      </c>
      <c r="I22">
        <v>3.75</v>
      </c>
      <c r="J22">
        <v>7.5</v>
      </c>
      <c r="K22">
        <v>39</v>
      </c>
      <c r="L22">
        <v>49</v>
      </c>
      <c r="M22">
        <v>912</v>
      </c>
      <c r="N22">
        <v>999</v>
      </c>
      <c r="O22">
        <v>158</v>
      </c>
      <c r="P22">
        <v>166</v>
      </c>
      <c r="Q22">
        <v>99</v>
      </c>
      <c r="R22">
        <v>195</v>
      </c>
      <c r="S22">
        <v>381</v>
      </c>
      <c r="T22">
        <v>15.815815815815814</v>
      </c>
      <c r="U22">
        <v>26.526526526526528</v>
      </c>
      <c r="V22">
        <v>7.5</v>
      </c>
      <c r="W22">
        <v>57.657657657657658</v>
      </c>
      <c r="X22">
        <v>-2.046408363945643</v>
      </c>
      <c r="Y22">
        <v>0.12919810383440303</v>
      </c>
      <c r="Z22" t="s">
        <v>534</v>
      </c>
      <c r="AA22">
        <v>6.4</v>
      </c>
      <c r="AB22" t="s">
        <v>20</v>
      </c>
      <c r="AC22">
        <v>6.7000000000000004E-2</v>
      </c>
      <c r="AD22">
        <v>1.52</v>
      </c>
      <c r="AE22">
        <v>5.2999999999999999E-2</v>
      </c>
      <c r="AF22">
        <v>9.9000000000000005E-2</v>
      </c>
      <c r="AG22">
        <v>10.94</v>
      </c>
      <c r="AH22">
        <v>1.08</v>
      </c>
      <c r="AI22">
        <v>68.400000000000006</v>
      </c>
      <c r="AJ22">
        <v>0.26</v>
      </c>
      <c r="AK22" s="141">
        <f>AK23-((AK23-AK25)/(I23-I25))*3.5</f>
        <v>1.2783892684414355</v>
      </c>
      <c r="AL22" s="141">
        <f>AL23-((AL23-AL25)/(I23-I25))*3.5</f>
        <v>1.2894644931827359</v>
      </c>
      <c r="AM22">
        <f t="shared" si="2"/>
        <v>5.2900280832821744</v>
      </c>
      <c r="AN22" s="82">
        <f t="shared" si="1"/>
        <v>10.580056166564349</v>
      </c>
    </row>
    <row r="23" spans="1:45" ht="15" x14ac:dyDescent="0.25">
      <c r="A23" t="s">
        <v>552</v>
      </c>
      <c r="B23" t="s">
        <v>71</v>
      </c>
      <c r="C23" t="s">
        <v>194</v>
      </c>
      <c r="D23" t="s">
        <v>96</v>
      </c>
      <c r="E23" t="s">
        <v>111</v>
      </c>
      <c r="F23" t="s">
        <v>348</v>
      </c>
      <c r="G23" t="s">
        <v>400</v>
      </c>
      <c r="H23" t="s">
        <v>175</v>
      </c>
      <c r="I23">
        <v>16.25</v>
      </c>
      <c r="J23">
        <v>17.5</v>
      </c>
      <c r="K23">
        <v>44</v>
      </c>
      <c r="L23">
        <v>48</v>
      </c>
      <c r="M23">
        <v>908</v>
      </c>
      <c r="N23">
        <v>999</v>
      </c>
      <c r="O23">
        <v>157</v>
      </c>
      <c r="P23">
        <v>172</v>
      </c>
      <c r="Q23">
        <v>91</v>
      </c>
      <c r="R23">
        <v>195</v>
      </c>
      <c r="S23">
        <v>384</v>
      </c>
      <c r="T23">
        <v>15.715715715715717</v>
      </c>
      <c r="U23">
        <v>26.326326326326328</v>
      </c>
      <c r="V23">
        <f>25-7.5</f>
        <v>17.5</v>
      </c>
      <c r="W23">
        <v>57.957957957957959</v>
      </c>
      <c r="X23">
        <v>-2.0321129179009239</v>
      </c>
      <c r="Y23">
        <v>0.13105831293705858</v>
      </c>
      <c r="Z23" t="s">
        <v>534</v>
      </c>
      <c r="AA23">
        <v>6.9</v>
      </c>
      <c r="AB23" t="s">
        <v>20</v>
      </c>
      <c r="AC23">
        <v>7.5999999999999998E-2</v>
      </c>
      <c r="AD23">
        <v>1.59</v>
      </c>
      <c r="AE23">
        <v>5.7000000000000002E-2</v>
      </c>
      <c r="AF23">
        <v>0.11700000000000001</v>
      </c>
      <c r="AG23">
        <v>10.48</v>
      </c>
      <c r="AH23">
        <v>1.02</v>
      </c>
      <c r="AI23">
        <v>64.099999999999994</v>
      </c>
      <c r="AJ23">
        <v>0.28000000000000003</v>
      </c>
      <c r="AK23">
        <v>1.3098285384761121</v>
      </c>
      <c r="AL23">
        <v>1.319928586196166</v>
      </c>
      <c r="AM23">
        <f t="shared" si="2"/>
        <v>22.478383822920708</v>
      </c>
      <c r="AN23" s="82">
        <f t="shared" si="1"/>
        <v>24.207490270837688</v>
      </c>
    </row>
    <row r="24" spans="1:45" ht="15" x14ac:dyDescent="0.25">
      <c r="A24" s="76"/>
      <c r="B24" s="76" t="str">
        <f>B23</f>
        <v>S-06-A</v>
      </c>
      <c r="C24" s="76" t="str">
        <f>C23</f>
        <v>Rydsgård</v>
      </c>
      <c r="D24" s="76" t="str">
        <f>D23</f>
        <v>Barley</v>
      </c>
      <c r="E24" s="76" t="str">
        <f>E23</f>
        <v>Agr</v>
      </c>
      <c r="F24" s="76" t="str">
        <f>F23</f>
        <v>A</v>
      </c>
      <c r="H24" s="76" t="s">
        <v>176</v>
      </c>
      <c r="I24" s="76">
        <v>35</v>
      </c>
      <c r="J24" s="76">
        <v>20</v>
      </c>
      <c r="V24" s="76">
        <f>45-25</f>
        <v>20</v>
      </c>
      <c r="AG24" s="154">
        <f>AG23+((AG23-AG25)/(I23-I25))*(I24-I23)</f>
        <v>7.2989655172413794</v>
      </c>
      <c r="AK24" s="154">
        <f>AK23+((AK23-AK25)/(I23-I25))*(I24-I23)</f>
        <v>1.4782531993761661</v>
      </c>
      <c r="AL24" s="154">
        <f>AL23+((AL23-AL25)/(I23-I25))*(I24-I23)</f>
        <v>1.4831290844823988</v>
      </c>
      <c r="AM24">
        <f t="shared" si="2"/>
        <v>37.888578158391823</v>
      </c>
      <c r="AN24" s="82">
        <f t="shared" si="1"/>
        <v>21.650616090509615</v>
      </c>
    </row>
    <row r="25" spans="1:45" ht="15" x14ac:dyDescent="0.25">
      <c r="A25" t="s">
        <v>553</v>
      </c>
      <c r="B25" t="s">
        <v>71</v>
      </c>
      <c r="C25" t="s">
        <v>194</v>
      </c>
      <c r="D25" t="s">
        <v>96</v>
      </c>
      <c r="E25" t="s">
        <v>111</v>
      </c>
      <c r="F25" t="s">
        <v>348</v>
      </c>
      <c r="G25" t="s">
        <v>400</v>
      </c>
      <c r="H25" t="s">
        <v>21</v>
      </c>
      <c r="I25">
        <v>52.5</v>
      </c>
      <c r="J25">
        <v>15</v>
      </c>
      <c r="K25">
        <v>38</v>
      </c>
      <c r="L25">
        <v>42</v>
      </c>
      <c r="M25">
        <v>920</v>
      </c>
      <c r="N25">
        <v>994</v>
      </c>
      <c r="O25">
        <v>170</v>
      </c>
      <c r="P25">
        <v>173</v>
      </c>
      <c r="Q25">
        <v>94</v>
      </c>
      <c r="R25">
        <v>179</v>
      </c>
      <c r="S25">
        <v>378</v>
      </c>
      <c r="T25">
        <v>17.102615694164992</v>
      </c>
      <c r="U25">
        <v>26.861167002012071</v>
      </c>
      <c r="V25">
        <f>60-45</f>
        <v>15</v>
      </c>
      <c r="W25">
        <v>56.03621730382293</v>
      </c>
      <c r="X25">
        <v>-2.1479109618215508</v>
      </c>
      <c r="Y25">
        <v>0.11672775197647661</v>
      </c>
      <c r="Z25" t="s">
        <v>534</v>
      </c>
      <c r="AA25">
        <v>7.7</v>
      </c>
      <c r="AB25" t="s">
        <v>475</v>
      </c>
      <c r="AC25">
        <v>3.4000000000000002E-2</v>
      </c>
      <c r="AD25">
        <v>2.8</v>
      </c>
      <c r="AE25">
        <v>5.7000000000000002E-2</v>
      </c>
      <c r="AF25">
        <v>6.6000000000000003E-2</v>
      </c>
      <c r="AG25">
        <v>4.33</v>
      </c>
      <c r="AH25">
        <v>0.49</v>
      </c>
      <c r="AI25">
        <v>65.599999999999994</v>
      </c>
      <c r="AJ25">
        <v>0.2</v>
      </c>
      <c r="AK25" s="76">
        <f>-0.0042*T27+1.6859</f>
        <v>1.6354495495495496</v>
      </c>
      <c r="AL25" s="76">
        <f>AK25</f>
        <v>1.6354495495495496</v>
      </c>
      <c r="AM25">
        <f t="shared" si="2"/>
        <v>37.177856885135135</v>
      </c>
      <c r="AN25" s="82">
        <f t="shared" si="1"/>
        <v>10.622244824324325</v>
      </c>
    </row>
    <row r="26" spans="1:45" ht="15" x14ac:dyDescent="0.25">
      <c r="A26" t="s">
        <v>554</v>
      </c>
      <c r="B26" t="s">
        <v>72</v>
      </c>
      <c r="C26" t="s">
        <v>50</v>
      </c>
      <c r="D26" t="s">
        <v>398</v>
      </c>
      <c r="E26" t="s">
        <v>113</v>
      </c>
      <c r="F26" t="s">
        <v>350</v>
      </c>
      <c r="G26" t="s">
        <v>72</v>
      </c>
      <c r="H26" t="s">
        <v>177</v>
      </c>
      <c r="I26">
        <v>3.75</v>
      </c>
      <c r="J26">
        <v>7.5</v>
      </c>
      <c r="K26">
        <v>0</v>
      </c>
      <c r="L26">
        <v>0</v>
      </c>
      <c r="M26">
        <v>1000</v>
      </c>
      <c r="N26">
        <v>999</v>
      </c>
      <c r="O26">
        <v>124</v>
      </c>
      <c r="P26">
        <v>172</v>
      </c>
      <c r="Q26">
        <v>143</v>
      </c>
      <c r="R26">
        <v>175</v>
      </c>
      <c r="S26">
        <v>385</v>
      </c>
      <c r="T26">
        <v>12.412412412412413</v>
      </c>
      <c r="U26">
        <v>31.531531531531531</v>
      </c>
      <c r="V26">
        <v>7.5</v>
      </c>
      <c r="W26">
        <v>56.056056056056057</v>
      </c>
      <c r="X26">
        <v>-1.9943706656113949</v>
      </c>
      <c r="Y26">
        <v>0.13609927917729195</v>
      </c>
      <c r="Z26" t="s">
        <v>534</v>
      </c>
      <c r="AA26">
        <v>5.4</v>
      </c>
      <c r="AB26" t="s">
        <v>20</v>
      </c>
      <c r="AC26">
        <v>0.114</v>
      </c>
      <c r="AD26">
        <v>1.03</v>
      </c>
      <c r="AE26">
        <v>7.2999999999999995E-2</v>
      </c>
      <c r="AF26">
        <v>5.5E-2</v>
      </c>
      <c r="AG26">
        <v>54.46</v>
      </c>
      <c r="AH26">
        <v>2.69</v>
      </c>
      <c r="AI26">
        <v>27.2</v>
      </c>
      <c r="AJ26">
        <v>0.21</v>
      </c>
      <c r="AK26" s="141">
        <f>AK27-((AK27-AK29)/(I27-I29))*3.5</f>
        <v>1.0982805981934087</v>
      </c>
      <c r="AL26" s="141">
        <f>AL27-((AL27-AL29)/(I27-I29))*3.5</f>
        <v>1.1390749246192773</v>
      </c>
      <c r="AM26">
        <f t="shared" si="2"/>
        <v>23.262757648037191</v>
      </c>
      <c r="AN26" s="82">
        <f t="shared" si="1"/>
        <v>46.525515296074381</v>
      </c>
      <c r="AP26">
        <v>1.1390749246192773</v>
      </c>
      <c r="AQ26">
        <v>46.525515296074381</v>
      </c>
      <c r="AR26">
        <f>AQ26+AQ27</f>
        <v>155.87629143444482</v>
      </c>
      <c r="AS26">
        <f>AR26+AR28</f>
        <v>273.17571476573386</v>
      </c>
    </row>
    <row r="27" spans="1:45" ht="15" x14ac:dyDescent="0.25">
      <c r="A27" t="s">
        <v>555</v>
      </c>
      <c r="B27" t="s">
        <v>72</v>
      </c>
      <c r="C27" t="s">
        <v>50</v>
      </c>
      <c r="D27" t="s">
        <v>398</v>
      </c>
      <c r="E27" t="s">
        <v>113</v>
      </c>
      <c r="F27" t="s">
        <v>350</v>
      </c>
      <c r="G27" t="s">
        <v>72</v>
      </c>
      <c r="H27" t="s">
        <v>175</v>
      </c>
      <c r="I27">
        <v>16.25</v>
      </c>
      <c r="J27">
        <v>17.5</v>
      </c>
      <c r="K27">
        <v>0</v>
      </c>
      <c r="L27">
        <v>0</v>
      </c>
      <c r="M27">
        <v>1000</v>
      </c>
      <c r="N27">
        <v>999</v>
      </c>
      <c r="O27">
        <v>120</v>
      </c>
      <c r="P27">
        <v>171</v>
      </c>
      <c r="Q27">
        <v>139</v>
      </c>
      <c r="R27">
        <v>175</v>
      </c>
      <c r="S27">
        <v>394</v>
      </c>
      <c r="T27">
        <v>12.012012012012011</v>
      </c>
      <c r="U27">
        <v>31.031031031031031</v>
      </c>
      <c r="V27">
        <f>25-7.5</f>
        <v>17.5</v>
      </c>
      <c r="W27">
        <v>56.956956956956958</v>
      </c>
      <c r="X27">
        <v>-1.9482229695813196</v>
      </c>
      <c r="Y27">
        <v>0.14252712171180645</v>
      </c>
      <c r="Z27" t="s">
        <v>534</v>
      </c>
      <c r="AA27">
        <v>5.5</v>
      </c>
      <c r="AB27" t="s">
        <v>20</v>
      </c>
      <c r="AC27">
        <v>0.112</v>
      </c>
      <c r="AD27">
        <v>1</v>
      </c>
      <c r="AE27">
        <v>6.9000000000000006E-2</v>
      </c>
      <c r="AF27">
        <v>2.7E-2</v>
      </c>
      <c r="AG27">
        <v>52.84</v>
      </c>
      <c r="AH27">
        <v>2.57</v>
      </c>
      <c r="AI27">
        <v>27.3</v>
      </c>
      <c r="AJ27">
        <v>0.25</v>
      </c>
      <c r="AK27">
        <v>1.1453517107458198</v>
      </c>
      <c r="AL27">
        <v>1.1825540839014861</v>
      </c>
      <c r="AM27">
        <f t="shared" si="2"/>
        <v>101.54000641420112</v>
      </c>
      <c r="AN27" s="82">
        <f t="shared" si="1"/>
        <v>109.35077613837043</v>
      </c>
      <c r="AP27">
        <v>1.1825540839014861</v>
      </c>
      <c r="AQ27">
        <v>109.35077613837043</v>
      </c>
    </row>
    <row r="28" spans="1:45" ht="15" x14ac:dyDescent="0.25">
      <c r="A28" s="76"/>
      <c r="B28" s="76" t="str">
        <f>B27</f>
        <v>S-07-A</v>
      </c>
      <c r="C28" s="76" t="str">
        <f>C27</f>
        <v>Sturup</v>
      </c>
      <c r="D28" s="76" t="str">
        <f>D27</f>
        <v>Grassland (fallow)</v>
      </c>
      <c r="E28" s="76" t="str">
        <f>E27</f>
        <v>Grass</v>
      </c>
      <c r="F28" s="76" t="str">
        <f>F27</f>
        <v>G</v>
      </c>
      <c r="H28" s="76" t="s">
        <v>176</v>
      </c>
      <c r="I28" s="76">
        <v>35</v>
      </c>
      <c r="J28" s="76">
        <v>20</v>
      </c>
      <c r="V28" s="76">
        <f>45-25</f>
        <v>20</v>
      </c>
      <c r="AG28" s="154">
        <f>AG27+((AG27-AG29)/(I27-I29))*(I28-I27)</f>
        <v>31.467586206896552</v>
      </c>
      <c r="AK28" s="154">
        <f>AK27+((AK27-AK29)/(I27-I29))*(I28-I27)</f>
        <v>1.3975183851337363</v>
      </c>
      <c r="AL28" s="154">
        <f>AL27+((AL27-AL29)/(I27-I29))*(I28-I27)</f>
        <v>1.4154781514847476</v>
      </c>
      <c r="AM28">
        <f t="shared" si="2"/>
        <v>155.89588264538705</v>
      </c>
      <c r="AN28" s="82">
        <f t="shared" si="1"/>
        <v>89.083361511649741</v>
      </c>
      <c r="AP28">
        <v>1.4154781514847476</v>
      </c>
      <c r="AQ28">
        <v>89.083361511649741</v>
      </c>
      <c r="AR28">
        <f>AQ28+AQ29</f>
        <v>117.29942333128902</v>
      </c>
    </row>
    <row r="29" spans="1:45" ht="15" x14ac:dyDescent="0.25">
      <c r="A29" t="s">
        <v>556</v>
      </c>
      <c r="B29" t="s">
        <v>72</v>
      </c>
      <c r="C29" t="s">
        <v>50</v>
      </c>
      <c r="D29" t="s">
        <v>398</v>
      </c>
      <c r="E29" t="s">
        <v>113</v>
      </c>
      <c r="F29" t="s">
        <v>597</v>
      </c>
      <c r="G29" t="s">
        <v>72</v>
      </c>
      <c r="H29" t="s">
        <v>21</v>
      </c>
      <c r="I29">
        <v>52.5</v>
      </c>
      <c r="J29">
        <v>15</v>
      </c>
      <c r="K29">
        <v>0</v>
      </c>
      <c r="L29">
        <v>0</v>
      </c>
      <c r="M29">
        <v>1000</v>
      </c>
      <c r="N29">
        <v>999</v>
      </c>
      <c r="O29">
        <v>151</v>
      </c>
      <c r="P29">
        <v>198</v>
      </c>
      <c r="Q29">
        <v>153</v>
      </c>
      <c r="R29">
        <v>141</v>
      </c>
      <c r="S29">
        <v>356</v>
      </c>
      <c r="T29">
        <v>15.115115115115115</v>
      </c>
      <c r="U29">
        <v>35.135135135135137</v>
      </c>
      <c r="V29">
        <f>60-45</f>
        <v>15</v>
      </c>
      <c r="W29">
        <v>49.749749749749753</v>
      </c>
      <c r="X29">
        <v>-2.3141431799260044</v>
      </c>
      <c r="Y29">
        <v>9.8850845115707867E-2</v>
      </c>
      <c r="Z29" t="s">
        <v>534</v>
      </c>
      <c r="AA29">
        <v>5.3</v>
      </c>
      <c r="AB29" t="s">
        <v>20</v>
      </c>
      <c r="AC29">
        <v>0.251</v>
      </c>
      <c r="AD29">
        <v>0.33</v>
      </c>
      <c r="AE29">
        <v>2.5000000000000001E-2</v>
      </c>
      <c r="AF29">
        <v>2.9000000000000001E-2</v>
      </c>
      <c r="AG29">
        <v>11.52</v>
      </c>
      <c r="AH29">
        <v>0.49</v>
      </c>
      <c r="AI29">
        <v>45.9</v>
      </c>
      <c r="AJ29">
        <v>0.05</v>
      </c>
      <c r="AK29" s="76">
        <f>-0.0042*T31+1.6859</f>
        <v>1.6328739478957917</v>
      </c>
      <c r="AL29" s="76">
        <f>AK29</f>
        <v>1.6328739478957917</v>
      </c>
      <c r="AM29">
        <f t="shared" si="2"/>
        <v>98.756216368737483</v>
      </c>
      <c r="AN29" s="82">
        <f t="shared" si="1"/>
        <v>28.216061819639283</v>
      </c>
      <c r="AP29">
        <v>1.6328739478957917</v>
      </c>
      <c r="AQ29">
        <v>28.216061819639283</v>
      </c>
    </row>
    <row r="30" spans="1:45" ht="15" x14ac:dyDescent="0.25">
      <c r="A30" t="s">
        <v>557</v>
      </c>
      <c r="B30" t="s">
        <v>73</v>
      </c>
      <c r="C30" t="s">
        <v>189</v>
      </c>
      <c r="D30" t="s">
        <v>99</v>
      </c>
      <c r="E30" t="s">
        <v>111</v>
      </c>
      <c r="F30" t="s">
        <v>348</v>
      </c>
      <c r="G30" t="s">
        <v>73</v>
      </c>
      <c r="H30" t="s">
        <v>177</v>
      </c>
      <c r="I30">
        <v>3.75</v>
      </c>
      <c r="J30">
        <v>7.5</v>
      </c>
      <c r="K30">
        <v>13</v>
      </c>
      <c r="L30">
        <v>21</v>
      </c>
      <c r="M30">
        <v>965</v>
      </c>
      <c r="N30">
        <v>999</v>
      </c>
      <c r="O30">
        <v>142</v>
      </c>
      <c r="P30">
        <v>132</v>
      </c>
      <c r="Q30">
        <v>115</v>
      </c>
      <c r="R30">
        <v>210</v>
      </c>
      <c r="S30">
        <v>400</v>
      </c>
      <c r="T30">
        <v>14.214214214214213</v>
      </c>
      <c r="U30">
        <v>24.724724724724727</v>
      </c>
      <c r="V30">
        <v>7.5</v>
      </c>
      <c r="W30">
        <v>61.061061061061061</v>
      </c>
      <c r="X30">
        <v>-1.8691736385912101</v>
      </c>
      <c r="Y30">
        <v>0.15425107629939253</v>
      </c>
      <c r="Z30" t="s">
        <v>534</v>
      </c>
      <c r="AA30">
        <v>6.8</v>
      </c>
      <c r="AB30" t="s">
        <v>535</v>
      </c>
      <c r="AC30">
        <v>6.3E-2</v>
      </c>
      <c r="AD30">
        <v>1.62</v>
      </c>
      <c r="AE30">
        <v>7.2999999999999995E-2</v>
      </c>
      <c r="AF30">
        <v>0.112</v>
      </c>
      <c r="AG30">
        <v>19.420000000000002</v>
      </c>
      <c r="AH30">
        <v>1.57</v>
      </c>
      <c r="AI30">
        <v>66.2</v>
      </c>
      <c r="AJ30">
        <v>0.23</v>
      </c>
      <c r="AK30" s="141">
        <f>AK31-((AK31-AK33)/(I31-I33))*3.5</f>
        <v>1.3368027029103067</v>
      </c>
      <c r="AL30" s="141">
        <f>AL31-((AL31-AL33)/(I31-I33))*3.5</f>
        <v>1.366812692370674</v>
      </c>
      <c r="AM30">
        <f t="shared" si="2"/>
        <v>9.9538134321894347</v>
      </c>
      <c r="AN30" s="82">
        <f t="shared" si="1"/>
        <v>19.907626864378869</v>
      </c>
    </row>
    <row r="31" spans="1:45" ht="15" x14ac:dyDescent="0.25">
      <c r="A31" t="s">
        <v>558</v>
      </c>
      <c r="B31" t="s">
        <v>73</v>
      </c>
      <c r="C31" t="s">
        <v>189</v>
      </c>
      <c r="D31" t="s">
        <v>99</v>
      </c>
      <c r="E31" t="s">
        <v>111</v>
      </c>
      <c r="F31" t="s">
        <v>348</v>
      </c>
      <c r="G31" t="s">
        <v>73</v>
      </c>
      <c r="H31" t="s">
        <v>175</v>
      </c>
      <c r="I31">
        <v>16.25</v>
      </c>
      <c r="J31">
        <v>17.5</v>
      </c>
      <c r="K31">
        <v>21</v>
      </c>
      <c r="L31">
        <v>62</v>
      </c>
      <c r="M31">
        <v>917</v>
      </c>
      <c r="N31">
        <v>998</v>
      </c>
      <c r="O31">
        <v>126</v>
      </c>
      <c r="P31">
        <v>129</v>
      </c>
      <c r="Q31">
        <v>109</v>
      </c>
      <c r="R31">
        <v>180</v>
      </c>
      <c r="S31">
        <v>454</v>
      </c>
      <c r="T31">
        <v>12.625250501002002</v>
      </c>
      <c r="U31">
        <v>23.847695390781563</v>
      </c>
      <c r="V31">
        <f>25-7.5</f>
        <v>17.5</v>
      </c>
      <c r="W31">
        <v>63.527054108216433</v>
      </c>
      <c r="X31">
        <v>-1.7267944179539978</v>
      </c>
      <c r="Y31">
        <v>0.17785362153127093</v>
      </c>
      <c r="Z31" t="s">
        <v>534</v>
      </c>
      <c r="AA31">
        <v>6.2</v>
      </c>
      <c r="AB31" t="s">
        <v>474</v>
      </c>
      <c r="AC31">
        <v>7.5999999999999998E-2</v>
      </c>
      <c r="AD31">
        <v>1.18</v>
      </c>
      <c r="AE31">
        <v>7.0999999999999994E-2</v>
      </c>
      <c r="AF31">
        <v>0.126</v>
      </c>
      <c r="AG31">
        <v>20.41</v>
      </c>
      <c r="AH31">
        <v>1.61</v>
      </c>
      <c r="AI31">
        <v>67.3</v>
      </c>
      <c r="AJ31">
        <v>0.25</v>
      </c>
      <c r="AK31">
        <v>1.3668004666935645</v>
      </c>
      <c r="AL31">
        <v>1.3941680671448429</v>
      </c>
      <c r="AM31">
        <f t="shared" si="2"/>
        <v>46.239326656942644</v>
      </c>
      <c r="AN31" s="82">
        <f t="shared" si="1"/>
        <v>49.796197938245925</v>
      </c>
    </row>
    <row r="32" spans="1:45" ht="15" x14ac:dyDescent="0.25">
      <c r="A32" s="76"/>
      <c r="B32" s="76" t="str">
        <f>B31</f>
        <v>S-08-A</v>
      </c>
      <c r="C32" s="76" t="str">
        <f>C31</f>
        <v>Bullstofta</v>
      </c>
      <c r="D32" s="76" t="str">
        <f>D31</f>
        <v>Sugar beet</v>
      </c>
      <c r="E32" s="76" t="str">
        <f>E31</f>
        <v>Agr</v>
      </c>
      <c r="F32" s="76" t="str">
        <f>F31</f>
        <v>A</v>
      </c>
      <c r="H32" s="76" t="s">
        <v>176</v>
      </c>
      <c r="I32" s="76">
        <v>35</v>
      </c>
      <c r="J32" s="76">
        <v>20</v>
      </c>
      <c r="V32" s="76">
        <f>45-25</f>
        <v>20</v>
      </c>
      <c r="AG32" s="154">
        <f>AG31+((AG31-AG33)/(I31-I33))*(I32-I31)</f>
        <v>11.270344827586205</v>
      </c>
      <c r="AK32" s="154">
        <f>AK31+((AK31-AK33)/(I31-I33))*(I32-I31)</f>
        <v>1.5275027726753025</v>
      </c>
      <c r="AL32" s="154">
        <f>AL31+((AL31-AL33)/(I31-I33))*(I32-I31)</f>
        <v>1.5407147177207474</v>
      </c>
      <c r="AM32">
        <f>AL32*AG32*0.1*I32</f>
        <v>60.775351523774887</v>
      </c>
      <c r="AN32" s="82">
        <f t="shared" si="1"/>
        <v>34.728772299299933</v>
      </c>
    </row>
    <row r="33" spans="1:40" ht="15" x14ac:dyDescent="0.25">
      <c r="A33" t="s">
        <v>559</v>
      </c>
      <c r="B33" t="s">
        <v>73</v>
      </c>
      <c r="C33" t="s">
        <v>189</v>
      </c>
      <c r="D33" t="s">
        <v>99</v>
      </c>
      <c r="E33" t="s">
        <v>111</v>
      </c>
      <c r="F33" t="s">
        <v>348</v>
      </c>
      <c r="G33" t="s">
        <v>73</v>
      </c>
      <c r="H33" t="s">
        <v>21</v>
      </c>
      <c r="I33">
        <v>52.5</v>
      </c>
      <c r="J33">
        <v>15</v>
      </c>
      <c r="K33">
        <v>10</v>
      </c>
      <c r="L33">
        <v>7</v>
      </c>
      <c r="M33">
        <v>983</v>
      </c>
      <c r="N33">
        <v>999</v>
      </c>
      <c r="O33">
        <v>114</v>
      </c>
      <c r="P33">
        <v>134</v>
      </c>
      <c r="Q33">
        <v>92</v>
      </c>
      <c r="R33">
        <v>195</v>
      </c>
      <c r="S33">
        <v>464</v>
      </c>
      <c r="T33">
        <v>11.411411411411411</v>
      </c>
      <c r="U33">
        <v>22.622622622622622</v>
      </c>
      <c r="V33">
        <f>60-45</f>
        <v>15</v>
      </c>
      <c r="W33">
        <v>65.965965965965964</v>
      </c>
      <c r="X33">
        <v>-1.5976321777417588</v>
      </c>
      <c r="Y33">
        <v>0.202375139485515</v>
      </c>
      <c r="Z33" t="s">
        <v>534</v>
      </c>
      <c r="AA33">
        <v>5.7</v>
      </c>
      <c r="AB33" t="s">
        <v>20</v>
      </c>
      <c r="AC33">
        <v>2.3E-2</v>
      </c>
      <c r="AD33">
        <v>0.76</v>
      </c>
      <c r="AE33">
        <v>5.2999999999999999E-2</v>
      </c>
      <c r="AF33">
        <v>5.2999999999999999E-2</v>
      </c>
      <c r="AG33">
        <v>2.74</v>
      </c>
      <c r="AH33">
        <v>0.25</v>
      </c>
      <c r="AI33">
        <v>39</v>
      </c>
      <c r="AJ33">
        <v>0.09</v>
      </c>
      <c r="AK33" s="76">
        <f>-0.0042*T35+1.6859</f>
        <v>1.6774915915915916</v>
      </c>
      <c r="AL33" s="76">
        <f>AK33</f>
        <v>1.6774915915915916</v>
      </c>
      <c r="AM33">
        <f t="shared" si="2"/>
        <v>24.130716545045047</v>
      </c>
      <c r="AN33" s="82">
        <f t="shared" si="1"/>
        <v>6.8944904414414419</v>
      </c>
    </row>
    <row r="34" spans="1:40" ht="15" x14ac:dyDescent="0.25">
      <c r="A34" t="s">
        <v>560</v>
      </c>
      <c r="B34" t="s">
        <v>74</v>
      </c>
      <c r="C34" t="s">
        <v>396</v>
      </c>
      <c r="D34" t="s">
        <v>100</v>
      </c>
      <c r="E34" t="s">
        <v>114</v>
      </c>
      <c r="F34" t="s">
        <v>346</v>
      </c>
      <c r="G34" t="s">
        <v>397</v>
      </c>
      <c r="H34" t="s">
        <v>177</v>
      </c>
      <c r="I34">
        <v>3.75</v>
      </c>
      <c r="J34">
        <v>7.5</v>
      </c>
      <c r="K34">
        <v>0</v>
      </c>
      <c r="L34">
        <v>0</v>
      </c>
      <c r="M34">
        <v>1000</v>
      </c>
      <c r="N34">
        <v>999</v>
      </c>
      <c r="O34">
        <v>23</v>
      </c>
      <c r="P34">
        <v>6</v>
      </c>
      <c r="Q34">
        <v>15</v>
      </c>
      <c r="R34">
        <v>430</v>
      </c>
      <c r="S34">
        <v>525</v>
      </c>
      <c r="T34">
        <v>2.3023023023023024</v>
      </c>
      <c r="U34">
        <v>2.1021021021021022</v>
      </c>
      <c r="V34">
        <v>7.5</v>
      </c>
      <c r="W34">
        <v>95.595595595595597</v>
      </c>
      <c r="X34">
        <v>-0.21215191186482305</v>
      </c>
      <c r="Y34">
        <v>0.8088418155645698</v>
      </c>
      <c r="Z34" t="s">
        <v>534</v>
      </c>
      <c r="AA34">
        <v>5.9</v>
      </c>
      <c r="AB34" t="s">
        <v>20</v>
      </c>
      <c r="AC34">
        <v>0.108</v>
      </c>
      <c r="AD34">
        <v>0.4</v>
      </c>
      <c r="AE34">
        <v>6.5000000000000002E-2</v>
      </c>
      <c r="AF34">
        <v>2.5999999999999999E-2</v>
      </c>
      <c r="AG34">
        <v>14.01</v>
      </c>
      <c r="AH34">
        <v>0.97</v>
      </c>
      <c r="AI34">
        <v>22.9</v>
      </c>
      <c r="AJ34">
        <v>0.08</v>
      </c>
      <c r="AK34" s="141">
        <f>AK35-((AK35-AK37)/(I35-I37))*3.5</f>
        <v>1.3051487830204669</v>
      </c>
      <c r="AL34" s="141">
        <f>AL35-((AL35-AL37)/(I35-I37))*3.5</f>
        <v>1.2112347911925407</v>
      </c>
      <c r="AM34">
        <f t="shared" si="2"/>
        <v>6.3635247842278115</v>
      </c>
      <c r="AN34" s="82">
        <f t="shared" si="1"/>
        <v>12.727049568455623</v>
      </c>
    </row>
    <row r="35" spans="1:40" ht="15" x14ac:dyDescent="0.25">
      <c r="A35" t="s">
        <v>561</v>
      </c>
      <c r="B35" t="s">
        <v>74</v>
      </c>
      <c r="C35" t="s">
        <v>396</v>
      </c>
      <c r="D35" t="s">
        <v>100</v>
      </c>
      <c r="E35" t="s">
        <v>114</v>
      </c>
      <c r="F35" t="s">
        <v>346</v>
      </c>
      <c r="G35" t="s">
        <v>397</v>
      </c>
      <c r="H35" t="s">
        <v>175</v>
      </c>
      <c r="I35">
        <v>16.25</v>
      </c>
      <c r="J35">
        <v>17.5</v>
      </c>
      <c r="K35">
        <v>2</v>
      </c>
      <c r="L35">
        <v>0</v>
      </c>
      <c r="M35">
        <v>998</v>
      </c>
      <c r="N35">
        <v>999</v>
      </c>
      <c r="O35">
        <v>20</v>
      </c>
      <c r="P35">
        <v>14</v>
      </c>
      <c r="Q35">
        <v>16</v>
      </c>
      <c r="R35">
        <v>464</v>
      </c>
      <c r="S35">
        <v>485</v>
      </c>
      <c r="T35">
        <v>2.0020020020020022</v>
      </c>
      <c r="U35">
        <v>3.0030030030030028</v>
      </c>
      <c r="V35">
        <f>25-7.5</f>
        <v>17.5</v>
      </c>
      <c r="W35">
        <v>94.994994994994997</v>
      </c>
      <c r="X35">
        <v>-0.22443601447467459</v>
      </c>
      <c r="Y35">
        <v>0.79896669736826165</v>
      </c>
      <c r="Z35" t="s">
        <v>534</v>
      </c>
      <c r="AA35">
        <v>6.2</v>
      </c>
      <c r="AB35" t="s">
        <v>20</v>
      </c>
      <c r="AC35">
        <v>0.129</v>
      </c>
      <c r="AD35">
        <v>0.43</v>
      </c>
      <c r="AE35">
        <v>7.1999999999999995E-2</v>
      </c>
      <c r="AF35">
        <v>4.4999999999999998E-2</v>
      </c>
      <c r="AG35">
        <v>18.170000000000002</v>
      </c>
      <c r="AH35">
        <v>1.1200000000000001</v>
      </c>
      <c r="AI35">
        <v>21.2</v>
      </c>
      <c r="AJ35">
        <v>0.08</v>
      </c>
      <c r="AK35">
        <v>1.3378596481036364</v>
      </c>
      <c r="AL35">
        <v>1.252214812788861</v>
      </c>
      <c r="AM35">
        <f t="shared" si="2"/>
        <v>36.973207616107111</v>
      </c>
      <c r="AN35" s="82">
        <f t="shared" si="1"/>
        <v>39.817300509653812</v>
      </c>
    </row>
    <row r="36" spans="1:40" ht="15" x14ac:dyDescent="0.25">
      <c r="A36" s="76"/>
      <c r="B36" s="76" t="str">
        <f>B35</f>
        <v>S-13-A</v>
      </c>
      <c r="C36" s="76" t="str">
        <f>C35</f>
        <v>Långaveka</v>
      </c>
      <c r="D36" s="76" t="str">
        <f>D35</f>
        <v>Willow coppice</v>
      </c>
      <c r="E36" s="76" t="str">
        <f>E35</f>
        <v>SRWC</v>
      </c>
      <c r="F36" s="76" t="str">
        <f>F35</f>
        <v>W</v>
      </c>
      <c r="H36" s="76" t="s">
        <v>176</v>
      </c>
      <c r="I36" s="76">
        <v>35</v>
      </c>
      <c r="J36" s="76">
        <v>20</v>
      </c>
      <c r="V36" s="76">
        <f>45-25</f>
        <v>20</v>
      </c>
      <c r="AG36" s="154">
        <f>AG35+((AG35-AG37)/(I35-I37))*(I36-I35)</f>
        <v>20.052758620689655</v>
      </c>
      <c r="AK36" s="154">
        <f>AK35+((AK35-AK37)/(I35-I37))*(I36-I35)</f>
        <v>1.5130964253349024</v>
      </c>
      <c r="AL36" s="154">
        <f>AL35+((AL35-AL37)/(I35-I37))*(I36-I35)</f>
        <v>1.4717506427691487</v>
      </c>
      <c r="AM36">
        <f t="shared" si="2"/>
        <v>103.29431136253108</v>
      </c>
      <c r="AN36" s="82">
        <f t="shared" si="1"/>
        <v>59.025320778589183</v>
      </c>
    </row>
    <row r="37" spans="1:40" ht="15" x14ac:dyDescent="0.25">
      <c r="A37" t="s">
        <v>562</v>
      </c>
      <c r="B37" t="s">
        <v>74</v>
      </c>
      <c r="C37" t="s">
        <v>396</v>
      </c>
      <c r="D37" t="s">
        <v>100</v>
      </c>
      <c r="E37" t="s">
        <v>114</v>
      </c>
      <c r="F37" t="s">
        <v>346</v>
      </c>
      <c r="G37" t="s">
        <v>397</v>
      </c>
      <c r="H37" t="s">
        <v>21</v>
      </c>
      <c r="I37">
        <v>52.5</v>
      </c>
      <c r="J37">
        <v>15</v>
      </c>
      <c r="K37">
        <v>0</v>
      </c>
      <c r="L37">
        <v>0</v>
      </c>
      <c r="M37">
        <v>1000</v>
      </c>
      <c r="N37">
        <v>999</v>
      </c>
      <c r="O37">
        <v>10</v>
      </c>
      <c r="P37">
        <v>1</v>
      </c>
      <c r="Q37">
        <v>7</v>
      </c>
      <c r="R37">
        <v>107</v>
      </c>
      <c r="S37">
        <v>874</v>
      </c>
      <c r="T37">
        <v>1.0010010010010011</v>
      </c>
      <c r="U37">
        <v>0.80080080080080074</v>
      </c>
      <c r="V37">
        <f>60-45</f>
        <v>15</v>
      </c>
      <c r="W37">
        <v>98.198198198198199</v>
      </c>
      <c r="X37">
        <v>-7.4125495261613869E-2</v>
      </c>
      <c r="Y37">
        <v>0.92855515725666271</v>
      </c>
      <c r="Z37" t="s">
        <v>534</v>
      </c>
      <c r="AA37">
        <v>5.7</v>
      </c>
      <c r="AB37" t="s">
        <v>535</v>
      </c>
      <c r="AC37">
        <v>2.8000000000000001E-2</v>
      </c>
      <c r="AD37">
        <v>0.11</v>
      </c>
      <c r="AE37">
        <v>2.8000000000000001E-2</v>
      </c>
      <c r="AF37">
        <v>1.4E-2</v>
      </c>
      <c r="AG37">
        <v>21.81</v>
      </c>
      <c r="AH37">
        <v>0.72</v>
      </c>
      <c r="AI37">
        <v>6.6</v>
      </c>
      <c r="AJ37">
        <v>0.02</v>
      </c>
      <c r="AK37" s="76">
        <f>-0.0042*T39+1.6859</f>
        <v>1.6766507507507507</v>
      </c>
      <c r="AL37" s="76">
        <f>AK37</f>
        <v>1.6766507507507507</v>
      </c>
      <c r="AM37">
        <f t="shared" si="2"/>
        <v>191.98070258783784</v>
      </c>
      <c r="AN37" s="82">
        <f t="shared" si="1"/>
        <v>54.851629310810807</v>
      </c>
    </row>
    <row r="38" spans="1:40" ht="15" x14ac:dyDescent="0.25">
      <c r="A38" t="s">
        <v>563</v>
      </c>
      <c r="B38" t="s">
        <v>75</v>
      </c>
      <c r="C38" t="s">
        <v>396</v>
      </c>
      <c r="D38" t="s">
        <v>100</v>
      </c>
      <c r="E38" t="s">
        <v>114</v>
      </c>
      <c r="F38" t="s">
        <v>346</v>
      </c>
      <c r="G38" t="s">
        <v>397</v>
      </c>
      <c r="H38" t="s">
        <v>177</v>
      </c>
      <c r="I38">
        <v>3.75</v>
      </c>
      <c r="J38">
        <v>7.5</v>
      </c>
      <c r="K38">
        <v>0</v>
      </c>
      <c r="L38">
        <v>0</v>
      </c>
      <c r="M38">
        <v>1000</v>
      </c>
      <c r="N38">
        <v>999</v>
      </c>
      <c r="O38">
        <v>34</v>
      </c>
      <c r="P38">
        <v>7</v>
      </c>
      <c r="Q38">
        <v>21</v>
      </c>
      <c r="R38">
        <v>491</v>
      </c>
      <c r="S38">
        <v>446</v>
      </c>
      <c r="T38">
        <v>3.4034034034034035</v>
      </c>
      <c r="U38">
        <v>2.8028028028028027</v>
      </c>
      <c r="V38">
        <v>7.5</v>
      </c>
      <c r="W38">
        <v>93.793793793793796</v>
      </c>
      <c r="X38">
        <v>-0.31423137761272574</v>
      </c>
      <c r="Y38">
        <v>0.73035002196351773</v>
      </c>
      <c r="Z38" t="s">
        <v>534</v>
      </c>
      <c r="AA38">
        <v>5.2</v>
      </c>
      <c r="AB38" t="s">
        <v>20</v>
      </c>
      <c r="AC38">
        <v>0.13200000000000001</v>
      </c>
      <c r="AD38">
        <v>0.41</v>
      </c>
      <c r="AE38">
        <v>6.7000000000000004E-2</v>
      </c>
      <c r="AF38">
        <v>3.2000000000000001E-2</v>
      </c>
      <c r="AG38">
        <v>29.77</v>
      </c>
      <c r="AH38">
        <v>1.98</v>
      </c>
      <c r="AI38">
        <v>25.1</v>
      </c>
      <c r="AJ38">
        <v>0.09</v>
      </c>
      <c r="AK38" s="141">
        <f>AK39-((AK39-AK41)/(I39-I41))*3.5</f>
        <v>1.3376725740369217</v>
      </c>
      <c r="AL38" s="141">
        <f>AL39-((AL39-AL41)/(I39-I41))*3.5</f>
        <v>1.2198988949266916</v>
      </c>
      <c r="AM38">
        <f t="shared" si="2"/>
        <v>13.618646288237851</v>
      </c>
      <c r="AN38" s="82">
        <f t="shared" si="1"/>
        <v>27.237292576475703</v>
      </c>
    </row>
    <row r="39" spans="1:40" ht="15" x14ac:dyDescent="0.25">
      <c r="A39" t="s">
        <v>564</v>
      </c>
      <c r="B39" t="s">
        <v>75</v>
      </c>
      <c r="C39" t="s">
        <v>396</v>
      </c>
      <c r="D39" t="s">
        <v>100</v>
      </c>
      <c r="E39" t="s">
        <v>114</v>
      </c>
      <c r="F39" t="s">
        <v>346</v>
      </c>
      <c r="G39" t="s">
        <v>397</v>
      </c>
      <c r="H39" t="s">
        <v>175</v>
      </c>
      <c r="I39">
        <v>16.25</v>
      </c>
      <c r="J39">
        <v>17.5</v>
      </c>
      <c r="K39">
        <v>0</v>
      </c>
      <c r="L39">
        <v>0</v>
      </c>
      <c r="M39">
        <v>1000</v>
      </c>
      <c r="N39">
        <v>999</v>
      </c>
      <c r="O39">
        <v>22</v>
      </c>
      <c r="P39">
        <v>3</v>
      </c>
      <c r="Q39">
        <v>19</v>
      </c>
      <c r="R39">
        <v>415</v>
      </c>
      <c r="S39">
        <v>540</v>
      </c>
      <c r="T39">
        <v>2.2022022022022023</v>
      </c>
      <c r="U39">
        <v>2.2022022022022023</v>
      </c>
      <c r="V39">
        <f>25-7.5</f>
        <v>17.5</v>
      </c>
      <c r="W39">
        <v>95.595595595595597</v>
      </c>
      <c r="X39">
        <v>-0.20889055396890563</v>
      </c>
      <c r="Y39">
        <v>0.81148404449140077</v>
      </c>
      <c r="Z39" t="s">
        <v>534</v>
      </c>
      <c r="AA39">
        <v>5.8</v>
      </c>
      <c r="AB39" t="s">
        <v>20</v>
      </c>
      <c r="AC39">
        <v>0.13200000000000001</v>
      </c>
      <c r="AD39">
        <v>0.36</v>
      </c>
      <c r="AE39">
        <v>4.7E-2</v>
      </c>
      <c r="AF39">
        <v>3.7999999999999999E-2</v>
      </c>
      <c r="AG39">
        <v>20.43</v>
      </c>
      <c r="AH39">
        <v>1.17</v>
      </c>
      <c r="AI39">
        <v>23.1</v>
      </c>
      <c r="AJ39">
        <v>0.09</v>
      </c>
      <c r="AK39">
        <v>1.3526013945525293</v>
      </c>
      <c r="AL39">
        <v>1.245197724923703</v>
      </c>
      <c r="AM39">
        <f t="shared" si="2"/>
        <v>41.339007970310789</v>
      </c>
      <c r="AN39" s="82">
        <f t="shared" si="1"/>
        <v>44.518931660334701</v>
      </c>
    </row>
    <row r="40" spans="1:40" ht="15" x14ac:dyDescent="0.25">
      <c r="A40" s="76"/>
      <c r="B40" s="76" t="str">
        <f>B39</f>
        <v>S-14-A</v>
      </c>
      <c r="C40" s="76" t="str">
        <f>C39</f>
        <v>Långaveka</v>
      </c>
      <c r="D40" s="76" t="str">
        <f>D39</f>
        <v>Willow coppice</v>
      </c>
      <c r="E40" s="76" t="str">
        <f>E39</f>
        <v>SRWC</v>
      </c>
      <c r="F40" s="76" t="str">
        <f>F39</f>
        <v>W</v>
      </c>
      <c r="H40" s="76" t="s">
        <v>176</v>
      </c>
      <c r="I40" s="76">
        <v>35</v>
      </c>
      <c r="J40" s="76">
        <v>20</v>
      </c>
      <c r="V40" s="76">
        <f>45-25</f>
        <v>20</v>
      </c>
      <c r="AG40" s="154">
        <f>AG39+((AG39-AG41)/(I39-I41))*(I40-I39)</f>
        <v>10.612758620689654</v>
      </c>
      <c r="AK40" s="154">
        <f>AK39+((AK39-AK41)/(I39-I41))*(I40-I39)</f>
        <v>1.4325772187432837</v>
      </c>
      <c r="AL40" s="154">
        <f>AL39+((AL39-AL41)/(I39-I41))*(I40-I39)</f>
        <v>1.3807271713362641</v>
      </c>
      <c r="AM40">
        <f t="shared" si="2"/>
        <v>51.286634666467826</v>
      </c>
      <c r="AN40" s="82">
        <f t="shared" si="1"/>
        <v>29.306648380838759</v>
      </c>
    </row>
    <row r="41" spans="1:40" ht="15" x14ac:dyDescent="0.25">
      <c r="A41" t="s">
        <v>565</v>
      </c>
      <c r="B41" t="s">
        <v>75</v>
      </c>
      <c r="C41" t="s">
        <v>396</v>
      </c>
      <c r="D41" t="s">
        <v>100</v>
      </c>
      <c r="E41" t="s">
        <v>114</v>
      </c>
      <c r="F41" t="s">
        <v>346</v>
      </c>
      <c r="G41" t="s">
        <v>397</v>
      </c>
      <c r="H41" t="s">
        <v>21</v>
      </c>
      <c r="I41">
        <v>52.5</v>
      </c>
      <c r="J41">
        <v>15</v>
      </c>
      <c r="K41">
        <v>0</v>
      </c>
      <c r="L41">
        <v>0</v>
      </c>
      <c r="M41">
        <v>1000</v>
      </c>
      <c r="N41">
        <v>996</v>
      </c>
      <c r="O41">
        <v>5</v>
      </c>
      <c r="P41">
        <v>0</v>
      </c>
      <c r="Q41">
        <v>1</v>
      </c>
      <c r="R41">
        <v>390</v>
      </c>
      <c r="S41">
        <v>600</v>
      </c>
      <c r="T41">
        <v>0.50200803212851408</v>
      </c>
      <c r="U41">
        <v>0.1004016064257028</v>
      </c>
      <c r="V41">
        <f>60-45</f>
        <v>15</v>
      </c>
      <c r="W41">
        <v>99.397590361445793</v>
      </c>
      <c r="X41">
        <v>-1.379794043313618E-2</v>
      </c>
      <c r="Y41">
        <v>0.98629681483712606</v>
      </c>
      <c r="Z41" t="s">
        <v>534</v>
      </c>
      <c r="AA41">
        <v>6.6</v>
      </c>
      <c r="AB41" t="s">
        <v>20</v>
      </c>
      <c r="AC41">
        <v>0.06</v>
      </c>
      <c r="AD41">
        <v>1.2</v>
      </c>
      <c r="AE41">
        <v>1.4999999999999999E-2</v>
      </c>
      <c r="AF41">
        <v>1.4999999999999999E-2</v>
      </c>
      <c r="AG41">
        <v>1.45</v>
      </c>
      <c r="AH41">
        <v>0.09</v>
      </c>
      <c r="AI41">
        <v>11.6</v>
      </c>
      <c r="AJ41">
        <v>0.03</v>
      </c>
      <c r="AK41" s="76">
        <f>-0.0042*T43+1.6859</f>
        <v>1.5072213213213213</v>
      </c>
      <c r="AL41" s="76">
        <f>AK41</f>
        <v>1.5072213213213213</v>
      </c>
      <c r="AM41">
        <f t="shared" si="2"/>
        <v>11.473722308558559</v>
      </c>
      <c r="AN41" s="82">
        <f t="shared" si="1"/>
        <v>3.2782063738738736</v>
      </c>
    </row>
    <row r="42" spans="1:40" ht="15" x14ac:dyDescent="0.25">
      <c r="A42" t="s">
        <v>566</v>
      </c>
      <c r="B42" t="s">
        <v>76</v>
      </c>
      <c r="C42" t="s">
        <v>210</v>
      </c>
      <c r="D42" t="s">
        <v>101</v>
      </c>
      <c r="E42" t="s">
        <v>111</v>
      </c>
      <c r="F42" t="s">
        <v>348</v>
      </c>
      <c r="G42" t="s">
        <v>76</v>
      </c>
      <c r="H42" t="s">
        <v>177</v>
      </c>
      <c r="I42">
        <v>3.75</v>
      </c>
      <c r="J42">
        <v>7.5</v>
      </c>
      <c r="K42">
        <v>0</v>
      </c>
      <c r="L42">
        <v>0</v>
      </c>
      <c r="M42">
        <v>1000</v>
      </c>
      <c r="N42">
        <v>999</v>
      </c>
      <c r="O42">
        <v>422</v>
      </c>
      <c r="P42">
        <v>444</v>
      </c>
      <c r="Q42">
        <v>116</v>
      </c>
      <c r="R42">
        <v>10</v>
      </c>
      <c r="S42">
        <v>7</v>
      </c>
      <c r="T42">
        <v>42.242242242242241</v>
      </c>
      <c r="U42">
        <v>56.056056056056057</v>
      </c>
      <c r="V42">
        <v>7.5</v>
      </c>
      <c r="W42">
        <v>1.7017017017017018</v>
      </c>
      <c r="X42">
        <v>-4.9634252735279203</v>
      </c>
      <c r="Y42">
        <v>6.9889477291794899E-3</v>
      </c>
      <c r="Z42" t="s">
        <v>534</v>
      </c>
      <c r="AA42">
        <v>6.4</v>
      </c>
      <c r="AB42" t="s">
        <v>20</v>
      </c>
      <c r="AC42">
        <v>9.5000000000000001E-2</v>
      </c>
      <c r="AD42">
        <v>2.11</v>
      </c>
      <c r="AE42">
        <v>0.253</v>
      </c>
      <c r="AF42">
        <v>0.29499999999999998</v>
      </c>
      <c r="AG42">
        <v>17.059999999999999</v>
      </c>
      <c r="AH42">
        <v>1.71</v>
      </c>
      <c r="AI42">
        <v>127</v>
      </c>
      <c r="AJ42">
        <v>0.22</v>
      </c>
      <c r="AK42" s="141">
        <f>AK43-((AK43-AK45)/(I43-I45))*3.5</f>
        <v>1.3366741805837756</v>
      </c>
      <c r="AL42" s="141">
        <f>AL43-((AL43-AL45)/(I43-I45))*3.5</f>
        <v>1.3295253138617027</v>
      </c>
      <c r="AM42">
        <f t="shared" si="2"/>
        <v>8.5056381954302438</v>
      </c>
      <c r="AN42" s="82">
        <f t="shared" si="1"/>
        <v>17.011276390860488</v>
      </c>
    </row>
    <row r="43" spans="1:40" ht="15" x14ac:dyDescent="0.25">
      <c r="A43" t="s">
        <v>567</v>
      </c>
      <c r="B43" t="s">
        <v>76</v>
      </c>
      <c r="C43" t="s">
        <v>210</v>
      </c>
      <c r="D43" t="s">
        <v>101</v>
      </c>
      <c r="E43" t="s">
        <v>111</v>
      </c>
      <c r="F43" t="s">
        <v>348</v>
      </c>
      <c r="G43" t="s">
        <v>76</v>
      </c>
      <c r="H43" t="s">
        <v>175</v>
      </c>
      <c r="I43">
        <v>16.25</v>
      </c>
      <c r="J43">
        <v>17.5</v>
      </c>
      <c r="K43">
        <v>0</v>
      </c>
      <c r="L43">
        <v>3</v>
      </c>
      <c r="M43">
        <v>997</v>
      </c>
      <c r="N43">
        <v>999</v>
      </c>
      <c r="O43">
        <v>425</v>
      </c>
      <c r="P43">
        <v>423</v>
      </c>
      <c r="Q43">
        <v>134</v>
      </c>
      <c r="R43">
        <v>9</v>
      </c>
      <c r="S43">
        <v>8</v>
      </c>
      <c r="T43">
        <v>42.542542542542542</v>
      </c>
      <c r="U43">
        <v>55.755755755755757</v>
      </c>
      <c r="V43">
        <f>25-7.5</f>
        <v>17.5</v>
      </c>
      <c r="W43">
        <v>1.7017017017017018</v>
      </c>
      <c r="X43">
        <v>-4.9732093472156729</v>
      </c>
      <c r="Y43">
        <v>6.9209007806097442E-3</v>
      </c>
      <c r="Z43" t="s">
        <v>534</v>
      </c>
      <c r="AA43">
        <v>5.9</v>
      </c>
      <c r="AB43" t="s">
        <v>20</v>
      </c>
      <c r="AC43">
        <v>8.4000000000000005E-2</v>
      </c>
      <c r="AD43">
        <v>1.77</v>
      </c>
      <c r="AE43">
        <v>0.254</v>
      </c>
      <c r="AF43">
        <v>0.23699999999999999</v>
      </c>
      <c r="AG43">
        <v>14.77</v>
      </c>
      <c r="AH43">
        <v>1.47</v>
      </c>
      <c r="AI43">
        <v>127</v>
      </c>
      <c r="AJ43">
        <v>0.2</v>
      </c>
      <c r="AK43">
        <v>1.3429546265036283</v>
      </c>
      <c r="AL43">
        <v>1.3364352197445051</v>
      </c>
      <c r="AM43">
        <f t="shared" si="2"/>
        <v>32.076115817892799</v>
      </c>
      <c r="AN43" s="82">
        <f t="shared" si="1"/>
        <v>34.543509342346091</v>
      </c>
    </row>
    <row r="44" spans="1:40" ht="15" x14ac:dyDescent="0.25">
      <c r="A44" s="76"/>
      <c r="B44" s="76" t="str">
        <f>B43</f>
        <v>S-15-16-A</v>
      </c>
      <c r="C44" s="76" t="str">
        <f>C43</f>
        <v>Malmön</v>
      </c>
      <c r="D44" s="76" t="str">
        <f>D43</f>
        <v>Oats</v>
      </c>
      <c r="E44" s="76" t="str">
        <f>E43</f>
        <v>Agr</v>
      </c>
      <c r="F44" s="76" t="str">
        <f>F43</f>
        <v>A</v>
      </c>
      <c r="H44" s="76" t="s">
        <v>176</v>
      </c>
      <c r="I44" s="76">
        <v>35</v>
      </c>
      <c r="J44" s="76">
        <v>20</v>
      </c>
      <c r="V44" s="76">
        <f>45-25</f>
        <v>20</v>
      </c>
      <c r="AG44" s="154">
        <f>AG43+((AG43-AG45)/(I43-I45))*(I44-I43)</f>
        <v>15.095862068965518</v>
      </c>
      <c r="AK44" s="154">
        <f>AK43+((AK43-AK45)/(I43-I45))*(I44-I43)</f>
        <v>1.3765998725028388</v>
      </c>
      <c r="AL44" s="154">
        <f>AL43+((AL43-AL45)/(I43-I45))*(I44-I43)</f>
        <v>1.3734525726880897</v>
      </c>
      <c r="AM44">
        <f t="shared" si="2"/>
        <v>72.567077084478356</v>
      </c>
      <c r="AN44" s="82">
        <f t="shared" si="1"/>
        <v>41.466901191130489</v>
      </c>
    </row>
    <row r="45" spans="1:40" ht="15" x14ac:dyDescent="0.25">
      <c r="A45" t="s">
        <v>568</v>
      </c>
      <c r="B45" t="s">
        <v>76</v>
      </c>
      <c r="C45" t="s">
        <v>210</v>
      </c>
      <c r="D45" t="s">
        <v>101</v>
      </c>
      <c r="E45" t="s">
        <v>111</v>
      </c>
      <c r="F45" t="s">
        <v>348</v>
      </c>
      <c r="G45" t="s">
        <v>76</v>
      </c>
      <c r="H45" t="s">
        <v>21</v>
      </c>
      <c r="I45">
        <v>52.5</v>
      </c>
      <c r="J45">
        <v>15</v>
      </c>
      <c r="K45">
        <v>0</v>
      </c>
      <c r="L45">
        <v>0</v>
      </c>
      <c r="M45">
        <v>1000</v>
      </c>
      <c r="N45">
        <v>998</v>
      </c>
      <c r="O45">
        <v>611</v>
      </c>
      <c r="P45">
        <v>327</v>
      </c>
      <c r="Q45">
        <v>43</v>
      </c>
      <c r="R45">
        <v>6</v>
      </c>
      <c r="S45">
        <v>11</v>
      </c>
      <c r="T45">
        <v>61.22244488977956</v>
      </c>
      <c r="U45">
        <v>37.074148296593187</v>
      </c>
      <c r="V45">
        <f>60-45</f>
        <v>15</v>
      </c>
      <c r="W45">
        <v>1.7034068136272544</v>
      </c>
      <c r="X45">
        <v>-5.5817559470936793</v>
      </c>
      <c r="Y45">
        <v>3.76594690600134E-3</v>
      </c>
      <c r="Z45" t="s">
        <v>534</v>
      </c>
      <c r="AA45">
        <v>4.5</v>
      </c>
      <c r="AB45" t="s">
        <v>474</v>
      </c>
      <c r="AC45">
        <v>8.3000000000000004E-2</v>
      </c>
      <c r="AD45">
        <v>0.83</v>
      </c>
      <c r="AE45">
        <v>0.33800000000000002</v>
      </c>
      <c r="AF45">
        <v>0.27600000000000002</v>
      </c>
      <c r="AG45">
        <v>15.4</v>
      </c>
      <c r="AH45">
        <v>1.64</v>
      </c>
      <c r="AI45">
        <v>148</v>
      </c>
      <c r="AJ45">
        <v>0.2</v>
      </c>
      <c r="AK45" s="76">
        <f>-0.0042*T47+1.6859</f>
        <v>1.4080021021021021</v>
      </c>
      <c r="AL45" s="76">
        <f>AK45</f>
        <v>1.4080021021021021</v>
      </c>
      <c r="AM45">
        <f t="shared" si="2"/>
        <v>113.83696995495497</v>
      </c>
      <c r="AN45" s="82">
        <f t="shared" si="1"/>
        <v>32.52484855855856</v>
      </c>
    </row>
    <row r="46" spans="1:40" ht="15" x14ac:dyDescent="0.25">
      <c r="A46" t="s">
        <v>569</v>
      </c>
      <c r="B46" t="s">
        <v>77</v>
      </c>
      <c r="C46" t="s">
        <v>131</v>
      </c>
      <c r="D46" t="s">
        <v>100</v>
      </c>
      <c r="E46" t="s">
        <v>114</v>
      </c>
      <c r="F46" t="s">
        <v>348</v>
      </c>
      <c r="G46" t="s">
        <v>597</v>
      </c>
      <c r="H46" t="s">
        <v>177</v>
      </c>
      <c r="I46">
        <v>3.75</v>
      </c>
      <c r="J46">
        <v>7.5</v>
      </c>
      <c r="K46">
        <v>0</v>
      </c>
      <c r="L46">
        <v>14</v>
      </c>
      <c r="M46">
        <v>986</v>
      </c>
      <c r="N46">
        <v>998</v>
      </c>
      <c r="O46">
        <v>647</v>
      </c>
      <c r="P46">
        <v>277</v>
      </c>
      <c r="Q46">
        <v>53</v>
      </c>
      <c r="R46">
        <v>12</v>
      </c>
      <c r="S46">
        <v>9</v>
      </c>
      <c r="T46">
        <v>64.829659318637283</v>
      </c>
      <c r="U46">
        <v>33.06613226452906</v>
      </c>
      <c r="V46">
        <v>7.5</v>
      </c>
      <c r="W46">
        <v>2.1042084168336674</v>
      </c>
      <c r="X46">
        <v>-5.6845556163868345</v>
      </c>
      <c r="Y46">
        <v>3.3980429487676421E-3</v>
      </c>
      <c r="Z46" t="s">
        <v>534</v>
      </c>
      <c r="AA46">
        <v>6.3</v>
      </c>
      <c r="AB46" t="s">
        <v>474</v>
      </c>
      <c r="AC46">
        <v>3.4000000000000002E-2</v>
      </c>
      <c r="AD46">
        <v>4.7300000000000004</v>
      </c>
      <c r="AE46">
        <v>0.46100000000000002</v>
      </c>
      <c r="AF46">
        <v>0.19800000000000001</v>
      </c>
      <c r="AG46">
        <v>32.299999999999997</v>
      </c>
      <c r="AH46">
        <v>3.56</v>
      </c>
      <c r="AI46">
        <v>146</v>
      </c>
      <c r="AJ46">
        <v>0.27</v>
      </c>
      <c r="AK46" s="141">
        <f>AK47-((AK47-AK49)/(I47-I49))*3.5</f>
        <v>1.1905013335555967</v>
      </c>
      <c r="AL46" s="141">
        <f>AL47-((AL47-AL49)/(I47-I49))*3.5</f>
        <v>1.2746111981761661</v>
      </c>
      <c r="AM46">
        <f t="shared" si="2"/>
        <v>15.438728137908809</v>
      </c>
      <c r="AN46" s="82">
        <f t="shared" si="1"/>
        <v>30.877456275817618</v>
      </c>
    </row>
    <row r="47" spans="1:40" ht="15" x14ac:dyDescent="0.25">
      <c r="A47" t="s">
        <v>570</v>
      </c>
      <c r="B47" t="s">
        <v>77</v>
      </c>
      <c r="C47" t="s">
        <v>131</v>
      </c>
      <c r="D47" t="s">
        <v>100</v>
      </c>
      <c r="E47" t="s">
        <v>114</v>
      </c>
      <c r="F47" t="s">
        <v>348</v>
      </c>
      <c r="G47" t="s">
        <v>597</v>
      </c>
      <c r="H47" t="s">
        <v>175</v>
      </c>
      <c r="I47">
        <v>16.25</v>
      </c>
      <c r="J47">
        <v>17.5</v>
      </c>
      <c r="K47">
        <v>0</v>
      </c>
      <c r="L47">
        <v>2</v>
      </c>
      <c r="M47">
        <v>997</v>
      </c>
      <c r="N47">
        <v>999</v>
      </c>
      <c r="O47">
        <v>661</v>
      </c>
      <c r="P47">
        <v>283</v>
      </c>
      <c r="Q47">
        <v>39</v>
      </c>
      <c r="R47">
        <v>10</v>
      </c>
      <c r="S47">
        <v>6</v>
      </c>
      <c r="T47">
        <v>66.166166166166164</v>
      </c>
      <c r="U47">
        <v>32.232232232232235</v>
      </c>
      <c r="V47">
        <f>25-7.5</f>
        <v>17.5</v>
      </c>
      <c r="W47">
        <v>1.6016016016016015</v>
      </c>
      <c r="X47">
        <v>-5.7465678400351123</v>
      </c>
      <c r="Y47">
        <v>3.1937233769379794E-3</v>
      </c>
      <c r="Z47" t="s">
        <v>534</v>
      </c>
      <c r="AA47">
        <v>6.3</v>
      </c>
      <c r="AB47" t="s">
        <v>20</v>
      </c>
      <c r="AC47">
        <v>2.4E-2</v>
      </c>
      <c r="AD47">
        <v>4.9800000000000004</v>
      </c>
      <c r="AE47">
        <v>0.47</v>
      </c>
      <c r="AF47">
        <v>0.16700000000000001</v>
      </c>
      <c r="AG47">
        <v>32.17</v>
      </c>
      <c r="AH47">
        <v>3.54</v>
      </c>
      <c r="AI47">
        <v>147</v>
      </c>
      <c r="AJ47">
        <v>0.28000000000000003</v>
      </c>
      <c r="AK47">
        <v>1.212147583083339</v>
      </c>
      <c r="AL47">
        <v>1.2888515476744242</v>
      </c>
      <c r="AM47">
        <f t="shared" si="2"/>
        <v>67.37632571911513</v>
      </c>
      <c r="AN47" s="82">
        <f t="shared" si="1"/>
        <v>72.55912000520091</v>
      </c>
    </row>
    <row r="48" spans="1:40" ht="15" x14ac:dyDescent="0.25">
      <c r="A48" s="76"/>
      <c r="B48" s="76" t="str">
        <f>B47</f>
        <v>S-17-A</v>
      </c>
      <c r="C48" s="76" t="str">
        <f>C47</f>
        <v>Bodarna</v>
      </c>
      <c r="D48" s="76" t="str">
        <f>D47</f>
        <v>Willow coppice</v>
      </c>
      <c r="E48" s="76" t="str">
        <f>E47</f>
        <v>SRWC</v>
      </c>
      <c r="F48" s="76" t="str">
        <f>F47</f>
        <v>A</v>
      </c>
      <c r="H48" s="76" t="s">
        <v>176</v>
      </c>
      <c r="I48" s="76">
        <v>35</v>
      </c>
      <c r="J48" s="76">
        <v>20</v>
      </c>
      <c r="V48" s="76">
        <f>45-25</f>
        <v>20</v>
      </c>
      <c r="AG48" s="154">
        <f>AG47+((AG47-AG49)/(I47-I49))*(I48-I47)</f>
        <v>19.952758620689657</v>
      </c>
      <c r="AK48" s="154">
        <f>AK47+((AK47-AK49)/(I47-I49))*(I48-I47)</f>
        <v>1.3281096341248155</v>
      </c>
      <c r="AL48" s="154">
        <f>AL47+((AL47-AL49)/(I47-I49))*(I48-I47)</f>
        <v>1.3651391342722361</v>
      </c>
      <c r="AM48">
        <f t="shared" si="2"/>
        <v>95.334020704269122</v>
      </c>
      <c r="AN48" s="82">
        <f t="shared" si="1"/>
        <v>54.476583259582355</v>
      </c>
    </row>
    <row r="49" spans="1:40" ht="15" x14ac:dyDescent="0.25">
      <c r="A49" t="s">
        <v>571</v>
      </c>
      <c r="B49" t="s">
        <v>77</v>
      </c>
      <c r="C49" t="s">
        <v>131</v>
      </c>
      <c r="D49" t="s">
        <v>100</v>
      </c>
      <c r="E49" t="s">
        <v>114</v>
      </c>
      <c r="F49" t="s">
        <v>348</v>
      </c>
      <c r="G49" t="s">
        <v>597</v>
      </c>
      <c r="H49" t="s">
        <v>21</v>
      </c>
      <c r="I49">
        <v>52.5</v>
      </c>
      <c r="J49">
        <v>15</v>
      </c>
      <c r="K49">
        <v>0</v>
      </c>
      <c r="L49">
        <v>0</v>
      </c>
      <c r="M49">
        <v>1000</v>
      </c>
      <c r="N49">
        <v>999</v>
      </c>
      <c r="O49">
        <v>671</v>
      </c>
      <c r="P49">
        <v>247</v>
      </c>
      <c r="Q49">
        <v>66</v>
      </c>
      <c r="R49">
        <v>11</v>
      </c>
      <c r="S49">
        <v>4</v>
      </c>
      <c r="T49">
        <v>67.167167167167165</v>
      </c>
      <c r="U49">
        <v>31.331331331331331</v>
      </c>
      <c r="V49">
        <f>60-45</f>
        <v>15</v>
      </c>
      <c r="W49">
        <v>1.5015015015015014</v>
      </c>
      <c r="X49">
        <v>-5.78285944837722</v>
      </c>
      <c r="Y49">
        <v>3.0798960013036962E-3</v>
      </c>
      <c r="Z49" t="s">
        <v>534</v>
      </c>
      <c r="AA49">
        <v>7.1</v>
      </c>
      <c r="AB49" t="s">
        <v>20</v>
      </c>
      <c r="AC49">
        <v>4.0000000000000001E-3</v>
      </c>
      <c r="AD49">
        <v>3.81</v>
      </c>
      <c r="AE49">
        <v>0.372</v>
      </c>
      <c r="AF49">
        <v>0.189</v>
      </c>
      <c r="AG49">
        <v>8.5500000000000007</v>
      </c>
      <c r="AH49">
        <v>1.1499999999999999</v>
      </c>
      <c r="AI49">
        <v>140</v>
      </c>
      <c r="AJ49">
        <v>0.25</v>
      </c>
      <c r="AK49" s="76">
        <f>-0.0042*T51+1.6859</f>
        <v>1.436340881763527</v>
      </c>
      <c r="AL49" s="76">
        <f>AK49</f>
        <v>1.436340881763527</v>
      </c>
      <c r="AM49">
        <f t="shared" si="2"/>
        <v>64.47375133016034</v>
      </c>
      <c r="AN49" s="82">
        <f t="shared" si="1"/>
        <v>18.421071808617238</v>
      </c>
    </row>
    <row r="50" spans="1:40" ht="15" x14ac:dyDescent="0.25">
      <c r="A50" t="s">
        <v>572</v>
      </c>
      <c r="B50" t="s">
        <v>78</v>
      </c>
      <c r="C50" t="s">
        <v>131</v>
      </c>
      <c r="D50" t="s">
        <v>403</v>
      </c>
      <c r="E50" t="s">
        <v>111</v>
      </c>
      <c r="F50" t="s">
        <v>348</v>
      </c>
      <c r="G50" t="s">
        <v>597</v>
      </c>
      <c r="H50" t="s">
        <v>177</v>
      </c>
      <c r="I50">
        <v>3.75</v>
      </c>
      <c r="J50">
        <v>7.5</v>
      </c>
      <c r="K50">
        <v>0</v>
      </c>
      <c r="L50">
        <v>0</v>
      </c>
      <c r="M50">
        <v>1000</v>
      </c>
      <c r="N50">
        <v>998</v>
      </c>
      <c r="O50">
        <v>595</v>
      </c>
      <c r="P50">
        <v>253</v>
      </c>
      <c r="Q50">
        <v>99</v>
      </c>
      <c r="R50">
        <v>37</v>
      </c>
      <c r="S50">
        <v>14</v>
      </c>
      <c r="T50">
        <v>59.619238476953903</v>
      </c>
      <c r="U50">
        <v>35.270541082164328</v>
      </c>
      <c r="V50">
        <v>7.5</v>
      </c>
      <c r="W50">
        <v>5.110220440881764</v>
      </c>
      <c r="X50">
        <v>-5.404343631834081</v>
      </c>
      <c r="Y50">
        <v>4.4970051237025266E-3</v>
      </c>
      <c r="Z50" t="s">
        <v>534</v>
      </c>
      <c r="AA50">
        <v>6.9</v>
      </c>
      <c r="AB50" t="s">
        <v>474</v>
      </c>
      <c r="AC50">
        <v>6.5000000000000002E-2</v>
      </c>
      <c r="AD50">
        <v>5.01</v>
      </c>
      <c r="AE50">
        <v>0.27700000000000002</v>
      </c>
      <c r="AF50">
        <v>0.193</v>
      </c>
      <c r="AG50">
        <v>27.14</v>
      </c>
      <c r="AH50">
        <v>2.95</v>
      </c>
      <c r="AI50">
        <v>137</v>
      </c>
      <c r="AJ50">
        <v>0.3</v>
      </c>
      <c r="AK50" s="141">
        <f>AK51-((AK51-AK53)/(I51-I53))*3.5</f>
        <v>0.96396975679571772</v>
      </c>
      <c r="AL50" s="141">
        <f>AL51-((AL51-AL53)/(I51-I53))*3.5</f>
        <v>1.1204139418145971</v>
      </c>
      <c r="AM50">
        <f t="shared" si="2"/>
        <v>11.403012892818063</v>
      </c>
      <c r="AN50" s="82">
        <f t="shared" si="1"/>
        <v>22.806025785636127</v>
      </c>
    </row>
    <row r="51" spans="1:40" ht="15" x14ac:dyDescent="0.25">
      <c r="A51" t="s">
        <v>573</v>
      </c>
      <c r="B51" t="s">
        <v>78</v>
      </c>
      <c r="C51" t="s">
        <v>131</v>
      </c>
      <c r="D51" t="s">
        <v>403</v>
      </c>
      <c r="E51" t="s">
        <v>111</v>
      </c>
      <c r="F51" t="s">
        <v>348</v>
      </c>
      <c r="G51" t="s">
        <v>597</v>
      </c>
      <c r="H51" t="s">
        <v>175</v>
      </c>
      <c r="I51">
        <v>16.25</v>
      </c>
      <c r="J51">
        <v>17.5</v>
      </c>
      <c r="K51">
        <v>0</v>
      </c>
      <c r="L51">
        <v>3</v>
      </c>
      <c r="M51">
        <v>9997</v>
      </c>
      <c r="N51">
        <v>998</v>
      </c>
      <c r="O51">
        <v>593</v>
      </c>
      <c r="P51">
        <v>256</v>
      </c>
      <c r="Q51">
        <v>105</v>
      </c>
      <c r="R51">
        <v>37</v>
      </c>
      <c r="S51">
        <v>7</v>
      </c>
      <c r="T51">
        <v>59.418837675350701</v>
      </c>
      <c r="U51">
        <v>36.172344689378754</v>
      </c>
      <c r="V51">
        <f>25-7.5</f>
        <v>17.5</v>
      </c>
      <c r="W51">
        <v>4.408817635270541</v>
      </c>
      <c r="X51">
        <v>-5.4235863837367013</v>
      </c>
      <c r="Y51">
        <v>4.4112976383962662E-3</v>
      </c>
      <c r="Z51" t="s">
        <v>534</v>
      </c>
      <c r="AA51">
        <v>6.9</v>
      </c>
      <c r="AB51" t="s">
        <v>474</v>
      </c>
      <c r="AC51">
        <v>5.8999999999999997E-2</v>
      </c>
      <c r="AD51">
        <v>5.27</v>
      </c>
      <c r="AE51">
        <v>0.28299999999999997</v>
      </c>
      <c r="AF51">
        <v>0.182</v>
      </c>
      <c r="AG51">
        <v>29.02</v>
      </c>
      <c r="AH51">
        <v>3.16</v>
      </c>
      <c r="AI51">
        <v>135</v>
      </c>
      <c r="AJ51">
        <v>0.32</v>
      </c>
      <c r="AK51">
        <v>1.0075091224598416</v>
      </c>
      <c r="AL51">
        <v>1.1501783477915239</v>
      </c>
      <c r="AM51">
        <f t="shared" si="2"/>
        <v>54.239535435978794</v>
      </c>
      <c r="AN51" s="82">
        <f t="shared" si="1"/>
        <v>58.41180739259255</v>
      </c>
    </row>
    <row r="52" spans="1:40" ht="15" x14ac:dyDescent="0.25">
      <c r="A52" s="76"/>
      <c r="B52" s="76" t="str">
        <f>B51</f>
        <v>S-18-A</v>
      </c>
      <c r="C52" s="76" t="str">
        <f>C51</f>
        <v>Bodarna</v>
      </c>
      <c r="D52" s="76" t="str">
        <f>D51</f>
        <v>Rye</v>
      </c>
      <c r="E52" s="76" t="str">
        <f>E51</f>
        <v>Agr</v>
      </c>
      <c r="F52" s="76" t="str">
        <f>F51</f>
        <v>A</v>
      </c>
      <c r="H52" s="76" t="s">
        <v>176</v>
      </c>
      <c r="I52" s="76">
        <v>35</v>
      </c>
      <c r="J52" s="76">
        <v>20</v>
      </c>
      <c r="V52" s="76">
        <f>45-25</f>
        <v>20</v>
      </c>
      <c r="AG52" s="154">
        <f>AG51+((AG51-AG53)/(I51-I53))*(I52-I51)</f>
        <v>18.214827586206894</v>
      </c>
      <c r="AK52" s="154">
        <f>AK51+((AK51-AK53)/(I51-I53))*(I52-I51)</f>
        <v>1.2407557242319334</v>
      </c>
      <c r="AL52" s="154">
        <f>AL51+((AL51-AL53)/(I51-I53))*(I52-I51)</f>
        <v>1.3096305226679181</v>
      </c>
      <c r="AM52">
        <f t="shared" si="2"/>
        <v>83.491429602105526</v>
      </c>
      <c r="AN52" s="82">
        <f t="shared" si="1"/>
        <v>47.709388344060301</v>
      </c>
    </row>
    <row r="53" spans="1:40" ht="15" x14ac:dyDescent="0.25">
      <c r="A53" t="s">
        <v>574</v>
      </c>
      <c r="B53" t="s">
        <v>78</v>
      </c>
      <c r="C53" t="s">
        <v>131</v>
      </c>
      <c r="D53" t="s">
        <v>403</v>
      </c>
      <c r="E53" t="s">
        <v>111</v>
      </c>
      <c r="F53" t="s">
        <v>348</v>
      </c>
      <c r="G53" t="s">
        <v>597</v>
      </c>
      <c r="H53" t="s">
        <v>21</v>
      </c>
      <c r="I53">
        <v>52.5</v>
      </c>
      <c r="J53">
        <v>15</v>
      </c>
      <c r="K53">
        <v>0</v>
      </c>
      <c r="L53">
        <v>0</v>
      </c>
      <c r="M53">
        <v>1000</v>
      </c>
      <c r="N53">
        <v>998</v>
      </c>
      <c r="O53">
        <v>676</v>
      </c>
      <c r="P53">
        <v>272</v>
      </c>
      <c r="Q53">
        <v>37</v>
      </c>
      <c r="R53">
        <v>5</v>
      </c>
      <c r="S53">
        <v>8</v>
      </c>
      <c r="T53">
        <v>67.735470941883761</v>
      </c>
      <c r="U53">
        <v>30.961923847695388</v>
      </c>
      <c r="V53">
        <f>60-45</f>
        <v>15</v>
      </c>
      <c r="W53">
        <v>1.3026052104208417</v>
      </c>
      <c r="X53">
        <v>-5.8086834825501921</v>
      </c>
      <c r="Y53">
        <v>3.0013788400611008E-3</v>
      </c>
      <c r="Z53" t="s">
        <v>534</v>
      </c>
      <c r="AA53">
        <v>7.4</v>
      </c>
      <c r="AB53" t="s">
        <v>474</v>
      </c>
      <c r="AC53">
        <v>1.7999999999999999E-2</v>
      </c>
      <c r="AD53">
        <v>4.29</v>
      </c>
      <c r="AE53">
        <v>0.23100000000000001</v>
      </c>
      <c r="AF53">
        <v>0.19600000000000001</v>
      </c>
      <c r="AG53">
        <v>8.1300000000000008</v>
      </c>
      <c r="AH53">
        <v>1.1599999999999999</v>
      </c>
      <c r="AI53">
        <v>146</v>
      </c>
      <c r="AJ53">
        <v>0.22</v>
      </c>
      <c r="AK53" s="76">
        <f>-0.0042*T55+1.6859</f>
        <v>1.4584525525525525</v>
      </c>
      <c r="AL53" s="76">
        <f>AK53</f>
        <v>1.4584525525525525</v>
      </c>
      <c r="AM53">
        <f t="shared" si="2"/>
        <v>62.25040107432433</v>
      </c>
      <c r="AN53" s="82">
        <f t="shared" si="1"/>
        <v>17.785828878378382</v>
      </c>
    </row>
    <row r="54" spans="1:40" ht="15" x14ac:dyDescent="0.25">
      <c r="A54" t="s">
        <v>575</v>
      </c>
      <c r="B54" t="s">
        <v>79</v>
      </c>
      <c r="C54" t="s">
        <v>131</v>
      </c>
      <c r="D54" t="s">
        <v>102</v>
      </c>
      <c r="E54" t="s">
        <v>111</v>
      </c>
      <c r="F54" t="s">
        <v>348</v>
      </c>
      <c r="G54" t="s">
        <v>79</v>
      </c>
      <c r="H54" t="s">
        <v>177</v>
      </c>
      <c r="I54">
        <v>3.75</v>
      </c>
      <c r="J54">
        <v>7.5</v>
      </c>
      <c r="K54">
        <v>2</v>
      </c>
      <c r="L54">
        <v>46</v>
      </c>
      <c r="M54">
        <v>952</v>
      </c>
      <c r="N54">
        <v>998</v>
      </c>
      <c r="O54">
        <v>540</v>
      </c>
      <c r="P54">
        <v>228</v>
      </c>
      <c r="Q54">
        <v>54</v>
      </c>
      <c r="R54">
        <v>82</v>
      </c>
      <c r="S54">
        <v>94</v>
      </c>
      <c r="T54">
        <v>54.108216432865731</v>
      </c>
      <c r="U54">
        <v>28.256513026052104</v>
      </c>
      <c r="V54">
        <v>7.5</v>
      </c>
      <c r="W54">
        <v>17.635270541082164</v>
      </c>
      <c r="X54">
        <v>-4.7645748655163862</v>
      </c>
      <c r="Y54">
        <v>8.5265123864122234E-3</v>
      </c>
      <c r="Z54" t="s">
        <v>534</v>
      </c>
      <c r="AA54">
        <v>5.4</v>
      </c>
      <c r="AB54" t="s">
        <v>474</v>
      </c>
      <c r="AC54">
        <v>3.5000000000000003E-2</v>
      </c>
      <c r="AD54">
        <v>2.71</v>
      </c>
      <c r="AE54">
        <v>0.17599999999999999</v>
      </c>
      <c r="AF54">
        <v>0.14499999999999999</v>
      </c>
      <c r="AG54">
        <v>36.83</v>
      </c>
      <c r="AH54">
        <v>3.78</v>
      </c>
      <c r="AI54">
        <v>119</v>
      </c>
      <c r="AJ54">
        <v>0.32</v>
      </c>
      <c r="AK54" s="141">
        <f>AK55-((AK55-AK57)/(I55-I57))*3.5</f>
        <v>1.1722183602961602</v>
      </c>
      <c r="AL54" s="141">
        <f>AL55-((AL55-AL57)/(I55-I57))*3.5</f>
        <v>1.2514399933341025</v>
      </c>
      <c r="AM54">
        <f t="shared" si="2"/>
        <v>17.283950607935623</v>
      </c>
      <c r="AN54" s="82">
        <f t="shared" si="1"/>
        <v>34.567901215871245</v>
      </c>
    </row>
    <row r="55" spans="1:40" ht="15" x14ac:dyDescent="0.25">
      <c r="A55" t="s">
        <v>576</v>
      </c>
      <c r="B55" t="s">
        <v>79</v>
      </c>
      <c r="C55" t="s">
        <v>131</v>
      </c>
      <c r="D55" t="s">
        <v>102</v>
      </c>
      <c r="E55" t="s">
        <v>111</v>
      </c>
      <c r="F55" t="s">
        <v>348</v>
      </c>
      <c r="G55" t="s">
        <v>79</v>
      </c>
      <c r="H55" t="s">
        <v>175</v>
      </c>
      <c r="I55">
        <v>16.25</v>
      </c>
      <c r="J55">
        <v>17.5</v>
      </c>
      <c r="K55">
        <v>2</v>
      </c>
      <c r="L55">
        <v>1</v>
      </c>
      <c r="M55">
        <v>997</v>
      </c>
      <c r="N55">
        <v>999</v>
      </c>
      <c r="O55">
        <v>541</v>
      </c>
      <c r="P55">
        <v>216</v>
      </c>
      <c r="Q55">
        <v>55</v>
      </c>
      <c r="R55">
        <v>87</v>
      </c>
      <c r="S55">
        <v>100</v>
      </c>
      <c r="T55">
        <v>54.154154154154156</v>
      </c>
      <c r="U55">
        <v>27.127127127127125</v>
      </c>
      <c r="V55">
        <f>25-7.5</f>
        <v>17.5</v>
      </c>
      <c r="W55">
        <v>18.718718718718719</v>
      </c>
      <c r="X55">
        <v>-4.7262618680433182</v>
      </c>
      <c r="Y55">
        <v>8.8595272990216883E-3</v>
      </c>
      <c r="Z55" t="s">
        <v>534</v>
      </c>
      <c r="AA55">
        <v>5.5</v>
      </c>
      <c r="AB55" t="s">
        <v>20</v>
      </c>
      <c r="AC55">
        <v>3.1E-2</v>
      </c>
      <c r="AD55">
        <v>2.61</v>
      </c>
      <c r="AE55">
        <v>0.17699999999999999</v>
      </c>
      <c r="AF55">
        <v>0.154</v>
      </c>
      <c r="AG55">
        <v>32.36</v>
      </c>
      <c r="AH55">
        <v>3.33</v>
      </c>
      <c r="AI55">
        <v>118</v>
      </c>
      <c r="AJ55">
        <v>0.31</v>
      </c>
      <c r="AK55">
        <v>1.2174481902071901</v>
      </c>
      <c r="AL55">
        <v>1.2896943335436784</v>
      </c>
      <c r="AM55">
        <f t="shared" si="2"/>
        <v>67.818576529394335</v>
      </c>
      <c r="AN55" s="82">
        <f t="shared" si="1"/>
        <v>73.035390108578511</v>
      </c>
    </row>
    <row r="56" spans="1:40" ht="15" x14ac:dyDescent="0.25">
      <c r="A56" s="76"/>
      <c r="B56" s="76" t="str">
        <f>B55</f>
        <v>S-19-20-A</v>
      </c>
      <c r="C56" s="76" t="str">
        <f>C55</f>
        <v>Bodarna</v>
      </c>
      <c r="D56" s="76" t="str">
        <f>D55</f>
        <v>Wheat</v>
      </c>
      <c r="E56" s="76" t="str">
        <f>E55</f>
        <v>Agr</v>
      </c>
      <c r="F56" s="76" t="str">
        <f>F55</f>
        <v>A</v>
      </c>
      <c r="H56" s="76" t="s">
        <v>176</v>
      </c>
      <c r="I56" s="76">
        <v>35</v>
      </c>
      <c r="J56" s="76">
        <v>20</v>
      </c>
      <c r="V56" s="76">
        <f>45-25</f>
        <v>20</v>
      </c>
      <c r="AG56" s="154">
        <f>AG55+((AG55-AG57)/(I55-I57))*(I56-I55)</f>
        <v>24.720344827586207</v>
      </c>
      <c r="AK56" s="154">
        <f>AK55+((AK55-AK57)/(I55-I57))*(I56-I55)</f>
        <v>1.4597508504448504</v>
      </c>
      <c r="AL56" s="154">
        <f>AL55+((AL55-AL57)/(I55-I57))*(I56-I55)</f>
        <v>1.4946282989521205</v>
      </c>
      <c r="AM56">
        <f t="shared" si="2"/>
        <v>129.31704428707758</v>
      </c>
      <c r="AN56" s="82">
        <f t="shared" si="1"/>
        <v>73.895453878330045</v>
      </c>
    </row>
    <row r="57" spans="1:40" ht="15" x14ac:dyDescent="0.25">
      <c r="A57" t="s">
        <v>577</v>
      </c>
      <c r="B57" t="s">
        <v>79</v>
      </c>
      <c r="C57" t="s">
        <v>131</v>
      </c>
      <c r="D57" t="s">
        <v>102</v>
      </c>
      <c r="E57" t="s">
        <v>111</v>
      </c>
      <c r="F57" t="s">
        <v>348</v>
      </c>
      <c r="G57" t="s">
        <v>79</v>
      </c>
      <c r="H57" t="s">
        <v>21</v>
      </c>
      <c r="I57">
        <v>52.5</v>
      </c>
      <c r="J57">
        <v>15</v>
      </c>
      <c r="K57">
        <v>0</v>
      </c>
      <c r="L57">
        <v>3</v>
      </c>
      <c r="M57">
        <v>997</v>
      </c>
      <c r="N57">
        <v>999</v>
      </c>
      <c r="O57">
        <v>611</v>
      </c>
      <c r="P57">
        <v>216</v>
      </c>
      <c r="Q57">
        <v>60</v>
      </c>
      <c r="R57">
        <v>81</v>
      </c>
      <c r="S57">
        <v>31</v>
      </c>
      <c r="T57">
        <v>61.161161161161161</v>
      </c>
      <c r="U57">
        <v>27.627627627627625</v>
      </c>
      <c r="V57">
        <f>60-45</f>
        <v>15</v>
      </c>
      <c r="W57">
        <v>11.211211211211211</v>
      </c>
      <c r="X57">
        <v>-5.2304091244775828</v>
      </c>
      <c r="Y57">
        <v>5.3513354924002617E-3</v>
      </c>
      <c r="Z57" t="s">
        <v>534</v>
      </c>
      <c r="AA57">
        <v>5.7</v>
      </c>
      <c r="AB57" t="s">
        <v>20</v>
      </c>
      <c r="AC57">
        <v>1.7000000000000001E-2</v>
      </c>
      <c r="AD57">
        <v>2.41</v>
      </c>
      <c r="AE57">
        <v>0.154</v>
      </c>
      <c r="AF57">
        <v>0.35</v>
      </c>
      <c r="AG57">
        <v>17.59</v>
      </c>
      <c r="AH57">
        <v>1.98</v>
      </c>
      <c r="AI57">
        <v>126</v>
      </c>
      <c r="AJ57">
        <v>0.19</v>
      </c>
      <c r="AK57" s="76">
        <f>-0.0042*T59+1.6859</f>
        <v>1.6859</v>
      </c>
      <c r="AL57" s="76">
        <f>AK57</f>
        <v>1.6859</v>
      </c>
      <c r="AM57">
        <f t="shared" si="2"/>
        <v>155.68865024999999</v>
      </c>
      <c r="AN57" s="82">
        <f t="shared" si="1"/>
        <v>44.482471500000003</v>
      </c>
    </row>
    <row r="58" spans="1:40" x14ac:dyDescent="0.15">
      <c r="A58" t="s">
        <v>578</v>
      </c>
      <c r="B58" t="s">
        <v>597</v>
      </c>
      <c r="C58" t="s">
        <v>131</v>
      </c>
      <c r="D58" t="s">
        <v>597</v>
      </c>
      <c r="E58" t="s">
        <v>597</v>
      </c>
      <c r="F58" t="s">
        <v>597</v>
      </c>
      <c r="G58" t="s">
        <v>597</v>
      </c>
      <c r="H58" t="s">
        <v>597</v>
      </c>
      <c r="Z58" t="s">
        <v>597</v>
      </c>
      <c r="AB58" t="s">
        <v>597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66"/>
  <sheetViews>
    <sheetView workbookViewId="0">
      <pane xSplit="3" ySplit="2" topLeftCell="Z66" activePane="bottomRight" state="frozen"/>
      <selection pane="topRight" activeCell="D1" sqref="D1"/>
      <selection pane="bottomLeft" activeCell="A3" sqref="A3"/>
      <selection pane="bottomRight" activeCell="AN74" sqref="AN74"/>
    </sheetView>
  </sheetViews>
  <sheetFormatPr defaultRowHeight="16.5" x14ac:dyDescent="0.25"/>
  <cols>
    <col min="1" max="1" width="31" style="86" customWidth="1" collapsed="1"/>
    <col min="2" max="3" width="13" style="86" customWidth="1" collapsed="1"/>
    <col min="4" max="4" width="9.83203125" style="86" customWidth="1" collapsed="1"/>
    <col min="5" max="6" width="13" style="86" customWidth="1" collapsed="1"/>
    <col min="7" max="7" width="12.5" style="51" customWidth="1" collapsed="1"/>
    <col min="8" max="9" width="12.5" style="51" customWidth="1"/>
    <col min="10" max="10" width="7.6640625" style="51" customWidth="1" collapsed="1"/>
    <col min="11" max="11" width="4.6640625" style="51" customWidth="1" collapsed="1"/>
    <col min="12" max="12" width="6.6640625" style="51" customWidth="1" collapsed="1"/>
    <col min="13" max="13" width="7.6640625" style="51" customWidth="1" collapsed="1"/>
    <col min="14" max="14" width="3.6640625" style="51" customWidth="1" collapsed="1"/>
    <col min="15" max="15" width="7.1640625" style="51" customWidth="1" collapsed="1"/>
    <col min="16" max="16" width="7.5" style="51" customWidth="1" collapsed="1"/>
    <col min="17" max="17" width="4" style="51" customWidth="1" collapsed="1"/>
    <col min="18" max="18" width="7.6640625" style="51" customWidth="1" collapsed="1"/>
    <col min="19" max="19" width="9.5" style="51" customWidth="1" collapsed="1"/>
    <col min="20" max="20" width="3.33203125" style="51" customWidth="1" collapsed="1"/>
    <col min="21" max="21" width="8.1640625" style="51" customWidth="1" collapsed="1"/>
    <col min="22" max="22" width="7.5" style="51" customWidth="1" collapsed="1"/>
    <col min="23" max="23" width="4.1640625" style="51" customWidth="1" collapsed="1"/>
    <col min="24" max="24" width="8.1640625" style="51" customWidth="1" collapsed="1"/>
    <col min="25" max="25" width="11.6640625" style="51" customWidth="1" collapsed="1"/>
    <col min="26" max="26" width="8.6640625" customWidth="1" collapsed="1"/>
    <col min="27" max="27" width="4" customWidth="1" collapsed="1"/>
    <col min="30" max="30" width="4" customWidth="1" collapsed="1"/>
    <col min="33" max="33" width="3.5" customWidth="1" collapsed="1"/>
    <col min="36" max="36" width="3.1640625" customWidth="1" collapsed="1"/>
    <col min="38" max="38" width="10.6640625" customWidth="1"/>
    <col min="40" max="40" width="14.1640625" style="146" customWidth="1" collapsed="1"/>
    <col min="41" max="41" width="14.1640625" style="146" customWidth="1"/>
    <col min="42" max="42" width="11" style="96" customWidth="1" collapsed="1"/>
    <col min="43" max="46" width="8.6640625" style="73" collapsed="1"/>
    <col min="47" max="47" width="8.6640625" style="89" collapsed="1"/>
    <col min="48" max="51" width="8.6640625" style="73" collapsed="1"/>
  </cols>
  <sheetData>
    <row r="1" spans="1:51" ht="14.1" customHeight="1" thickTop="1" thickBot="1" x14ac:dyDescent="0.3">
      <c r="A1" s="31" t="s">
        <v>124</v>
      </c>
      <c r="B1" s="31" t="s">
        <v>65</v>
      </c>
      <c r="C1" s="31" t="s">
        <v>408</v>
      </c>
      <c r="D1" s="31" t="s">
        <v>537</v>
      </c>
      <c r="E1" s="31" t="s">
        <v>335</v>
      </c>
      <c r="F1" s="31" t="s">
        <v>410</v>
      </c>
      <c r="G1" s="31" t="s">
        <v>173</v>
      </c>
      <c r="H1" t="s">
        <v>517</v>
      </c>
      <c r="I1" s="155" t="s">
        <v>598</v>
      </c>
      <c r="J1" t="s">
        <v>9</v>
      </c>
      <c r="K1" s="116"/>
      <c r="L1" s="117"/>
      <c r="M1" t="s">
        <v>11</v>
      </c>
      <c r="N1" s="116"/>
      <c r="O1" s="117"/>
      <c r="P1" s="115" t="s">
        <v>14</v>
      </c>
      <c r="Q1" s="116"/>
      <c r="R1" s="116"/>
      <c r="S1" s="115" t="s">
        <v>215</v>
      </c>
      <c r="T1" s="118"/>
      <c r="U1" s="118"/>
      <c r="V1" s="115" t="s">
        <v>15</v>
      </c>
      <c r="W1" s="119"/>
      <c r="X1" s="120"/>
      <c r="Y1" s="121" t="s">
        <v>170</v>
      </c>
      <c r="Z1" s="115" t="s">
        <v>211</v>
      </c>
      <c r="AA1" s="116"/>
      <c r="AB1" s="117"/>
      <c r="AC1" s="115" t="s">
        <v>212</v>
      </c>
      <c r="AD1" s="116"/>
      <c r="AE1" s="117"/>
      <c r="AF1" s="115" t="s">
        <v>213</v>
      </c>
      <c r="AG1" s="116"/>
      <c r="AH1" s="116"/>
      <c r="AI1" s="115" t="s">
        <v>214</v>
      </c>
      <c r="AJ1" s="118"/>
      <c r="AK1" s="118"/>
      <c r="AL1" t="s">
        <v>16</v>
      </c>
      <c r="AM1" s="119"/>
      <c r="AN1" s="145" t="s">
        <v>336</v>
      </c>
      <c r="AO1" s="145" t="s">
        <v>600</v>
      </c>
      <c r="AP1" s="95" t="s">
        <v>345</v>
      </c>
      <c r="AQ1" s="85" t="s">
        <v>331</v>
      </c>
      <c r="AR1" s="85" t="s">
        <v>332</v>
      </c>
      <c r="AS1" s="85" t="s">
        <v>333</v>
      </c>
      <c r="AT1" s="85" t="s">
        <v>334</v>
      </c>
      <c r="AU1" s="92" t="s">
        <v>345</v>
      </c>
      <c r="AV1" s="91" t="s">
        <v>331</v>
      </c>
      <c r="AW1" s="91" t="s">
        <v>332</v>
      </c>
      <c r="AX1" s="91" t="s">
        <v>333</v>
      </c>
      <c r="AY1" s="91" t="s">
        <v>334</v>
      </c>
    </row>
    <row r="2" spans="1:51" ht="18" thickTop="1" thickBot="1" x14ac:dyDescent="0.3">
      <c r="J2" s="122"/>
      <c r="K2" s="123"/>
      <c r="L2" s="124"/>
      <c r="M2" s="125"/>
      <c r="N2" s="126"/>
      <c r="O2" s="124"/>
      <c r="P2" s="125"/>
      <c r="Q2" s="126"/>
      <c r="R2" s="126"/>
      <c r="S2" s="127"/>
      <c r="T2" s="128"/>
      <c r="U2" s="128"/>
      <c r="V2" s="129" t="s">
        <v>604</v>
      </c>
      <c r="W2" s="130"/>
      <c r="X2" s="131"/>
      <c r="Y2" s="132"/>
      <c r="Z2" s="122"/>
      <c r="AA2" s="123"/>
      <c r="AB2" s="124"/>
      <c r="AC2" s="125"/>
      <c r="AD2" s="126"/>
      <c r="AE2" s="124"/>
      <c r="AF2" s="125"/>
      <c r="AG2" s="126"/>
      <c r="AH2" s="126"/>
      <c r="AI2" s="127"/>
      <c r="AJ2" s="128"/>
      <c r="AK2" s="128"/>
      <c r="AL2" s="129"/>
      <c r="AM2" s="130"/>
      <c r="AN2" s="145" t="s">
        <v>337</v>
      </c>
      <c r="AO2" s="145"/>
      <c r="AP2" s="95">
        <v>2000</v>
      </c>
      <c r="AQ2" s="88">
        <v>2000</v>
      </c>
      <c r="AR2" s="88">
        <v>2000</v>
      </c>
      <c r="AS2" s="88">
        <v>2000</v>
      </c>
      <c r="AT2" s="88">
        <v>2000</v>
      </c>
      <c r="AU2" s="92">
        <v>2020</v>
      </c>
      <c r="AV2" s="92">
        <v>2020</v>
      </c>
      <c r="AW2" s="92">
        <v>2020</v>
      </c>
      <c r="AX2" s="92">
        <v>2020</v>
      </c>
      <c r="AY2" s="92">
        <v>2020</v>
      </c>
    </row>
    <row r="3" spans="1:51" ht="18.600000000000001" customHeight="1" thickTop="1" thickBot="1" x14ac:dyDescent="0.3">
      <c r="A3" s="32" t="s">
        <v>50</v>
      </c>
      <c r="B3" s="32" t="s">
        <v>172</v>
      </c>
      <c r="C3" s="111" t="s">
        <v>409</v>
      </c>
      <c r="D3" s="32" t="s">
        <v>346</v>
      </c>
      <c r="E3" s="32" t="s">
        <v>28</v>
      </c>
      <c r="F3" s="111"/>
      <c r="G3" s="32" t="s">
        <v>174</v>
      </c>
      <c r="H3">
        <v>3.75</v>
      </c>
      <c r="I3">
        <v>7.5</v>
      </c>
      <c r="J3" s="41">
        <v>4.5999999999999996</v>
      </c>
      <c r="K3" s="42" t="s">
        <v>171</v>
      </c>
      <c r="L3" s="43">
        <v>0.2</v>
      </c>
      <c r="M3" s="44">
        <v>209</v>
      </c>
      <c r="N3" s="42" t="s">
        <v>171</v>
      </c>
      <c r="O3" s="45">
        <f t="shared" ref="O3:O9" si="0">M3*0.082823992+1.736505878</f>
        <v>19.046720206</v>
      </c>
      <c r="P3" s="46">
        <v>256</v>
      </c>
      <c r="Q3" s="42" t="s">
        <v>171</v>
      </c>
      <c r="R3" s="47">
        <f t="shared" ref="R3:R9" si="1">P3*0.088291951-0.32086891</f>
        <v>22.281870545999997</v>
      </c>
      <c r="S3" s="48">
        <v>5.74</v>
      </c>
      <c r="T3" s="42" t="s">
        <v>171</v>
      </c>
      <c r="U3" s="49">
        <f t="shared" ref="U3:U9" si="2">S3*0.07527703+0.134513774</f>
        <v>0.5666039262</v>
      </c>
      <c r="V3" s="48">
        <v>5.42</v>
      </c>
      <c r="W3" s="42" t="s">
        <v>171</v>
      </c>
      <c r="X3" s="49">
        <f t="shared" ref="X3:X9" si="3">V3*0.07527703+0.134513774</f>
        <v>0.54251527659999998</v>
      </c>
      <c r="Y3" s="50">
        <v>0.32</v>
      </c>
      <c r="Z3" s="52">
        <v>2760</v>
      </c>
      <c r="AA3" s="53" t="s">
        <v>171</v>
      </c>
      <c r="AB3" s="54">
        <f>Z3*0.055</f>
        <v>151.80000000000001</v>
      </c>
      <c r="AC3" s="55">
        <v>19.86</v>
      </c>
      <c r="AD3" s="53" t="s">
        <v>171</v>
      </c>
      <c r="AE3" s="56">
        <f>0.072060592*AC3+0.197347426</f>
        <v>1.62847078312</v>
      </c>
      <c r="AF3" s="55">
        <v>3.58</v>
      </c>
      <c r="AG3" s="53" t="s">
        <v>171</v>
      </c>
      <c r="AH3" s="57">
        <f>0.140178571*AF3+0.072857143</f>
        <v>0.57469642718000002</v>
      </c>
      <c r="AI3" s="56">
        <v>23.44</v>
      </c>
      <c r="AJ3" s="53" t="s">
        <v>171</v>
      </c>
      <c r="AK3" s="57">
        <f>0.034495646*AI3+0.917917684</f>
        <v>1.72649562624</v>
      </c>
      <c r="AL3" s="134">
        <v>2737</v>
      </c>
      <c r="AM3" s="135"/>
      <c r="AN3" s="150">
        <f>AN4-((AN4-AN6)/(H4-H6))*3.5</f>
        <v>1.1523844944681678</v>
      </c>
      <c r="AO3" s="156">
        <f t="shared" ref="AO3:AO26" si="4">AN3*V3*I3</f>
        <v>46.844429700131023</v>
      </c>
      <c r="AP3" s="93">
        <f>'PoplarPlots(2000)'!E62</f>
        <v>6</v>
      </c>
      <c r="AQ3" s="85">
        <f>'PoplarPlots(2000)'!L62</f>
        <v>75.672867060802588</v>
      </c>
      <c r="AR3" s="85">
        <f>'PoplarPlots(2000)'!M62</f>
        <v>12.612144510133765</v>
      </c>
      <c r="AS3" s="85">
        <f>'PoplarPlots(2000)'!N62</f>
        <v>31.215057662581067</v>
      </c>
      <c r="AT3" s="85">
        <f>'PoplarPlots(2000)'!O62</f>
        <v>5.2025096104301776</v>
      </c>
      <c r="AU3" s="92">
        <f>'S-07 (2020)'!F5</f>
        <v>10</v>
      </c>
      <c r="AV3" s="91">
        <f>'S-07 (2020)'!H5</f>
        <v>188.16372598785193</v>
      </c>
      <c r="AW3" s="91">
        <f>'S-07 (2020)'!I5</f>
        <v>18.816372598785193</v>
      </c>
      <c r="AX3" s="91">
        <f>'S-07 (2020)'!J5</f>
        <v>77.617536969988919</v>
      </c>
      <c r="AY3" s="91">
        <f>'S-07 (2020)'!K5</f>
        <v>7.7617536969988921</v>
      </c>
    </row>
    <row r="4" spans="1:51" ht="18.95" customHeight="1" thickTop="1" thickBot="1" x14ac:dyDescent="0.3">
      <c r="A4" s="111" t="s">
        <v>50</v>
      </c>
      <c r="B4" s="32" t="s">
        <v>172</v>
      </c>
      <c r="C4" s="111" t="s">
        <v>409</v>
      </c>
      <c r="D4" s="105" t="s">
        <v>346</v>
      </c>
      <c r="E4" s="109" t="s">
        <v>28</v>
      </c>
      <c r="F4" s="111"/>
      <c r="G4" s="32" t="s">
        <v>175</v>
      </c>
      <c r="H4">
        <v>16.25</v>
      </c>
      <c r="I4">
        <f>25-7.5</f>
        <v>17.5</v>
      </c>
      <c r="J4" s="41">
        <v>4.4000000000000004</v>
      </c>
      <c r="K4" s="42" t="s">
        <v>171</v>
      </c>
      <c r="L4" s="43">
        <v>0.2</v>
      </c>
      <c r="M4" s="44">
        <v>195</v>
      </c>
      <c r="N4" s="42" t="s">
        <v>171</v>
      </c>
      <c r="O4" s="45">
        <f t="shared" si="0"/>
        <v>17.887184317999999</v>
      </c>
      <c r="P4" s="46">
        <v>217</v>
      </c>
      <c r="Q4" s="42" t="s">
        <v>171</v>
      </c>
      <c r="R4" s="47">
        <f t="shared" si="1"/>
        <v>18.838484456999996</v>
      </c>
      <c r="S4" s="48">
        <v>5.73</v>
      </c>
      <c r="T4" s="42" t="s">
        <v>171</v>
      </c>
      <c r="U4" s="49">
        <f t="shared" si="2"/>
        <v>0.56585115590000001</v>
      </c>
      <c r="V4" s="48">
        <v>5.08</v>
      </c>
      <c r="W4" s="42" t="s">
        <v>171</v>
      </c>
      <c r="X4" s="49">
        <f t="shared" si="3"/>
        <v>0.51692108640000001</v>
      </c>
      <c r="Y4" s="50">
        <v>0.65</v>
      </c>
      <c r="Z4" s="52">
        <v>2430</v>
      </c>
      <c r="AA4" s="53" t="s">
        <v>171</v>
      </c>
      <c r="AB4" s="54">
        <f t="shared" ref="AB4:AB28" si="5">Z4*0.055</f>
        <v>133.65</v>
      </c>
      <c r="AC4" s="55">
        <v>7.63</v>
      </c>
      <c r="AD4" s="53" t="s">
        <v>171</v>
      </c>
      <c r="AE4" s="56">
        <f>0.072060592*AC4+0.197347426</f>
        <v>0.74716974296000005</v>
      </c>
      <c r="AF4" s="55">
        <v>1.48</v>
      </c>
      <c r="AG4" s="53" t="s">
        <v>171</v>
      </c>
      <c r="AH4" s="57">
        <f t="shared" ref="AH4:AH27" si="6">0.140178571*AF4+0.072857143</f>
        <v>0.28032142807999999</v>
      </c>
      <c r="AI4" s="56">
        <v>9.11</v>
      </c>
      <c r="AJ4" s="53" t="s">
        <v>171</v>
      </c>
      <c r="AK4" s="57">
        <f t="shared" ref="AK4:AK27" si="7">0.034495646*AI4+0.917917684</f>
        <v>1.23217301906</v>
      </c>
      <c r="AL4" s="134">
        <v>2421</v>
      </c>
      <c r="AM4" s="135"/>
      <c r="AN4" s="147">
        <f>'S-07 (2020)'!E41</f>
        <v>1.1935650251749972</v>
      </c>
      <c r="AO4" s="156">
        <f t="shared" si="4"/>
        <v>106.10793073805725</v>
      </c>
      <c r="AP4" s="93"/>
      <c r="AQ4" s="85"/>
      <c r="AR4" s="85"/>
      <c r="AS4" s="85"/>
      <c r="AT4" s="85"/>
      <c r="AU4" s="92"/>
      <c r="AV4" s="91"/>
      <c r="AW4" s="91"/>
      <c r="AX4" s="91"/>
      <c r="AY4" s="91"/>
    </row>
    <row r="5" spans="1:51" ht="18.95" customHeight="1" thickTop="1" thickBot="1" x14ac:dyDescent="0.3">
      <c r="A5" s="111" t="s">
        <v>50</v>
      </c>
      <c r="B5" s="32" t="s">
        <v>172</v>
      </c>
      <c r="C5" s="111" t="s">
        <v>409</v>
      </c>
      <c r="D5" s="105" t="s">
        <v>346</v>
      </c>
      <c r="E5" s="109" t="s">
        <v>28</v>
      </c>
      <c r="F5" s="111"/>
      <c r="G5" s="32" t="s">
        <v>176</v>
      </c>
      <c r="H5">
        <v>35</v>
      </c>
      <c r="I5" s="76">
        <f>45-25</f>
        <v>20</v>
      </c>
      <c r="J5" s="41">
        <v>4.2</v>
      </c>
      <c r="K5" s="42" t="s">
        <v>171</v>
      </c>
      <c r="L5" s="43">
        <v>0.2</v>
      </c>
      <c r="M5" s="44">
        <v>157</v>
      </c>
      <c r="N5" s="42" t="s">
        <v>171</v>
      </c>
      <c r="O5" s="45">
        <f t="shared" si="0"/>
        <v>14.739872622</v>
      </c>
      <c r="P5" s="46">
        <v>160</v>
      </c>
      <c r="Q5" s="42" t="s">
        <v>171</v>
      </c>
      <c r="R5" s="47">
        <f t="shared" si="1"/>
        <v>13.805843249999999</v>
      </c>
      <c r="S5" s="48">
        <v>6.27</v>
      </c>
      <c r="T5" s="42" t="s">
        <v>171</v>
      </c>
      <c r="U5" s="49">
        <f t="shared" si="2"/>
        <v>0.60650075209999998</v>
      </c>
      <c r="V5" s="48">
        <v>5.49</v>
      </c>
      <c r="W5" s="42" t="s">
        <v>171</v>
      </c>
      <c r="X5" s="49">
        <f t="shared" si="3"/>
        <v>0.54778466869999998</v>
      </c>
      <c r="Y5" s="50">
        <v>0.78</v>
      </c>
      <c r="Z5" s="52">
        <v>2630</v>
      </c>
      <c r="AA5" s="53" t="s">
        <v>171</v>
      </c>
      <c r="AB5" s="54">
        <f t="shared" si="5"/>
        <v>144.65</v>
      </c>
      <c r="AC5" s="55">
        <v>6.84</v>
      </c>
      <c r="AD5" s="53" t="s">
        <v>171</v>
      </c>
      <c r="AE5" s="56">
        <f>0.072060592*AC5+0.197347426</f>
        <v>0.69024187528000003</v>
      </c>
      <c r="AF5" s="55">
        <v>1.49</v>
      </c>
      <c r="AG5" s="53" t="s">
        <v>171</v>
      </c>
      <c r="AH5" s="57">
        <f t="shared" si="6"/>
        <v>0.28172321378999998</v>
      </c>
      <c r="AI5" s="56">
        <v>8.33</v>
      </c>
      <c r="AJ5" s="53" t="s">
        <v>171</v>
      </c>
      <c r="AK5" s="57">
        <f t="shared" si="7"/>
        <v>1.2052664151799999</v>
      </c>
      <c r="AL5" s="134">
        <v>2622</v>
      </c>
      <c r="AM5" s="135"/>
      <c r="AN5" s="151">
        <f>AN4+((AN4-AN6)/(H4-H6))*(H5-H4)</f>
        <v>1.41417501110444</v>
      </c>
      <c r="AO5" s="156">
        <f t="shared" si="4"/>
        <v>155.2764162192675</v>
      </c>
      <c r="AP5" s="93"/>
      <c r="AQ5" s="85"/>
      <c r="AR5" s="85"/>
      <c r="AS5" s="85"/>
      <c r="AT5" s="85"/>
      <c r="AU5" s="92"/>
      <c r="AV5" s="91"/>
      <c r="AW5" s="91"/>
      <c r="AX5" s="91"/>
      <c r="AY5" s="91"/>
    </row>
    <row r="6" spans="1:51" ht="18.95" customHeight="1" thickTop="1" thickBot="1" x14ac:dyDescent="0.3">
      <c r="A6" s="111" t="s">
        <v>50</v>
      </c>
      <c r="B6" s="32" t="s">
        <v>172</v>
      </c>
      <c r="C6" s="111" t="s">
        <v>409</v>
      </c>
      <c r="D6" s="105" t="s">
        <v>346</v>
      </c>
      <c r="E6" s="109" t="s">
        <v>28</v>
      </c>
      <c r="F6" s="111"/>
      <c r="G6" s="32" t="s">
        <v>21</v>
      </c>
      <c r="H6">
        <v>52.5</v>
      </c>
      <c r="I6">
        <f>60-45</f>
        <v>15</v>
      </c>
      <c r="J6" s="41">
        <v>4.3</v>
      </c>
      <c r="K6" s="42" t="s">
        <v>171</v>
      </c>
      <c r="L6" s="43">
        <v>0.2</v>
      </c>
      <c r="M6" s="44">
        <v>140</v>
      </c>
      <c r="N6" s="42" t="s">
        <v>171</v>
      </c>
      <c r="O6" s="45">
        <f t="shared" si="0"/>
        <v>13.331864757999998</v>
      </c>
      <c r="P6" s="46">
        <v>109</v>
      </c>
      <c r="Q6" s="42" t="s">
        <v>171</v>
      </c>
      <c r="R6" s="47">
        <f t="shared" si="1"/>
        <v>9.3029537490000003</v>
      </c>
      <c r="S6" s="48">
        <v>6.18</v>
      </c>
      <c r="T6" s="42" t="s">
        <v>171</v>
      </c>
      <c r="U6" s="49">
        <f t="shared" si="2"/>
        <v>0.59972581939999992</v>
      </c>
      <c r="V6" s="48">
        <v>5.65</v>
      </c>
      <c r="W6" s="42" t="s">
        <v>171</v>
      </c>
      <c r="X6" s="49">
        <f t="shared" si="3"/>
        <v>0.55982899350000004</v>
      </c>
      <c r="Y6" s="50">
        <v>0.53</v>
      </c>
      <c r="Z6" s="52">
        <v>2470</v>
      </c>
      <c r="AA6" s="53" t="s">
        <v>171</v>
      </c>
      <c r="AB6" s="54">
        <f t="shared" si="5"/>
        <v>135.85</v>
      </c>
      <c r="AC6" s="55">
        <v>4.46</v>
      </c>
      <c r="AD6" s="53" t="s">
        <v>171</v>
      </c>
      <c r="AE6" s="56">
        <f t="shared" ref="AE6:AE27" si="8">0.072060592*AC6+0.197347426</f>
        <v>0.51873766632000007</v>
      </c>
      <c r="AF6" s="55">
        <v>1.36</v>
      </c>
      <c r="AG6" s="53" t="s">
        <v>171</v>
      </c>
      <c r="AH6" s="57">
        <f t="shared" si="6"/>
        <v>0.26349999956000003</v>
      </c>
      <c r="AI6" s="56">
        <v>5.82</v>
      </c>
      <c r="AJ6" s="53" t="s">
        <v>171</v>
      </c>
      <c r="AK6" s="57">
        <f t="shared" si="7"/>
        <v>1.11868234372</v>
      </c>
      <c r="AL6" s="134">
        <v>2464</v>
      </c>
      <c r="AM6" s="135"/>
      <c r="AN6" s="148">
        <f>AVERAGE(SoilAgric2000_BD!AK29,SoilWoodyCrop_BD!AJ29)</f>
        <v>1.6200776646385866</v>
      </c>
      <c r="AO6" s="156">
        <f t="shared" si="4"/>
        <v>137.30158207812022</v>
      </c>
      <c r="AP6" s="93"/>
      <c r="AQ6" s="85"/>
      <c r="AR6" s="85"/>
      <c r="AS6" s="85"/>
      <c r="AT6" s="85"/>
      <c r="AU6" s="92"/>
      <c r="AV6" s="91"/>
      <c r="AW6" s="91"/>
      <c r="AX6" s="91"/>
      <c r="AY6" s="91"/>
    </row>
    <row r="7" spans="1:51" ht="17.100000000000001" customHeight="1" thickTop="1" thickBot="1" x14ac:dyDescent="0.3">
      <c r="A7" s="111" t="s">
        <v>50</v>
      </c>
      <c r="B7" s="32" t="s">
        <v>98</v>
      </c>
      <c r="C7" s="111" t="s">
        <v>98</v>
      </c>
      <c r="D7" s="32" t="s">
        <v>350</v>
      </c>
      <c r="E7" s="105" t="s">
        <v>390</v>
      </c>
      <c r="F7" s="111"/>
      <c r="G7" s="32" t="s">
        <v>177</v>
      </c>
      <c r="H7">
        <v>3.75</v>
      </c>
      <c r="I7">
        <v>7.5</v>
      </c>
      <c r="J7" s="41">
        <v>6</v>
      </c>
      <c r="K7" s="42" t="s">
        <v>171</v>
      </c>
      <c r="L7" s="43">
        <v>0.2</v>
      </c>
      <c r="M7" s="44">
        <v>220</v>
      </c>
      <c r="N7" s="42" t="s">
        <v>171</v>
      </c>
      <c r="O7" s="45">
        <f t="shared" si="0"/>
        <v>19.957784117999999</v>
      </c>
      <c r="P7" s="46">
        <v>124</v>
      </c>
      <c r="Q7" s="42" t="s">
        <v>171</v>
      </c>
      <c r="R7" s="47">
        <f t="shared" si="1"/>
        <v>10.627333014</v>
      </c>
      <c r="S7" s="48">
        <v>3.04</v>
      </c>
      <c r="T7" s="42" t="s">
        <v>171</v>
      </c>
      <c r="U7" s="49">
        <f t="shared" si="2"/>
        <v>0.36335594520000003</v>
      </c>
      <c r="V7" s="48">
        <v>4.45</v>
      </c>
      <c r="W7" s="42" t="s">
        <v>171</v>
      </c>
      <c r="X7" s="49">
        <f t="shared" si="3"/>
        <v>0.46949655749999997</v>
      </c>
      <c r="Y7" s="50">
        <v>0.59</v>
      </c>
      <c r="Z7" s="52">
        <v>1830</v>
      </c>
      <c r="AA7" s="53" t="s">
        <v>171</v>
      </c>
      <c r="AB7" s="54">
        <f t="shared" si="5"/>
        <v>100.65</v>
      </c>
      <c r="AC7" s="55">
        <v>4.9400000000000004</v>
      </c>
      <c r="AD7" s="53" t="s">
        <v>171</v>
      </c>
      <c r="AE7" s="56">
        <f t="shared" si="8"/>
        <v>0.55332675048000013</v>
      </c>
      <c r="AF7" s="55">
        <v>1.43</v>
      </c>
      <c r="AG7" s="53" t="s">
        <v>171</v>
      </c>
      <c r="AH7" s="57">
        <f t="shared" si="6"/>
        <v>0.27331249952999997</v>
      </c>
      <c r="AI7" s="56">
        <v>6.37</v>
      </c>
      <c r="AJ7" s="53" t="s">
        <v>171</v>
      </c>
      <c r="AK7" s="57">
        <f t="shared" si="7"/>
        <v>1.1376549490199999</v>
      </c>
      <c r="AL7" s="134">
        <v>1824</v>
      </c>
      <c r="AM7" s="135"/>
      <c r="AN7" s="150">
        <f>AN8-((AN8-AN10)/(H8-H10))*3.5</f>
        <v>1.4517473799140854</v>
      </c>
      <c r="AO7" s="156">
        <f t="shared" si="4"/>
        <v>48.452068804632603</v>
      </c>
      <c r="AP7" s="93"/>
      <c r="AQ7" s="85"/>
      <c r="AR7" s="85"/>
      <c r="AS7" s="85"/>
      <c r="AT7" s="85"/>
      <c r="AU7" s="92"/>
      <c r="AV7" s="91"/>
      <c r="AW7" s="91"/>
      <c r="AX7" s="91"/>
      <c r="AY7" s="91"/>
    </row>
    <row r="8" spans="1:51" ht="18.600000000000001" customHeight="1" thickTop="1" thickBot="1" x14ac:dyDescent="0.3">
      <c r="A8" s="111" t="s">
        <v>50</v>
      </c>
      <c r="B8" s="32" t="s">
        <v>98</v>
      </c>
      <c r="C8" s="111" t="s">
        <v>98</v>
      </c>
      <c r="D8" s="32" t="s">
        <v>350</v>
      </c>
      <c r="E8" s="105" t="s">
        <v>390</v>
      </c>
      <c r="F8" s="111"/>
      <c r="G8" s="32" t="s">
        <v>175</v>
      </c>
      <c r="H8">
        <v>16.25</v>
      </c>
      <c r="I8">
        <f>25-7.5</f>
        <v>17.5</v>
      </c>
      <c r="J8" s="41">
        <v>7</v>
      </c>
      <c r="K8" s="42" t="s">
        <v>171</v>
      </c>
      <c r="L8" s="43">
        <v>0.2</v>
      </c>
      <c r="M8" s="44">
        <v>174</v>
      </c>
      <c r="N8" s="42" t="s">
        <v>171</v>
      </c>
      <c r="O8" s="45">
        <f t="shared" si="0"/>
        <v>16.147880485999998</v>
      </c>
      <c r="P8" s="46">
        <v>87</v>
      </c>
      <c r="Q8" s="42" t="s">
        <v>171</v>
      </c>
      <c r="R8" s="47">
        <f t="shared" si="1"/>
        <v>7.3605308269999998</v>
      </c>
      <c r="S8" s="48">
        <v>1.68</v>
      </c>
      <c r="T8" s="42" t="s">
        <v>171</v>
      </c>
      <c r="U8" s="49">
        <f t="shared" si="2"/>
        <v>0.26097918440000001</v>
      </c>
      <c r="V8" s="48">
        <v>1.66</v>
      </c>
      <c r="W8" s="42" t="s">
        <v>171</v>
      </c>
      <c r="X8" s="49">
        <f t="shared" si="3"/>
        <v>0.25947364379999999</v>
      </c>
      <c r="Y8" s="50">
        <v>0.03</v>
      </c>
      <c r="Z8" s="52">
        <v>1180</v>
      </c>
      <c r="AA8" s="53" t="s">
        <v>171</v>
      </c>
      <c r="AB8" s="54">
        <f t="shared" si="5"/>
        <v>64.900000000000006</v>
      </c>
      <c r="AC8" s="55">
        <v>3.33</v>
      </c>
      <c r="AD8" s="53" t="s">
        <v>171</v>
      </c>
      <c r="AE8" s="56">
        <f t="shared" si="8"/>
        <v>0.43730919736000001</v>
      </c>
      <c r="AF8" s="55">
        <v>1.1499999999999999</v>
      </c>
      <c r="AG8" s="53" t="s">
        <v>171</v>
      </c>
      <c r="AH8" s="57">
        <f t="shared" si="6"/>
        <v>0.23406249964999998</v>
      </c>
      <c r="AI8" s="56">
        <v>4.4800000000000004</v>
      </c>
      <c r="AJ8" s="53" t="s">
        <v>171</v>
      </c>
      <c r="AK8" s="57">
        <f t="shared" si="7"/>
        <v>1.07245817808</v>
      </c>
      <c r="AL8" s="134">
        <v>1176</v>
      </c>
      <c r="AM8" s="135"/>
      <c r="AN8" s="147">
        <f>'S-07 (2020)'!E58</f>
        <v>1.4665689144181295</v>
      </c>
      <c r="AO8" s="156">
        <f t="shared" si="4"/>
        <v>42.603826963846664</v>
      </c>
      <c r="AP8" s="93"/>
      <c r="AQ8" s="85"/>
      <c r="AR8" s="85"/>
      <c r="AS8" s="85"/>
      <c r="AT8" s="85"/>
      <c r="AU8" s="92"/>
      <c r="AV8" s="91"/>
      <c r="AW8" s="91"/>
      <c r="AX8" s="91"/>
      <c r="AY8" s="91"/>
    </row>
    <row r="9" spans="1:51" ht="17.100000000000001" customHeight="1" thickTop="1" thickBot="1" x14ac:dyDescent="0.3">
      <c r="A9" s="111" t="s">
        <v>50</v>
      </c>
      <c r="B9" s="32" t="s">
        <v>98</v>
      </c>
      <c r="C9" s="111" t="s">
        <v>98</v>
      </c>
      <c r="D9" s="105" t="s">
        <v>350</v>
      </c>
      <c r="E9" s="105" t="s">
        <v>390</v>
      </c>
      <c r="F9" s="111"/>
      <c r="G9" s="32" t="s">
        <v>176</v>
      </c>
      <c r="H9">
        <v>35</v>
      </c>
      <c r="I9" s="76">
        <v>20</v>
      </c>
      <c r="J9" s="41">
        <v>7.5</v>
      </c>
      <c r="K9" s="42" t="s">
        <v>171</v>
      </c>
      <c r="L9" s="43">
        <v>0.2</v>
      </c>
      <c r="M9" s="44">
        <v>171</v>
      </c>
      <c r="N9" s="42" t="s">
        <v>171</v>
      </c>
      <c r="O9" s="45">
        <f t="shared" si="0"/>
        <v>15.899408510000001</v>
      </c>
      <c r="P9" s="46">
        <v>97</v>
      </c>
      <c r="Q9" s="42" t="s">
        <v>171</v>
      </c>
      <c r="R9" s="47">
        <f t="shared" si="1"/>
        <v>8.2434503370000005</v>
      </c>
      <c r="S9" s="48">
        <v>1.08</v>
      </c>
      <c r="T9" s="42" t="s">
        <v>171</v>
      </c>
      <c r="U9" s="49">
        <f t="shared" si="2"/>
        <v>0.2158129664</v>
      </c>
      <c r="V9" s="48">
        <v>0.93</v>
      </c>
      <c r="W9" s="42" t="s">
        <v>171</v>
      </c>
      <c r="X9" s="49">
        <f t="shared" si="3"/>
        <v>0.20452141190000001</v>
      </c>
      <c r="Y9" s="50">
        <v>0.15</v>
      </c>
      <c r="Z9" s="52">
        <v>1140</v>
      </c>
      <c r="AA9" s="53" t="s">
        <v>171</v>
      </c>
      <c r="AB9" s="54">
        <f t="shared" si="5"/>
        <v>62.7</v>
      </c>
      <c r="AC9" s="55">
        <v>2.85</v>
      </c>
      <c r="AD9" s="53" t="s">
        <v>171</v>
      </c>
      <c r="AE9" s="56">
        <f t="shared" si="8"/>
        <v>0.40272011320000001</v>
      </c>
      <c r="AF9" s="55">
        <v>2.39</v>
      </c>
      <c r="AG9" s="53" t="s">
        <v>171</v>
      </c>
      <c r="AH9" s="57">
        <f t="shared" si="6"/>
        <v>0.40788392769000004</v>
      </c>
      <c r="AI9" s="56">
        <v>5.24</v>
      </c>
      <c r="AJ9" s="53" t="s">
        <v>171</v>
      </c>
      <c r="AK9" s="57">
        <f t="shared" si="7"/>
        <v>1.0986748690399999</v>
      </c>
      <c r="AL9" s="134">
        <v>1135</v>
      </c>
      <c r="AM9" s="135"/>
      <c r="AN9" s="151">
        <f>AN8+((AN8-AN10)/(H8-H10))*(H9-H8)</f>
        <v>1.5459699921183661</v>
      </c>
      <c r="AO9" s="156">
        <f t="shared" si="4"/>
        <v>28.755041853401607</v>
      </c>
      <c r="AP9" s="93"/>
      <c r="AQ9" s="85"/>
      <c r="AR9" s="85"/>
      <c r="AS9" s="85"/>
      <c r="AT9" s="85"/>
      <c r="AU9" s="92"/>
      <c r="AV9" s="91"/>
      <c r="AW9" s="91"/>
      <c r="AX9" s="91"/>
      <c r="AY9" s="91"/>
    </row>
    <row r="10" spans="1:51" ht="18.600000000000001" customHeight="1" thickTop="1" thickBot="1" x14ac:dyDescent="0.3">
      <c r="A10" s="111" t="s">
        <v>50</v>
      </c>
      <c r="B10" s="32" t="s">
        <v>98</v>
      </c>
      <c r="C10" s="111" t="s">
        <v>98</v>
      </c>
      <c r="D10" s="105" t="s">
        <v>350</v>
      </c>
      <c r="E10" s="105" t="s">
        <v>390</v>
      </c>
      <c r="F10" s="111"/>
      <c r="G10" s="32" t="s">
        <v>21</v>
      </c>
      <c r="H10">
        <v>52.5</v>
      </c>
      <c r="I10"/>
      <c r="J10" s="41">
        <v>7.6</v>
      </c>
      <c r="K10" s="42" t="s">
        <v>171</v>
      </c>
      <c r="L10" s="43">
        <v>0.2</v>
      </c>
      <c r="M10" s="44">
        <v>159</v>
      </c>
      <c r="N10" s="42" t="s">
        <v>171</v>
      </c>
      <c r="O10" s="45">
        <f t="shared" ref="O10:O35" si="9">M10*0.082823992+1.736505878</f>
        <v>14.905520606</v>
      </c>
      <c r="P10" s="46">
        <v>88</v>
      </c>
      <c r="Q10" s="42" t="s">
        <v>171</v>
      </c>
      <c r="R10" s="47">
        <f t="shared" ref="R10:R35" si="10">P10*0.088291951-0.32086891</f>
        <v>7.4488227779999994</v>
      </c>
      <c r="S10" s="42">
        <v>0.9</v>
      </c>
      <c r="T10" s="42" t="s">
        <v>171</v>
      </c>
      <c r="U10" s="49">
        <f t="shared" ref="U10:U35" si="11">S10*0.07527703+0.134513774</f>
        <v>0.202263101</v>
      </c>
      <c r="V10" s="48">
        <v>0.78</v>
      </c>
      <c r="W10" s="42" t="s">
        <v>171</v>
      </c>
      <c r="X10" s="49">
        <f t="shared" ref="X10:X35" si="12">V10*0.07527703+0.134513774</f>
        <v>0.19322985740000001</v>
      </c>
      <c r="Y10" s="50">
        <v>0.12</v>
      </c>
      <c r="Z10" s="52">
        <v>1300</v>
      </c>
      <c r="AA10" s="53" t="s">
        <v>171</v>
      </c>
      <c r="AB10" s="54">
        <f t="shared" si="5"/>
        <v>71.5</v>
      </c>
      <c r="AC10" s="55">
        <v>2.2400000000000002</v>
      </c>
      <c r="AD10" s="53" t="s">
        <v>171</v>
      </c>
      <c r="AE10" s="56">
        <f t="shared" si="8"/>
        <v>0.35876315208000004</v>
      </c>
      <c r="AF10" s="55">
        <v>1.21</v>
      </c>
      <c r="AG10" s="53" t="s">
        <v>171</v>
      </c>
      <c r="AH10" s="57">
        <f t="shared" si="6"/>
        <v>0.24247321390999999</v>
      </c>
      <c r="AI10" s="56">
        <v>3.45</v>
      </c>
      <c r="AJ10" s="53" t="s">
        <v>171</v>
      </c>
      <c r="AK10" s="57">
        <f t="shared" si="7"/>
        <v>1.0369276626999999</v>
      </c>
      <c r="AL10" s="134">
        <v>1297</v>
      </c>
      <c r="AM10" s="135"/>
      <c r="AN10" s="148">
        <f>AN6</f>
        <v>1.6200776646385866</v>
      </c>
      <c r="AO10" s="156"/>
      <c r="AP10" s="93"/>
      <c r="AQ10" s="85"/>
      <c r="AR10" s="85"/>
      <c r="AS10" s="85"/>
      <c r="AT10" s="85"/>
      <c r="AU10" s="92"/>
      <c r="AV10" s="91"/>
      <c r="AW10" s="91"/>
      <c r="AX10" s="91"/>
      <c r="AY10" s="91"/>
    </row>
    <row r="11" spans="1:51" ht="15.95" customHeight="1" thickTop="1" thickBot="1" x14ac:dyDescent="0.3">
      <c r="A11" s="111" t="s">
        <v>50</v>
      </c>
      <c r="B11" s="32" t="s">
        <v>178</v>
      </c>
      <c r="C11" s="111" t="s">
        <v>178</v>
      </c>
      <c r="D11" s="32" t="s">
        <v>348</v>
      </c>
      <c r="E11" s="105" t="s">
        <v>72</v>
      </c>
      <c r="F11" s="111" t="s">
        <v>72</v>
      </c>
      <c r="G11" s="32" t="s">
        <v>177</v>
      </c>
      <c r="H11">
        <v>3.75</v>
      </c>
      <c r="I11">
        <v>7.5</v>
      </c>
      <c r="J11" s="41">
        <v>5.9</v>
      </c>
      <c r="K11" s="42" t="s">
        <v>171</v>
      </c>
      <c r="L11" s="43">
        <v>0.2</v>
      </c>
      <c r="M11" s="44">
        <v>157</v>
      </c>
      <c r="N11" s="42" t="s">
        <v>171</v>
      </c>
      <c r="O11" s="45">
        <f t="shared" si="9"/>
        <v>14.739872622</v>
      </c>
      <c r="P11" s="46">
        <v>140</v>
      </c>
      <c r="Q11" s="42" t="s">
        <v>171</v>
      </c>
      <c r="R11" s="47">
        <f t="shared" si="10"/>
        <v>12.040004229999999</v>
      </c>
      <c r="S11" s="42">
        <v>1.42</v>
      </c>
      <c r="T11" s="42" t="s">
        <v>171</v>
      </c>
      <c r="U11" s="49">
        <f t="shared" si="11"/>
        <v>0.24140715660000001</v>
      </c>
      <c r="V11" s="48">
        <v>1.36</v>
      </c>
      <c r="W11" s="42" t="s">
        <v>171</v>
      </c>
      <c r="X11" s="49">
        <f t="shared" si="12"/>
        <v>0.2368905348</v>
      </c>
      <c r="Y11" s="50">
        <v>0.06</v>
      </c>
      <c r="Z11" s="52">
        <v>1080</v>
      </c>
      <c r="AA11" s="53" t="s">
        <v>171</v>
      </c>
      <c r="AB11" s="54">
        <f t="shared" si="5"/>
        <v>59.4</v>
      </c>
      <c r="AC11" s="55">
        <v>11.03</v>
      </c>
      <c r="AD11" s="53" t="s">
        <v>171</v>
      </c>
      <c r="AE11" s="56">
        <f t="shared" si="8"/>
        <v>0.99217575576000006</v>
      </c>
      <c r="AF11" s="55">
        <v>4.2699999999999996</v>
      </c>
      <c r="AG11" s="53" t="s">
        <v>171</v>
      </c>
      <c r="AH11" s="57">
        <f t="shared" si="6"/>
        <v>0.67141964116999997</v>
      </c>
      <c r="AI11" s="56">
        <v>15.3</v>
      </c>
      <c r="AJ11" s="53" t="s">
        <v>171</v>
      </c>
      <c r="AK11" s="57">
        <f t="shared" si="7"/>
        <v>1.4457010678</v>
      </c>
      <c r="AL11" s="134">
        <v>1065</v>
      </c>
      <c r="AM11" s="135"/>
      <c r="AN11" s="150">
        <f>AN12-((AN12-AN15)/(H12-H15))*3.5</f>
        <v>1.4417729037452423</v>
      </c>
      <c r="AO11" s="156">
        <f t="shared" si="4"/>
        <v>14.706083618201472</v>
      </c>
      <c r="AP11" s="93"/>
      <c r="AQ11" s="85"/>
      <c r="AR11" s="85"/>
      <c r="AS11" s="85"/>
      <c r="AT11" s="85"/>
      <c r="AU11" s="92"/>
      <c r="AV11" s="91"/>
      <c r="AW11" s="91"/>
      <c r="AX11" s="91"/>
      <c r="AY11" s="91"/>
    </row>
    <row r="12" spans="1:51" ht="16.5" customHeight="1" thickTop="1" thickBot="1" x14ac:dyDescent="0.3">
      <c r="A12" s="111" t="s">
        <v>50</v>
      </c>
      <c r="B12" s="32" t="s">
        <v>178</v>
      </c>
      <c r="C12" s="111" t="s">
        <v>178</v>
      </c>
      <c r="D12" s="32" t="s">
        <v>348</v>
      </c>
      <c r="E12" s="109" t="s">
        <v>72</v>
      </c>
      <c r="F12" s="111" t="s">
        <v>72</v>
      </c>
      <c r="G12" s="32" t="s">
        <v>175</v>
      </c>
      <c r="H12">
        <v>16.25</v>
      </c>
      <c r="I12">
        <f>25-7.5</f>
        <v>17.5</v>
      </c>
      <c r="J12" s="41">
        <v>6.5</v>
      </c>
      <c r="K12" s="42" t="s">
        <v>171</v>
      </c>
      <c r="L12" s="43">
        <v>0.2</v>
      </c>
      <c r="M12" s="44">
        <v>188</v>
      </c>
      <c r="N12" s="42" t="s">
        <v>171</v>
      </c>
      <c r="O12" s="45">
        <f t="shared" si="9"/>
        <v>17.307416373999999</v>
      </c>
      <c r="P12" s="46">
        <v>57</v>
      </c>
      <c r="Q12" s="42" t="s">
        <v>171</v>
      </c>
      <c r="R12" s="47">
        <f t="shared" si="10"/>
        <v>4.7117722969999996</v>
      </c>
      <c r="S12" s="42">
        <v>1.17</v>
      </c>
      <c r="T12" s="42" t="s">
        <v>171</v>
      </c>
      <c r="U12" s="49">
        <f t="shared" si="11"/>
        <v>0.22258789909999999</v>
      </c>
      <c r="V12" s="48">
        <v>1.1499999999999999</v>
      </c>
      <c r="W12" s="42" t="s">
        <v>171</v>
      </c>
      <c r="X12" s="49">
        <f t="shared" si="12"/>
        <v>0.22108235849999999</v>
      </c>
      <c r="Y12" s="50">
        <v>0.02</v>
      </c>
      <c r="Z12" s="52">
        <v>1020</v>
      </c>
      <c r="AA12" s="53" t="s">
        <v>171</v>
      </c>
      <c r="AB12" s="54">
        <f t="shared" si="5"/>
        <v>56.1</v>
      </c>
      <c r="AC12" s="55">
        <v>7.71</v>
      </c>
      <c r="AD12" s="53" t="s">
        <v>171</v>
      </c>
      <c r="AE12" s="56">
        <f t="shared" si="8"/>
        <v>0.75293459031999999</v>
      </c>
      <c r="AF12" s="55">
        <v>0.92</v>
      </c>
      <c r="AG12" s="53" t="s">
        <v>171</v>
      </c>
      <c r="AH12" s="57">
        <f t="shared" si="6"/>
        <v>0.20182142832</v>
      </c>
      <c r="AI12" s="56">
        <v>8.6300000000000008</v>
      </c>
      <c r="AJ12" s="53" t="s">
        <v>171</v>
      </c>
      <c r="AK12" s="57">
        <f t="shared" si="7"/>
        <v>1.21561510898</v>
      </c>
      <c r="AL12" s="134">
        <v>1011</v>
      </c>
      <c r="AM12" s="135"/>
      <c r="AN12" s="147">
        <f>'S-07 (2020)'!E58</f>
        <v>1.4665689144181295</v>
      </c>
      <c r="AO12" s="156">
        <f t="shared" si="4"/>
        <v>29.514699402664856</v>
      </c>
      <c r="AP12" s="93"/>
      <c r="AQ12" s="85"/>
      <c r="AR12" s="85"/>
      <c r="AS12" s="85"/>
      <c r="AT12" s="85"/>
      <c r="AU12" s="92"/>
      <c r="AV12" s="91"/>
      <c r="AW12" s="91"/>
      <c r="AX12" s="91"/>
      <c r="AY12" s="91"/>
    </row>
    <row r="13" spans="1:51" ht="16.5" customHeight="1" thickTop="1" thickBot="1" x14ac:dyDescent="0.3">
      <c r="A13" s="111" t="s">
        <v>50</v>
      </c>
      <c r="B13" s="32" t="s">
        <v>178</v>
      </c>
      <c r="C13" s="111" t="s">
        <v>178</v>
      </c>
      <c r="D13" s="32" t="s">
        <v>348</v>
      </c>
      <c r="E13" s="109" t="s">
        <v>72</v>
      </c>
      <c r="F13" s="111" t="s">
        <v>72</v>
      </c>
      <c r="G13" s="32" t="s">
        <v>176</v>
      </c>
      <c r="H13">
        <v>35</v>
      </c>
      <c r="I13" s="76">
        <f>45-25</f>
        <v>20</v>
      </c>
      <c r="J13" s="41">
        <v>5.5</v>
      </c>
      <c r="K13" s="42" t="s">
        <v>171</v>
      </c>
      <c r="L13" s="43">
        <v>0.2</v>
      </c>
      <c r="M13" s="44">
        <v>95</v>
      </c>
      <c r="N13" s="42" t="s">
        <v>171</v>
      </c>
      <c r="O13" s="45">
        <f t="shared" si="9"/>
        <v>9.6047851179999988</v>
      </c>
      <c r="P13" s="46">
        <v>68</v>
      </c>
      <c r="Q13" s="42" t="s">
        <v>171</v>
      </c>
      <c r="R13" s="47">
        <f t="shared" si="10"/>
        <v>5.6829837579999998</v>
      </c>
      <c r="S13" s="42">
        <v>0.63</v>
      </c>
      <c r="T13" s="42" t="s">
        <v>171</v>
      </c>
      <c r="U13" s="49">
        <f t="shared" si="11"/>
        <v>0.18193830290000002</v>
      </c>
      <c r="V13" s="48">
        <v>0.6</v>
      </c>
      <c r="W13" s="42" t="s">
        <v>171</v>
      </c>
      <c r="X13" s="49">
        <f t="shared" si="12"/>
        <v>0.17967999200000001</v>
      </c>
      <c r="Y13" s="50">
        <v>0.03</v>
      </c>
      <c r="Z13" s="52">
        <v>730</v>
      </c>
      <c r="AA13" s="53" t="s">
        <v>171</v>
      </c>
      <c r="AB13" s="54">
        <f t="shared" si="5"/>
        <v>40.15</v>
      </c>
      <c r="AC13" s="55">
        <v>1.1499999999999999</v>
      </c>
      <c r="AD13" s="53" t="s">
        <v>171</v>
      </c>
      <c r="AE13" s="56">
        <f t="shared" si="8"/>
        <v>0.2802171068</v>
      </c>
      <c r="AF13" s="55">
        <v>1.01</v>
      </c>
      <c r="AG13" s="53" t="s">
        <v>171</v>
      </c>
      <c r="AH13" s="57">
        <f t="shared" si="6"/>
        <v>0.21443749970999998</v>
      </c>
      <c r="AI13" s="56">
        <v>2.16</v>
      </c>
      <c r="AJ13" s="53" t="s">
        <v>171</v>
      </c>
      <c r="AK13" s="57">
        <f t="shared" si="7"/>
        <v>0.99242827936</v>
      </c>
      <c r="AL13" s="134">
        <v>728</v>
      </c>
      <c r="AM13" s="135"/>
      <c r="AN13" s="151">
        <f>AN12+((AN12-AN15)/(H12-H15))*(H13-H12)</f>
        <v>1.5994046858800259</v>
      </c>
      <c r="AO13" s="156">
        <f t="shared" si="4"/>
        <v>19.192856230560309</v>
      </c>
      <c r="AP13" s="93"/>
      <c r="AQ13" s="85"/>
      <c r="AR13" s="85"/>
      <c r="AS13" s="85"/>
      <c r="AT13" s="85"/>
      <c r="AU13" s="92"/>
      <c r="AV13" s="91"/>
      <c r="AW13" s="91"/>
      <c r="AX13" s="91"/>
      <c r="AY13" s="91"/>
    </row>
    <row r="14" spans="1:51" ht="16.5" customHeight="1" thickTop="1" thickBot="1" x14ac:dyDescent="0.3">
      <c r="A14" s="111"/>
      <c r="B14" s="111"/>
      <c r="C14" s="111"/>
      <c r="D14" s="111"/>
      <c r="E14" s="111"/>
      <c r="F14" s="111"/>
      <c r="G14" s="111"/>
      <c r="H14"/>
      <c r="I14"/>
      <c r="J14" s="41"/>
      <c r="K14" s="42"/>
      <c r="L14" s="43"/>
      <c r="M14" s="44"/>
      <c r="N14" s="42"/>
      <c r="O14" s="45"/>
      <c r="P14" s="46"/>
      <c r="Q14" s="42"/>
      <c r="R14" s="47"/>
      <c r="S14" s="42"/>
      <c r="T14" s="42"/>
      <c r="U14" s="49"/>
      <c r="V14" s="48" t="s">
        <v>603</v>
      </c>
      <c r="W14" s="42"/>
      <c r="X14" s="49"/>
      <c r="Y14" s="50"/>
      <c r="Z14" s="52"/>
      <c r="AA14" s="53"/>
      <c r="AB14" s="54"/>
      <c r="AC14" s="55"/>
      <c r="AD14" s="53"/>
      <c r="AE14" s="56"/>
      <c r="AF14" s="55"/>
      <c r="AG14" s="53"/>
      <c r="AH14" s="57"/>
      <c r="AI14" s="56"/>
      <c r="AJ14" s="53"/>
      <c r="AK14" s="57"/>
      <c r="AL14" s="134"/>
      <c r="AM14" s="135"/>
      <c r="AN14" s="152"/>
      <c r="AO14" s="156"/>
      <c r="AP14" s="93"/>
      <c r="AQ14" s="85"/>
      <c r="AR14" s="85"/>
      <c r="AS14" s="85"/>
      <c r="AT14" s="85"/>
      <c r="AU14" s="92"/>
      <c r="AV14" s="91"/>
      <c r="AW14" s="91"/>
      <c r="AX14" s="91"/>
      <c r="AY14" s="91"/>
    </row>
    <row r="15" spans="1:51" ht="16.5" customHeight="1" thickTop="1" thickBot="1" x14ac:dyDescent="0.3">
      <c r="A15" s="32" t="s">
        <v>179</v>
      </c>
      <c r="B15" s="32" t="s">
        <v>180</v>
      </c>
      <c r="C15" s="111" t="s">
        <v>81</v>
      </c>
      <c r="D15" s="32" t="s">
        <v>346</v>
      </c>
      <c r="E15" s="32" t="s">
        <v>22</v>
      </c>
      <c r="F15" s="111" t="s">
        <v>22</v>
      </c>
      <c r="G15" s="32" t="s">
        <v>177</v>
      </c>
      <c r="H15">
        <v>3.75</v>
      </c>
      <c r="I15">
        <v>7.5</v>
      </c>
      <c r="J15" s="41">
        <v>5.0999999999999996</v>
      </c>
      <c r="K15" s="42" t="s">
        <v>171</v>
      </c>
      <c r="L15" s="43">
        <v>0.2</v>
      </c>
      <c r="M15" s="44">
        <v>194</v>
      </c>
      <c r="N15" s="42" t="s">
        <v>171</v>
      </c>
      <c r="O15" s="45">
        <f t="shared" si="9"/>
        <v>17.804360325999998</v>
      </c>
      <c r="P15" s="46">
        <v>190</v>
      </c>
      <c r="Q15" s="42" t="s">
        <v>171</v>
      </c>
      <c r="R15" s="47">
        <f t="shared" si="10"/>
        <v>16.454601779999997</v>
      </c>
      <c r="S15" s="42">
        <v>1.68</v>
      </c>
      <c r="T15" s="42" t="s">
        <v>171</v>
      </c>
      <c r="U15" s="49">
        <f t="shared" si="11"/>
        <v>0.26097918440000001</v>
      </c>
      <c r="V15" s="48">
        <v>1.67</v>
      </c>
      <c r="W15" s="42" t="s">
        <v>171</v>
      </c>
      <c r="X15" s="49">
        <f t="shared" si="12"/>
        <v>0.26022641410000003</v>
      </c>
      <c r="Y15" s="50">
        <v>0.01</v>
      </c>
      <c r="Z15" s="52">
        <v>1400</v>
      </c>
      <c r="AA15" s="53" t="s">
        <v>171</v>
      </c>
      <c r="AB15" s="54">
        <f t="shared" si="5"/>
        <v>77</v>
      </c>
      <c r="AC15" s="55">
        <v>12.26</v>
      </c>
      <c r="AD15" s="53" t="s">
        <v>171</v>
      </c>
      <c r="AE15" s="56">
        <f t="shared" si="8"/>
        <v>1.08081028392</v>
      </c>
      <c r="AF15" s="55">
        <v>1.44</v>
      </c>
      <c r="AG15" s="53" t="s">
        <v>171</v>
      </c>
      <c r="AH15" s="57">
        <f t="shared" si="6"/>
        <v>0.27471428523999997</v>
      </c>
      <c r="AI15" s="56">
        <v>13.7</v>
      </c>
      <c r="AJ15" s="53" t="s">
        <v>171</v>
      </c>
      <c r="AK15" s="57">
        <f t="shared" si="7"/>
        <v>1.3905080341999998</v>
      </c>
      <c r="AL15" s="134">
        <v>1386</v>
      </c>
      <c r="AM15" s="135"/>
      <c r="AN15" s="150">
        <f>AN16-((AN16-AN18)/(H16-H18))*3.5</f>
        <v>1.378011733443532</v>
      </c>
      <c r="AO15" s="156">
        <f t="shared" si="4"/>
        <v>17.25959696138024</v>
      </c>
      <c r="AP15" s="93">
        <f>'PoplarPlots(2000)'!E2</f>
        <v>9.5</v>
      </c>
      <c r="AQ15" s="85">
        <f>'PoplarPlots(2000)'!L2</f>
        <v>116.16799938733058</v>
      </c>
      <c r="AR15" s="85">
        <f>'PoplarPlots(2000)'!M2</f>
        <v>12.228210461824272</v>
      </c>
      <c r="AS15" s="85">
        <f>'PoplarPlots(2000)'!N2</f>
        <v>47.919299747273861</v>
      </c>
      <c r="AT15" s="85">
        <f>'PoplarPlots(2000)'!O2</f>
        <v>5.0441368155025117</v>
      </c>
      <c r="AU15" s="92">
        <f>'S-01-03 (2020)'!F4</f>
        <v>16</v>
      </c>
      <c r="AV15" s="91">
        <f>'S-01-03 (2020)'!H4</f>
        <v>340.93718289157704</v>
      </c>
      <c r="AW15" s="91">
        <f>'S-01-03 (2020)'!I4</f>
        <v>21.308573930723565</v>
      </c>
      <c r="AX15" s="91">
        <f>'S-01-03 (2020)'!J4</f>
        <v>140.63658794277552</v>
      </c>
      <c r="AY15" s="91">
        <f>'S-01-03 (2020)'!K4</f>
        <v>8.78978674642347</v>
      </c>
    </row>
    <row r="16" spans="1:51" ht="17.100000000000001" customHeight="1" thickTop="1" thickBot="1" x14ac:dyDescent="0.3">
      <c r="A16" s="32" t="s">
        <v>181</v>
      </c>
      <c r="B16" s="32" t="s">
        <v>180</v>
      </c>
      <c r="C16" s="111" t="s">
        <v>81</v>
      </c>
      <c r="D16" s="32" t="s">
        <v>346</v>
      </c>
      <c r="E16" s="109" t="s">
        <v>22</v>
      </c>
      <c r="F16" s="111" t="s">
        <v>22</v>
      </c>
      <c r="G16" s="32" t="s">
        <v>175</v>
      </c>
      <c r="H16">
        <v>16.25</v>
      </c>
      <c r="I16">
        <f>25-7.5</f>
        <v>17.5</v>
      </c>
      <c r="J16" s="41">
        <v>5</v>
      </c>
      <c r="K16" s="42" t="s">
        <v>171</v>
      </c>
      <c r="L16" s="43">
        <v>0.2</v>
      </c>
      <c r="M16" s="44">
        <v>187</v>
      </c>
      <c r="N16" s="42" t="s">
        <v>171</v>
      </c>
      <c r="O16" s="45">
        <f t="shared" si="9"/>
        <v>17.224592382000001</v>
      </c>
      <c r="P16" s="46">
        <v>125</v>
      </c>
      <c r="Q16" s="42" t="s">
        <v>171</v>
      </c>
      <c r="R16" s="47">
        <f t="shared" si="10"/>
        <v>10.715624965</v>
      </c>
      <c r="S16" s="42">
        <v>0.93</v>
      </c>
      <c r="T16" s="42" t="s">
        <v>171</v>
      </c>
      <c r="U16" s="49">
        <f t="shared" si="11"/>
        <v>0.20452141190000001</v>
      </c>
      <c r="V16" s="48">
        <v>0.89</v>
      </c>
      <c r="W16" s="42" t="s">
        <v>171</v>
      </c>
      <c r="X16" s="49">
        <f t="shared" si="12"/>
        <v>0.20151033070000002</v>
      </c>
      <c r="Y16" s="50">
        <v>0.04</v>
      </c>
      <c r="Z16" s="52">
        <v>1140</v>
      </c>
      <c r="AA16" s="53" t="s">
        <v>171</v>
      </c>
      <c r="AB16" s="54">
        <f t="shared" si="5"/>
        <v>62.7</v>
      </c>
      <c r="AC16" s="55">
        <v>8.33</v>
      </c>
      <c r="AD16" s="53" t="s">
        <v>171</v>
      </c>
      <c r="AE16" s="56">
        <f t="shared" si="8"/>
        <v>0.79761215736000002</v>
      </c>
      <c r="AF16" s="55">
        <v>2.2799999999999998</v>
      </c>
      <c r="AG16" s="53" t="s">
        <v>171</v>
      </c>
      <c r="AH16" s="57">
        <f t="shared" si="6"/>
        <v>0.39246428488000001</v>
      </c>
      <c r="AI16" s="56">
        <v>10.61</v>
      </c>
      <c r="AJ16" s="53" t="s">
        <v>171</v>
      </c>
      <c r="AK16" s="57">
        <f t="shared" si="7"/>
        <v>1.28391648806</v>
      </c>
      <c r="AL16" s="134">
        <v>1129</v>
      </c>
      <c r="AM16" s="135"/>
      <c r="AN16" s="147">
        <f>'S-01-03 (2020)'!E33</f>
        <v>1.3998555602644331</v>
      </c>
      <c r="AO16" s="156">
        <f t="shared" si="4"/>
        <v>21.802750351118547</v>
      </c>
      <c r="AP16" s="93"/>
      <c r="AQ16" s="85"/>
      <c r="AR16" s="85"/>
      <c r="AS16" s="85"/>
      <c r="AT16" s="85"/>
      <c r="AU16" s="92"/>
      <c r="AV16" s="91"/>
      <c r="AW16" s="91"/>
      <c r="AX16" s="91"/>
      <c r="AY16" s="91"/>
    </row>
    <row r="17" spans="1:51" ht="17.45" customHeight="1" thickTop="1" thickBot="1" x14ac:dyDescent="0.3">
      <c r="A17" s="32" t="s">
        <v>179</v>
      </c>
      <c r="B17" s="32" t="s">
        <v>182</v>
      </c>
      <c r="C17" s="111" t="s">
        <v>81</v>
      </c>
      <c r="D17" s="105" t="s">
        <v>346</v>
      </c>
      <c r="E17" s="109" t="s">
        <v>22</v>
      </c>
      <c r="F17" s="111" t="s">
        <v>22</v>
      </c>
      <c r="G17" s="32" t="s">
        <v>176</v>
      </c>
      <c r="H17">
        <v>35</v>
      </c>
      <c r="I17" s="76">
        <f>45-25</f>
        <v>20</v>
      </c>
      <c r="J17" s="41">
        <v>5.2</v>
      </c>
      <c r="K17" s="42" t="s">
        <v>171</v>
      </c>
      <c r="L17" s="43">
        <v>0.2</v>
      </c>
      <c r="M17" s="44">
        <v>146</v>
      </c>
      <c r="N17" s="42" t="s">
        <v>171</v>
      </c>
      <c r="O17" s="45">
        <f t="shared" si="9"/>
        <v>13.828808710000001</v>
      </c>
      <c r="P17" s="46">
        <v>69</v>
      </c>
      <c r="Q17" s="42" t="s">
        <v>171</v>
      </c>
      <c r="R17" s="47">
        <f t="shared" si="10"/>
        <v>5.7712757090000002</v>
      </c>
      <c r="S17" s="42">
        <v>0.78</v>
      </c>
      <c r="T17" s="42" t="s">
        <v>171</v>
      </c>
      <c r="U17" s="49">
        <f t="shared" si="11"/>
        <v>0.19322985740000001</v>
      </c>
      <c r="V17" s="48">
        <v>0.78</v>
      </c>
      <c r="W17" s="42" t="s">
        <v>171</v>
      </c>
      <c r="X17" s="49">
        <f t="shared" si="12"/>
        <v>0.19322985740000001</v>
      </c>
      <c r="Y17" s="50">
        <v>0</v>
      </c>
      <c r="Z17" s="52">
        <v>740</v>
      </c>
      <c r="AA17" s="53" t="s">
        <v>171</v>
      </c>
      <c r="AB17" s="54">
        <f t="shared" si="5"/>
        <v>40.700000000000003</v>
      </c>
      <c r="AC17" s="55">
        <v>3.68</v>
      </c>
      <c r="AD17" s="53" t="s">
        <v>171</v>
      </c>
      <c r="AE17" s="56">
        <f t="shared" si="8"/>
        <v>0.46253040456000005</v>
      </c>
      <c r="AF17" s="55">
        <v>1.08</v>
      </c>
      <c r="AG17" s="53" t="s">
        <v>171</v>
      </c>
      <c r="AH17" s="57">
        <f t="shared" si="6"/>
        <v>0.22424999968000003</v>
      </c>
      <c r="AI17" s="56">
        <v>4.76</v>
      </c>
      <c r="AJ17" s="53" t="s">
        <v>171</v>
      </c>
      <c r="AK17" s="57">
        <f t="shared" si="7"/>
        <v>1.0821169589599999</v>
      </c>
      <c r="AL17" s="134">
        <v>735</v>
      </c>
      <c r="AM17" s="135"/>
      <c r="AN17" s="151">
        <f>AN16+((AN16-AN18)/(H16-H18))*(H17-H16)</f>
        <v>1.5168760610906895</v>
      </c>
      <c r="AO17" s="156">
        <f t="shared" si="4"/>
        <v>23.663266553014758</v>
      </c>
      <c r="AP17" s="93"/>
      <c r="AQ17" s="85"/>
      <c r="AR17" s="85"/>
      <c r="AS17" s="85"/>
      <c r="AT17" s="85"/>
      <c r="AU17" s="92"/>
      <c r="AV17" s="91"/>
      <c r="AW17" s="91"/>
      <c r="AX17" s="91"/>
      <c r="AY17" s="91"/>
    </row>
    <row r="18" spans="1:51" ht="17.45" customHeight="1" thickTop="1" thickBot="1" x14ac:dyDescent="0.3">
      <c r="A18" s="33" t="s">
        <v>181</v>
      </c>
      <c r="B18" s="32" t="s">
        <v>182</v>
      </c>
      <c r="C18" s="111" t="s">
        <v>81</v>
      </c>
      <c r="D18" s="105" t="s">
        <v>346</v>
      </c>
      <c r="E18" s="109" t="s">
        <v>22</v>
      </c>
      <c r="F18" s="111" t="s">
        <v>22</v>
      </c>
      <c r="G18" s="32" t="s">
        <v>21</v>
      </c>
      <c r="H18">
        <v>52.5</v>
      </c>
      <c r="I18">
        <f>60-45</f>
        <v>15</v>
      </c>
      <c r="J18" s="41">
        <v>5.5</v>
      </c>
      <c r="K18" s="42" t="s">
        <v>171</v>
      </c>
      <c r="L18" s="43">
        <v>0.2</v>
      </c>
      <c r="M18" s="44">
        <v>115</v>
      </c>
      <c r="N18" s="42" t="s">
        <v>171</v>
      </c>
      <c r="O18" s="45">
        <f t="shared" si="9"/>
        <v>11.261264957999998</v>
      </c>
      <c r="P18" s="46">
        <v>65</v>
      </c>
      <c r="Q18" s="42" t="s">
        <v>171</v>
      </c>
      <c r="R18" s="47">
        <f t="shared" si="10"/>
        <v>5.4181079050000003</v>
      </c>
      <c r="S18" s="42">
        <v>0.59</v>
      </c>
      <c r="T18" s="42" t="s">
        <v>171</v>
      </c>
      <c r="U18" s="49">
        <f t="shared" si="11"/>
        <v>0.1789272217</v>
      </c>
      <c r="V18" s="48">
        <v>0.49</v>
      </c>
      <c r="W18" s="42" t="s">
        <v>171</v>
      </c>
      <c r="X18" s="49">
        <f t="shared" si="12"/>
        <v>0.1713995187</v>
      </c>
      <c r="Y18" s="50">
        <v>0.1</v>
      </c>
      <c r="Z18" s="52">
        <v>520</v>
      </c>
      <c r="AA18" s="53" t="s">
        <v>171</v>
      </c>
      <c r="AB18" s="54">
        <f t="shared" si="5"/>
        <v>28.6</v>
      </c>
      <c r="AC18" s="55">
        <v>1.42</v>
      </c>
      <c r="AD18" s="53" t="s">
        <v>171</v>
      </c>
      <c r="AE18" s="56">
        <f t="shared" si="8"/>
        <v>0.29967346664</v>
      </c>
      <c r="AF18" s="55">
        <v>1.31</v>
      </c>
      <c r="AG18" s="53" t="s">
        <v>171</v>
      </c>
      <c r="AH18" s="57">
        <f t="shared" si="6"/>
        <v>0.25649107101000002</v>
      </c>
      <c r="AI18" s="56">
        <v>2.73</v>
      </c>
      <c r="AJ18" s="53" t="s">
        <v>171</v>
      </c>
      <c r="AK18" s="57">
        <f t="shared" si="7"/>
        <v>1.01209079758</v>
      </c>
      <c r="AL18" s="134">
        <v>517</v>
      </c>
      <c r="AM18" s="135"/>
      <c r="AN18" s="148">
        <f>AVERAGE(SoilAgric2000_BD!AK13,SoilWoodyCrop_BD!AJ13,SoilWoodyCrop_BD!AJ5,SoilAgric2000_BD!AK13)</f>
        <v>1.6260951951951954</v>
      </c>
      <c r="AO18" s="156">
        <f t="shared" si="4"/>
        <v>11.951799684684685</v>
      </c>
      <c r="AP18" s="93"/>
      <c r="AQ18" s="85"/>
      <c r="AR18" s="85"/>
      <c r="AS18" s="85"/>
      <c r="AT18" s="85"/>
      <c r="AU18" s="92"/>
      <c r="AV18" s="91"/>
      <c r="AW18" s="91"/>
      <c r="AX18" s="91"/>
      <c r="AY18" s="91"/>
    </row>
    <row r="19" spans="1:51" ht="17.45" customHeight="1" thickTop="1" thickBot="1" x14ac:dyDescent="0.3">
      <c r="A19" s="34" t="s">
        <v>181</v>
      </c>
      <c r="B19" s="39" t="s">
        <v>184</v>
      </c>
      <c r="C19" s="111" t="s">
        <v>81</v>
      </c>
      <c r="D19" s="105" t="s">
        <v>346</v>
      </c>
      <c r="E19" s="39" t="s">
        <v>23</v>
      </c>
      <c r="F19" s="39" t="s">
        <v>23</v>
      </c>
      <c r="G19" s="39" t="s">
        <v>177</v>
      </c>
      <c r="H19">
        <v>3.75</v>
      </c>
      <c r="I19">
        <v>7.5</v>
      </c>
      <c r="J19" s="41">
        <v>5.0999999999999996</v>
      </c>
      <c r="K19" s="42" t="s">
        <v>171</v>
      </c>
      <c r="L19" s="43">
        <v>0.2</v>
      </c>
      <c r="M19" s="44">
        <v>37</v>
      </c>
      <c r="N19" s="42" t="s">
        <v>171</v>
      </c>
      <c r="O19" s="45">
        <f t="shared" si="9"/>
        <v>4.8009935820000003</v>
      </c>
      <c r="P19" s="46">
        <v>127</v>
      </c>
      <c r="Q19" s="42" t="s">
        <v>171</v>
      </c>
      <c r="R19" s="47">
        <f t="shared" si="10"/>
        <v>10.892208866999999</v>
      </c>
      <c r="S19" s="42">
        <v>1.73</v>
      </c>
      <c r="T19" s="42" t="s">
        <v>171</v>
      </c>
      <c r="U19" s="49">
        <f t="shared" si="11"/>
        <v>0.26474303589999998</v>
      </c>
      <c r="V19" s="48">
        <v>1.68</v>
      </c>
      <c r="W19" s="42" t="s">
        <v>171</v>
      </c>
      <c r="X19" s="49">
        <f t="shared" si="12"/>
        <v>0.26097918440000001</v>
      </c>
      <c r="Y19" s="50">
        <v>0.05</v>
      </c>
      <c r="Z19" s="52">
        <v>1310</v>
      </c>
      <c r="AA19" s="53" t="s">
        <v>171</v>
      </c>
      <c r="AB19" s="54">
        <f t="shared" si="5"/>
        <v>72.05</v>
      </c>
      <c r="AC19" s="55">
        <v>8.65</v>
      </c>
      <c r="AD19" s="53" t="s">
        <v>171</v>
      </c>
      <c r="AE19" s="56">
        <f t="shared" si="8"/>
        <v>0.8206715468000001</v>
      </c>
      <c r="AF19" s="55">
        <v>2.2599999999999998</v>
      </c>
      <c r="AG19" s="53" t="s">
        <v>171</v>
      </c>
      <c r="AH19" s="57">
        <f t="shared" si="6"/>
        <v>0.38966071345999997</v>
      </c>
      <c r="AI19" s="56">
        <v>10.91</v>
      </c>
      <c r="AJ19" s="53" t="s">
        <v>171</v>
      </c>
      <c r="AK19" s="57">
        <f t="shared" si="7"/>
        <v>1.2942651818599999</v>
      </c>
      <c r="AL19" s="134">
        <v>1299</v>
      </c>
      <c r="AM19" s="135"/>
      <c r="AN19" s="150">
        <f>AN20-((AN20-AN22)/(H20-H22))*3.5</f>
        <v>1.4632368482455465</v>
      </c>
      <c r="AO19" s="156">
        <f t="shared" si="4"/>
        <v>18.436784287893882</v>
      </c>
      <c r="AP19" s="93">
        <f>'PoplarPlots(2000)'!E12</f>
        <v>9.5</v>
      </c>
      <c r="AQ19" s="85">
        <f>'PoplarPlots(2000)'!L12</f>
        <v>131.88021361164436</v>
      </c>
      <c r="AR19" s="85">
        <f>'PoplarPlots(2000)'!M12</f>
        <v>13.882127748594144</v>
      </c>
      <c r="AS19" s="85">
        <f>'PoplarPlots(2000)'!N12</f>
        <v>54.400588114803305</v>
      </c>
      <c r="AT19" s="85">
        <f>'PoplarPlots(2000)'!O12</f>
        <v>5.726377696295085</v>
      </c>
      <c r="AU19" s="92">
        <f>'S-01-03 (2020)'!S4</f>
        <v>16</v>
      </c>
      <c r="AV19" s="91">
        <f>'S-01-03 (2020)'!U4</f>
        <v>415.17260474562897</v>
      </c>
      <c r="AW19" s="91">
        <f>'S-01-03 (2020)'!V4</f>
        <v>25.948287796601811</v>
      </c>
      <c r="AX19" s="91">
        <f>'S-01-03 (2020)'!W4</f>
        <v>171.25869945757194</v>
      </c>
      <c r="AY19" s="91">
        <f>'S-01-03 (2020)'!X4</f>
        <v>10.703668716098246</v>
      </c>
    </row>
    <row r="20" spans="1:51" ht="16.5" customHeight="1" thickTop="1" thickBot="1" x14ac:dyDescent="0.3">
      <c r="A20" s="35" t="s">
        <v>179</v>
      </c>
      <c r="B20" s="38" t="s">
        <v>184</v>
      </c>
      <c r="C20" s="111" t="s">
        <v>81</v>
      </c>
      <c r="D20" s="105" t="s">
        <v>346</v>
      </c>
      <c r="E20" s="39" t="s">
        <v>23</v>
      </c>
      <c r="F20" s="39" t="s">
        <v>23</v>
      </c>
      <c r="G20" s="38" t="s">
        <v>175</v>
      </c>
      <c r="H20">
        <v>16.25</v>
      </c>
      <c r="I20">
        <f>25-7.5</f>
        <v>17.5</v>
      </c>
      <c r="J20" s="41">
        <v>4.8</v>
      </c>
      <c r="K20" s="42" t="s">
        <v>171</v>
      </c>
      <c r="L20" s="43">
        <v>0.2</v>
      </c>
      <c r="M20" s="44">
        <v>37</v>
      </c>
      <c r="N20" s="42" t="s">
        <v>171</v>
      </c>
      <c r="O20" s="45">
        <f t="shared" si="9"/>
        <v>4.8009935820000003</v>
      </c>
      <c r="P20" s="46">
        <v>65</v>
      </c>
      <c r="Q20" s="42" t="s">
        <v>171</v>
      </c>
      <c r="R20" s="47">
        <f t="shared" si="10"/>
        <v>5.4181079050000003</v>
      </c>
      <c r="S20" s="42">
        <v>0.86</v>
      </c>
      <c r="T20" s="42" t="s">
        <v>171</v>
      </c>
      <c r="U20" s="49">
        <f t="shared" si="11"/>
        <v>0.19925201980000001</v>
      </c>
      <c r="V20" s="48">
        <v>0.79</v>
      </c>
      <c r="W20" s="42" t="s">
        <v>171</v>
      </c>
      <c r="X20" s="49">
        <f t="shared" si="12"/>
        <v>0.19398262769999999</v>
      </c>
      <c r="Y20" s="50">
        <v>7.0000000000000007E-2</v>
      </c>
      <c r="Z20" s="52">
        <v>640</v>
      </c>
      <c r="AA20" s="53" t="s">
        <v>171</v>
      </c>
      <c r="AB20" s="54">
        <f t="shared" si="5"/>
        <v>35.200000000000003</v>
      </c>
      <c r="AC20" s="55">
        <v>3.23</v>
      </c>
      <c r="AD20" s="53" t="s">
        <v>171</v>
      </c>
      <c r="AE20" s="56">
        <f t="shared" si="8"/>
        <v>0.43010313816000001</v>
      </c>
      <c r="AF20" s="55">
        <v>1.25</v>
      </c>
      <c r="AG20" s="53" t="s">
        <v>171</v>
      </c>
      <c r="AH20" s="57">
        <f>0.140178571*AF20+0.072857143</f>
        <v>0.24808035675000001</v>
      </c>
      <c r="AI20" s="56">
        <v>4.4800000000000004</v>
      </c>
      <c r="AJ20" s="53" t="s">
        <v>171</v>
      </c>
      <c r="AK20" s="57">
        <f t="shared" si="7"/>
        <v>1.07245817808</v>
      </c>
      <c r="AL20" s="134">
        <v>636</v>
      </c>
      <c r="AM20" s="135"/>
      <c r="AN20" s="147">
        <f>'S-01-03 (2020)'!R40</f>
        <v>1.4775765769077798</v>
      </c>
      <c r="AO20" s="156">
        <f t="shared" si="4"/>
        <v>20.427496175750058</v>
      </c>
      <c r="AP20" s="93"/>
      <c r="AQ20" s="85"/>
      <c r="AR20" s="85"/>
      <c r="AS20" s="85"/>
      <c r="AT20" s="85"/>
      <c r="AU20" s="92"/>
      <c r="AV20" s="91"/>
      <c r="AW20" s="91"/>
      <c r="AX20" s="91"/>
      <c r="AY20" s="91"/>
    </row>
    <row r="21" spans="1:51" ht="15.95" customHeight="1" thickTop="1" thickBot="1" x14ac:dyDescent="0.3">
      <c r="A21" s="34" t="s">
        <v>179</v>
      </c>
      <c r="B21" s="39" t="s">
        <v>184</v>
      </c>
      <c r="C21" s="111" t="s">
        <v>81</v>
      </c>
      <c r="D21" s="105" t="s">
        <v>346</v>
      </c>
      <c r="E21" s="39" t="s">
        <v>23</v>
      </c>
      <c r="F21" s="39" t="s">
        <v>23</v>
      </c>
      <c r="G21" s="39" t="s">
        <v>176</v>
      </c>
      <c r="H21">
        <v>35</v>
      </c>
      <c r="I21" s="76">
        <f>45-25</f>
        <v>20</v>
      </c>
      <c r="J21" s="41">
        <v>4.7</v>
      </c>
      <c r="K21" s="42" t="s">
        <v>171</v>
      </c>
      <c r="L21" s="43">
        <v>0.2</v>
      </c>
      <c r="M21" s="44">
        <v>23</v>
      </c>
      <c r="N21" s="42" t="s">
        <v>171</v>
      </c>
      <c r="O21" s="45">
        <f t="shared" si="9"/>
        <v>3.6414576940000001</v>
      </c>
      <c r="P21" s="46">
        <v>41</v>
      </c>
      <c r="Q21" s="42" t="s">
        <v>171</v>
      </c>
      <c r="R21" s="47">
        <f t="shared" si="10"/>
        <v>3.2991010809999994</v>
      </c>
      <c r="S21" s="42">
        <v>0.46</v>
      </c>
      <c r="T21" s="42" t="s">
        <v>171</v>
      </c>
      <c r="U21" s="49">
        <f t="shared" si="11"/>
        <v>0.1691412078</v>
      </c>
      <c r="V21" s="48">
        <v>0.42</v>
      </c>
      <c r="W21" s="42" t="s">
        <v>171</v>
      </c>
      <c r="X21" s="49">
        <f t="shared" si="12"/>
        <v>0.16613012659999998</v>
      </c>
      <c r="Y21" s="50">
        <v>0.04</v>
      </c>
      <c r="Z21" s="52">
        <v>360</v>
      </c>
      <c r="AA21" s="53" t="s">
        <v>171</v>
      </c>
      <c r="AB21" s="54">
        <f t="shared" si="5"/>
        <v>19.8</v>
      </c>
      <c r="AC21" s="55">
        <v>0.79</v>
      </c>
      <c r="AD21" s="53" t="s">
        <v>171</v>
      </c>
      <c r="AE21" s="56">
        <f t="shared" si="8"/>
        <v>0.25427529368000001</v>
      </c>
      <c r="AF21" s="55">
        <v>1.25</v>
      </c>
      <c r="AG21" s="53" t="s">
        <v>171</v>
      </c>
      <c r="AH21" s="57">
        <f t="shared" si="6"/>
        <v>0.24808035675000001</v>
      </c>
      <c r="AI21" s="56">
        <v>2.04</v>
      </c>
      <c r="AJ21" s="53" t="s">
        <v>171</v>
      </c>
      <c r="AK21" s="57">
        <f t="shared" si="7"/>
        <v>0.98828880184000001</v>
      </c>
      <c r="AL21" s="134">
        <v>358</v>
      </c>
      <c r="AM21" s="135"/>
      <c r="AN21" s="151">
        <f>AN20+((AN20-AN22)/(H20-H22))*(H21-H20)</f>
        <v>1.5543965518840293</v>
      </c>
      <c r="AO21" s="156">
        <f t="shared" si="4"/>
        <v>13.056931035825844</v>
      </c>
      <c r="AP21" s="93"/>
      <c r="AQ21" s="85"/>
      <c r="AR21" s="85"/>
      <c r="AS21" s="85"/>
      <c r="AT21" s="85"/>
      <c r="AU21" s="92"/>
      <c r="AV21" s="91"/>
      <c r="AW21" s="91"/>
      <c r="AX21" s="91"/>
      <c r="AY21" s="91"/>
    </row>
    <row r="22" spans="1:51" ht="15" customHeight="1" thickTop="1" thickBot="1" x14ac:dyDescent="0.3">
      <c r="A22" s="35" t="s">
        <v>181</v>
      </c>
      <c r="B22" s="38" t="s">
        <v>184</v>
      </c>
      <c r="C22" s="111" t="s">
        <v>81</v>
      </c>
      <c r="D22" s="105" t="s">
        <v>346</v>
      </c>
      <c r="E22" s="39" t="s">
        <v>23</v>
      </c>
      <c r="F22" s="39" t="s">
        <v>23</v>
      </c>
      <c r="G22" s="38" t="s">
        <v>21</v>
      </c>
      <c r="H22">
        <v>52.5</v>
      </c>
      <c r="I22">
        <f>60-45</f>
        <v>15</v>
      </c>
      <c r="J22" s="41">
        <v>4.5</v>
      </c>
      <c r="K22" s="42" t="s">
        <v>171</v>
      </c>
      <c r="L22" s="43">
        <v>0.2</v>
      </c>
      <c r="M22" s="44">
        <v>28</v>
      </c>
      <c r="N22" s="42" t="s">
        <v>171</v>
      </c>
      <c r="O22" s="45">
        <f t="shared" si="9"/>
        <v>4.0555776540000004</v>
      </c>
      <c r="P22" s="46">
        <v>49</v>
      </c>
      <c r="Q22" s="42" t="s">
        <v>171</v>
      </c>
      <c r="R22" s="47">
        <f t="shared" si="10"/>
        <v>4.0054366889999997</v>
      </c>
      <c r="S22" s="42">
        <v>0.48</v>
      </c>
      <c r="T22" s="42" t="s">
        <v>171</v>
      </c>
      <c r="U22" s="49">
        <f t="shared" si="11"/>
        <v>0.17064674839999999</v>
      </c>
      <c r="V22" s="48">
        <v>0.42</v>
      </c>
      <c r="W22" s="42" t="s">
        <v>171</v>
      </c>
      <c r="X22" s="49">
        <f t="shared" si="12"/>
        <v>0.16613012659999998</v>
      </c>
      <c r="Y22" s="50">
        <v>0.06</v>
      </c>
      <c r="Z22" s="52">
        <v>370</v>
      </c>
      <c r="AA22" s="53" t="s">
        <v>171</v>
      </c>
      <c r="AB22" s="54">
        <f t="shared" si="5"/>
        <v>20.350000000000001</v>
      </c>
      <c r="AC22" s="55">
        <v>0.51</v>
      </c>
      <c r="AD22" s="53" t="s">
        <v>171</v>
      </c>
      <c r="AE22" s="56">
        <f t="shared" si="8"/>
        <v>0.23409832791999999</v>
      </c>
      <c r="AF22" s="55">
        <v>1.19</v>
      </c>
      <c r="AG22" s="53" t="s">
        <v>171</v>
      </c>
      <c r="AH22" s="57">
        <f t="shared" si="6"/>
        <v>0.23966964249</v>
      </c>
      <c r="AI22" s="56">
        <v>1.7</v>
      </c>
      <c r="AJ22" s="53" t="s">
        <v>171</v>
      </c>
      <c r="AK22" s="57">
        <f t="shared" si="7"/>
        <v>0.97656028219999991</v>
      </c>
      <c r="AL22" s="134">
        <v>368</v>
      </c>
      <c r="AM22" s="135"/>
      <c r="AN22" s="148">
        <f>AN18</f>
        <v>1.6260951951951954</v>
      </c>
      <c r="AO22" s="156">
        <f t="shared" si="4"/>
        <v>10.24439972972973</v>
      </c>
      <c r="AP22" s="93"/>
      <c r="AQ22" s="85"/>
      <c r="AR22" s="85"/>
      <c r="AS22" s="85"/>
      <c r="AT22" s="85"/>
      <c r="AU22" s="92"/>
      <c r="AV22" s="91"/>
      <c r="AW22" s="91"/>
      <c r="AX22" s="91"/>
      <c r="AY22" s="91"/>
    </row>
    <row r="23" spans="1:51" ht="14.45" customHeight="1" thickTop="1" thickBot="1" x14ac:dyDescent="0.3">
      <c r="A23" s="34" t="s">
        <v>179</v>
      </c>
      <c r="B23" s="39" t="s">
        <v>183</v>
      </c>
      <c r="C23" s="111" t="s">
        <v>81</v>
      </c>
      <c r="D23" s="105" t="s">
        <v>346</v>
      </c>
      <c r="E23" s="39" t="s">
        <v>24</v>
      </c>
      <c r="F23" s="39" t="s">
        <v>24</v>
      </c>
      <c r="G23" s="39" t="s">
        <v>177</v>
      </c>
      <c r="H23">
        <v>3.75</v>
      </c>
      <c r="I23">
        <v>7.5</v>
      </c>
      <c r="J23" s="41">
        <v>5.5</v>
      </c>
      <c r="K23" s="42" t="s">
        <v>171</v>
      </c>
      <c r="L23" s="43">
        <v>0.2</v>
      </c>
      <c r="M23" s="44">
        <v>105</v>
      </c>
      <c r="N23" s="42" t="s">
        <v>171</v>
      </c>
      <c r="O23" s="45">
        <f t="shared" si="9"/>
        <v>10.433025038</v>
      </c>
      <c r="P23" s="46">
        <v>243</v>
      </c>
      <c r="Q23" s="42" t="s">
        <v>171</v>
      </c>
      <c r="R23" s="47">
        <f t="shared" si="10"/>
        <v>21.134075182999997</v>
      </c>
      <c r="S23" s="42">
        <v>2.27</v>
      </c>
      <c r="T23" s="42" t="s">
        <v>171</v>
      </c>
      <c r="U23" s="49">
        <f t="shared" si="11"/>
        <v>0.30539263210000001</v>
      </c>
      <c r="V23" s="48">
        <v>2.17</v>
      </c>
      <c r="W23" s="42" t="s">
        <v>171</v>
      </c>
      <c r="X23" s="49">
        <f t="shared" si="12"/>
        <v>0.29786492909999995</v>
      </c>
      <c r="Y23" s="50">
        <v>0.1</v>
      </c>
      <c r="Z23" s="52">
        <v>1760</v>
      </c>
      <c r="AA23" s="53" t="s">
        <v>171</v>
      </c>
      <c r="AB23" s="54">
        <f t="shared" si="5"/>
        <v>96.8</v>
      </c>
      <c r="AC23" s="55">
        <v>20.420000000000002</v>
      </c>
      <c r="AD23" s="53" t="s">
        <v>171</v>
      </c>
      <c r="AE23" s="56">
        <f t="shared" si="8"/>
        <v>1.6688247146400004</v>
      </c>
      <c r="AF23" s="55">
        <v>1.69</v>
      </c>
      <c r="AG23" s="53" t="s">
        <v>171</v>
      </c>
      <c r="AH23" s="57">
        <f t="shared" si="6"/>
        <v>0.30975892798999999</v>
      </c>
      <c r="AI23" s="56">
        <v>22.11</v>
      </c>
      <c r="AJ23" s="53" t="s">
        <v>171</v>
      </c>
      <c r="AK23" s="57">
        <f t="shared" si="7"/>
        <v>1.68061641706</v>
      </c>
      <c r="AL23" s="134">
        <v>1738</v>
      </c>
      <c r="AM23" s="135"/>
      <c r="AN23" s="150">
        <f>AN24-((AN24-AN26)/(H24-H26))*3.5</f>
        <v>1.3634035028930385</v>
      </c>
      <c r="AO23" s="156">
        <f t="shared" si="4"/>
        <v>22.1893920095842</v>
      </c>
      <c r="AP23" s="93">
        <f>'PoplarPlots(2000)'!E22</f>
        <v>9.5</v>
      </c>
      <c r="AQ23" s="85">
        <f>'PoplarPlots(2000)'!L22</f>
        <v>139.9067355154495</v>
      </c>
      <c r="AR23" s="85">
        <f>'PoplarPlots(2000)'!M22</f>
        <v>14.727024791099947</v>
      </c>
      <c r="AS23" s="85">
        <f>'PoplarPlots(2000)'!N22</f>
        <v>57.711528400122923</v>
      </c>
      <c r="AT23" s="85">
        <f>'PoplarPlots(2000)'!O22</f>
        <v>6.0748977263287287</v>
      </c>
      <c r="AU23" s="92">
        <f>'S-01-03 (2020)'!AE4</f>
        <v>16</v>
      </c>
      <c r="AV23" s="91">
        <f>'S-01-03 (2020)'!AG4</f>
        <v>433.30440747188402</v>
      </c>
      <c r="AW23" s="91">
        <f>'S-01-03 (2020)'!AH4</f>
        <v>27.081525466992751</v>
      </c>
      <c r="AX23" s="91">
        <f>'S-01-03 (2020)'!AI4</f>
        <v>178.73806808215215</v>
      </c>
      <c r="AY23" s="91">
        <f>'S-01-03 (2020)'!AJ4</f>
        <v>11.17112925513451</v>
      </c>
    </row>
    <row r="24" spans="1:51" ht="15.6" customHeight="1" thickTop="1" thickBot="1" x14ac:dyDescent="0.3">
      <c r="A24" s="35" t="s">
        <v>179</v>
      </c>
      <c r="B24" s="38" t="s">
        <v>186</v>
      </c>
      <c r="C24" s="111" t="s">
        <v>81</v>
      </c>
      <c r="D24" s="105" t="s">
        <v>346</v>
      </c>
      <c r="E24" s="39" t="s">
        <v>24</v>
      </c>
      <c r="F24" s="39" t="s">
        <v>24</v>
      </c>
      <c r="G24" s="38" t="s">
        <v>175</v>
      </c>
      <c r="H24">
        <v>16.25</v>
      </c>
      <c r="I24">
        <f>25-7.5</f>
        <v>17.5</v>
      </c>
      <c r="J24" s="41">
        <v>4.8</v>
      </c>
      <c r="K24" s="42" t="s">
        <v>171</v>
      </c>
      <c r="L24" s="43">
        <v>0.2</v>
      </c>
      <c r="M24" s="44">
        <v>86</v>
      </c>
      <c r="N24" s="42" t="s">
        <v>171</v>
      </c>
      <c r="O24" s="45">
        <f t="shared" si="9"/>
        <v>8.8593691899999989</v>
      </c>
      <c r="P24" s="46">
        <v>112</v>
      </c>
      <c r="Q24" s="42" t="s">
        <v>171</v>
      </c>
      <c r="R24" s="47">
        <f t="shared" si="10"/>
        <v>9.5678296019999998</v>
      </c>
      <c r="S24" s="42">
        <v>1.03</v>
      </c>
      <c r="T24" s="42" t="s">
        <v>171</v>
      </c>
      <c r="U24" s="49">
        <f t="shared" si="11"/>
        <v>0.2120491149</v>
      </c>
      <c r="V24" s="48">
        <v>0.99</v>
      </c>
      <c r="W24" s="42" t="s">
        <v>171</v>
      </c>
      <c r="X24" s="49">
        <f t="shared" si="12"/>
        <v>0.20903803370000001</v>
      </c>
      <c r="Y24" s="50">
        <v>0.04</v>
      </c>
      <c r="Z24" s="52">
        <v>1080</v>
      </c>
      <c r="AA24" s="53" t="s">
        <v>171</v>
      </c>
      <c r="AB24" s="54">
        <f t="shared" si="5"/>
        <v>59.4</v>
      </c>
      <c r="AC24" s="55">
        <v>7.99</v>
      </c>
      <c r="AD24" s="53" t="s">
        <v>171</v>
      </c>
      <c r="AE24" s="56">
        <f t="shared" si="8"/>
        <v>0.77311155608000004</v>
      </c>
      <c r="AF24" s="55">
        <v>1.1200000000000001</v>
      </c>
      <c r="AG24" s="53" t="s">
        <v>171</v>
      </c>
      <c r="AH24" s="57">
        <f t="shared" si="6"/>
        <v>0.22985714252</v>
      </c>
      <c r="AI24" s="56">
        <v>9.11</v>
      </c>
      <c r="AJ24" s="53" t="s">
        <v>171</v>
      </c>
      <c r="AK24" s="57">
        <f t="shared" si="7"/>
        <v>1.23217301906</v>
      </c>
      <c r="AL24" s="134">
        <v>1071</v>
      </c>
      <c r="AM24" s="135"/>
      <c r="AN24" s="147">
        <f>'S-01-03 (2020)'!AD42</f>
        <v>1.3865335890076937</v>
      </c>
      <c r="AO24" s="156">
        <f t="shared" si="4"/>
        <v>24.021694429558295</v>
      </c>
      <c r="AP24" s="93"/>
      <c r="AQ24" s="85"/>
      <c r="AR24" s="85"/>
      <c r="AS24" s="85"/>
      <c r="AT24" s="85"/>
      <c r="AU24" s="92"/>
      <c r="AV24" s="91"/>
      <c r="AW24" s="91"/>
      <c r="AX24" s="91"/>
      <c r="AY24" s="91"/>
    </row>
    <row r="25" spans="1:51" ht="15.6" customHeight="1" thickTop="1" thickBot="1" x14ac:dyDescent="0.3">
      <c r="A25" s="34" t="s">
        <v>179</v>
      </c>
      <c r="B25" s="39" t="s">
        <v>186</v>
      </c>
      <c r="C25" s="111" t="s">
        <v>81</v>
      </c>
      <c r="D25" s="105" t="s">
        <v>346</v>
      </c>
      <c r="E25" s="39" t="s">
        <v>24</v>
      </c>
      <c r="F25" s="39" t="s">
        <v>24</v>
      </c>
      <c r="G25" s="39" t="s">
        <v>176</v>
      </c>
      <c r="H25">
        <v>35</v>
      </c>
      <c r="I25" s="76">
        <f>45-25</f>
        <v>20</v>
      </c>
      <c r="J25" s="41">
        <v>5.0999999999999996</v>
      </c>
      <c r="K25" s="42" t="s">
        <v>171</v>
      </c>
      <c r="L25" s="43">
        <v>0.2</v>
      </c>
      <c r="M25" s="44">
        <v>46</v>
      </c>
      <c r="N25" s="42" t="s">
        <v>171</v>
      </c>
      <c r="O25" s="45">
        <f t="shared" si="9"/>
        <v>5.5464095100000002</v>
      </c>
      <c r="P25" s="46">
        <v>57</v>
      </c>
      <c r="Q25" s="42" t="s">
        <v>171</v>
      </c>
      <c r="R25" s="47">
        <f t="shared" si="10"/>
        <v>4.7117722969999996</v>
      </c>
      <c r="S25" s="42">
        <v>1.08</v>
      </c>
      <c r="T25" s="42" t="s">
        <v>171</v>
      </c>
      <c r="U25" s="49">
        <f t="shared" si="11"/>
        <v>0.2158129664</v>
      </c>
      <c r="V25" s="48">
        <v>1.06</v>
      </c>
      <c r="W25" s="42" t="s">
        <v>171</v>
      </c>
      <c r="X25" s="49">
        <f t="shared" si="12"/>
        <v>0.21430742580000001</v>
      </c>
      <c r="Y25" s="50">
        <v>0.02</v>
      </c>
      <c r="Z25" s="52">
        <v>980</v>
      </c>
      <c r="AA25" s="53" t="s">
        <v>171</v>
      </c>
      <c r="AB25" s="54">
        <f t="shared" si="5"/>
        <v>53.9</v>
      </c>
      <c r="AC25" s="55">
        <v>9.83</v>
      </c>
      <c r="AD25" s="53" t="s">
        <v>171</v>
      </c>
      <c r="AE25" s="56">
        <f t="shared" si="8"/>
        <v>0.90570304536000001</v>
      </c>
      <c r="AF25" s="55">
        <v>1.21</v>
      </c>
      <c r="AG25" s="53" t="s">
        <v>171</v>
      </c>
      <c r="AH25" s="57">
        <f t="shared" si="6"/>
        <v>0.24247321390999999</v>
      </c>
      <c r="AI25" s="56">
        <v>11.04</v>
      </c>
      <c r="AJ25" s="53" t="s">
        <v>171</v>
      </c>
      <c r="AK25" s="57">
        <f t="shared" si="7"/>
        <v>1.2987496158399998</v>
      </c>
      <c r="AL25" s="134">
        <v>969</v>
      </c>
      <c r="AM25" s="135"/>
      <c r="AN25" s="151">
        <f>AN24+((AN24-AN26)/(H24-H26))*(H25-H24)</f>
        <v>1.5104447646219188</v>
      </c>
      <c r="AO25" s="156">
        <f t="shared" si="4"/>
        <v>32.021429009984679</v>
      </c>
      <c r="AP25" s="93"/>
      <c r="AQ25" s="85"/>
      <c r="AR25" s="85"/>
      <c r="AS25" s="85"/>
      <c r="AT25" s="85"/>
      <c r="AU25" s="92"/>
      <c r="AV25" s="91"/>
      <c r="AW25" s="91"/>
      <c r="AX25" s="91"/>
      <c r="AY25" s="91"/>
    </row>
    <row r="26" spans="1:51" ht="15.6" customHeight="1" thickTop="1" thickBot="1" x14ac:dyDescent="0.3">
      <c r="A26" s="35" t="s">
        <v>181</v>
      </c>
      <c r="B26" s="38" t="s">
        <v>183</v>
      </c>
      <c r="C26" s="111" t="s">
        <v>81</v>
      </c>
      <c r="D26" s="105" t="s">
        <v>346</v>
      </c>
      <c r="E26" s="39" t="s">
        <v>24</v>
      </c>
      <c r="F26" s="39" t="s">
        <v>24</v>
      </c>
      <c r="G26" s="38" t="s">
        <v>21</v>
      </c>
      <c r="H26">
        <v>52.5</v>
      </c>
      <c r="I26">
        <f>60-45</f>
        <v>15</v>
      </c>
      <c r="J26" s="41">
        <v>5.2</v>
      </c>
      <c r="K26" s="42" t="s">
        <v>171</v>
      </c>
      <c r="L26" s="43">
        <v>0.2</v>
      </c>
      <c r="M26" s="44">
        <v>45</v>
      </c>
      <c r="N26" s="42" t="s">
        <v>171</v>
      </c>
      <c r="O26" s="45">
        <f t="shared" si="9"/>
        <v>5.4635855180000004</v>
      </c>
      <c r="P26" s="46">
        <v>42</v>
      </c>
      <c r="Q26" s="42" t="s">
        <v>171</v>
      </c>
      <c r="R26" s="47">
        <f t="shared" si="10"/>
        <v>3.3873930319999994</v>
      </c>
      <c r="S26" s="42">
        <v>0.91</v>
      </c>
      <c r="T26" s="42" t="s">
        <v>171</v>
      </c>
      <c r="U26" s="49">
        <f t="shared" si="11"/>
        <v>0.20301587129999998</v>
      </c>
      <c r="V26" s="48">
        <v>0.85</v>
      </c>
      <c r="W26" s="42" t="s">
        <v>171</v>
      </c>
      <c r="X26" s="49">
        <f t="shared" si="12"/>
        <v>0.1984992495</v>
      </c>
      <c r="Y26" s="50">
        <v>0.06</v>
      </c>
      <c r="Z26" s="52">
        <v>920</v>
      </c>
      <c r="AA26" s="53" t="s">
        <v>171</v>
      </c>
      <c r="AB26" s="54">
        <f t="shared" si="5"/>
        <v>50.6</v>
      </c>
      <c r="AC26" s="55">
        <v>8.82</v>
      </c>
      <c r="AD26" s="53" t="s">
        <v>171</v>
      </c>
      <c r="AE26" s="56">
        <f t="shared" si="8"/>
        <v>0.83292184744000008</v>
      </c>
      <c r="AF26" s="55">
        <v>1.43</v>
      </c>
      <c r="AG26" s="53" t="s">
        <v>171</v>
      </c>
      <c r="AH26" s="57">
        <f t="shared" si="6"/>
        <v>0.27331249952999997</v>
      </c>
      <c r="AI26" s="56">
        <v>10.25</v>
      </c>
      <c r="AJ26" s="53" t="s">
        <v>171</v>
      </c>
      <c r="AK26" s="57">
        <f t="shared" si="7"/>
        <v>1.2714980554999999</v>
      </c>
      <c r="AL26" s="134">
        <v>910</v>
      </c>
      <c r="AM26" s="135"/>
      <c r="AN26" s="148">
        <f>AN18</f>
        <v>1.6260951951951954</v>
      </c>
      <c r="AO26" s="156">
        <f t="shared" si="4"/>
        <v>20.732713738738738</v>
      </c>
      <c r="AP26" s="93"/>
      <c r="AQ26" s="85"/>
      <c r="AR26" s="85"/>
      <c r="AS26" s="85"/>
      <c r="AT26" s="85"/>
      <c r="AU26" s="92"/>
      <c r="AV26" s="91"/>
      <c r="AW26" s="91"/>
      <c r="AX26" s="91"/>
      <c r="AY26" s="91"/>
    </row>
    <row r="27" spans="1:51" ht="15.95" customHeight="1" thickTop="1" thickBot="1" x14ac:dyDescent="0.3">
      <c r="A27" s="34" t="s">
        <v>179</v>
      </c>
      <c r="B27" s="39" t="s">
        <v>98</v>
      </c>
      <c r="C27" s="39" t="s">
        <v>98</v>
      </c>
      <c r="D27" s="39" t="s">
        <v>350</v>
      </c>
      <c r="E27" s="39" t="s">
        <v>391</v>
      </c>
      <c r="F27" s="39"/>
      <c r="G27" s="39" t="s">
        <v>177</v>
      </c>
      <c r="H27">
        <v>3.75</v>
      </c>
      <c r="I27">
        <v>7.5</v>
      </c>
      <c r="J27" s="41">
        <v>4.4000000000000004</v>
      </c>
      <c r="K27" s="42" t="s">
        <v>171</v>
      </c>
      <c r="L27" s="43">
        <v>0.2</v>
      </c>
      <c r="M27" s="44">
        <v>59</v>
      </c>
      <c r="N27" s="42" t="s">
        <v>171</v>
      </c>
      <c r="O27" s="45">
        <f t="shared" si="9"/>
        <v>6.6231214060000001</v>
      </c>
      <c r="P27" s="46">
        <v>142</v>
      </c>
      <c r="Q27" s="42" t="s">
        <v>171</v>
      </c>
      <c r="R27" s="47">
        <f t="shared" si="10"/>
        <v>12.216588132</v>
      </c>
      <c r="S27" s="42">
        <v>1.85</v>
      </c>
      <c r="T27" s="42" t="s">
        <v>171</v>
      </c>
      <c r="U27" s="49">
        <f t="shared" si="11"/>
        <v>0.2737762795</v>
      </c>
      <c r="V27" s="48">
        <v>1.72</v>
      </c>
      <c r="W27" s="42" t="s">
        <v>171</v>
      </c>
      <c r="X27" s="49">
        <f t="shared" si="12"/>
        <v>0.2639902656</v>
      </c>
      <c r="Y27" s="50">
        <v>0.13</v>
      </c>
      <c r="Z27" s="52">
        <v>1720</v>
      </c>
      <c r="AA27" s="53" t="s">
        <v>171</v>
      </c>
      <c r="AB27" s="54">
        <f t="shared" si="5"/>
        <v>94.6</v>
      </c>
      <c r="AC27" s="55">
        <v>15.28</v>
      </c>
      <c r="AD27" s="53" t="s">
        <v>171</v>
      </c>
      <c r="AE27" s="56">
        <f t="shared" si="8"/>
        <v>1.29843327176</v>
      </c>
      <c r="AF27" s="55">
        <v>7.22</v>
      </c>
      <c r="AG27" s="53" t="s">
        <v>171</v>
      </c>
      <c r="AH27" s="57">
        <f t="shared" si="6"/>
        <v>1.0849464256200001</v>
      </c>
      <c r="AI27" s="56">
        <v>22.5</v>
      </c>
      <c r="AJ27" s="53" t="s">
        <v>171</v>
      </c>
      <c r="AK27" s="57">
        <f t="shared" si="7"/>
        <v>1.6940697189999998</v>
      </c>
      <c r="AL27" s="134">
        <v>1698</v>
      </c>
      <c r="AM27" s="135"/>
      <c r="AN27" s="150">
        <f>AN28-((AN28-AN30)/(H28-H30))*3.5</f>
        <v>1.3943913252482869</v>
      </c>
      <c r="AO27" s="156">
        <f t="shared" ref="AO27:AO90" si="13">AN27*V27*I27</f>
        <v>17.987648095702902</v>
      </c>
      <c r="AP27" s="93"/>
      <c r="AQ27" s="85"/>
      <c r="AR27" s="85"/>
      <c r="AS27" s="85"/>
      <c r="AT27" s="85"/>
      <c r="AU27" s="92"/>
      <c r="AV27" s="91"/>
      <c r="AW27" s="91"/>
      <c r="AX27" s="91"/>
      <c r="AY27" s="91"/>
    </row>
    <row r="28" spans="1:51" ht="15.6" customHeight="1" thickTop="1" thickBot="1" x14ac:dyDescent="0.3">
      <c r="A28" s="35" t="s">
        <v>181</v>
      </c>
      <c r="B28" s="38" t="s">
        <v>98</v>
      </c>
      <c r="C28" s="112" t="s">
        <v>98</v>
      </c>
      <c r="D28" s="38" t="s">
        <v>350</v>
      </c>
      <c r="E28" s="38" t="s">
        <v>391</v>
      </c>
      <c r="F28" s="112"/>
      <c r="G28" s="38" t="s">
        <v>175</v>
      </c>
      <c r="H28">
        <v>16.25</v>
      </c>
      <c r="I28">
        <f>25-7.5</f>
        <v>17.5</v>
      </c>
      <c r="J28" s="41">
        <v>4.5</v>
      </c>
      <c r="K28" s="42" t="s">
        <v>171</v>
      </c>
      <c r="L28" s="43">
        <v>0.2</v>
      </c>
      <c r="M28" s="44">
        <v>48</v>
      </c>
      <c r="N28" s="42" t="s">
        <v>171</v>
      </c>
      <c r="O28" s="45">
        <f t="shared" si="9"/>
        <v>5.7120574939999997</v>
      </c>
      <c r="P28" s="46">
        <v>64</v>
      </c>
      <c r="Q28" s="42" t="s">
        <v>171</v>
      </c>
      <c r="R28" s="47">
        <f t="shared" si="10"/>
        <v>5.3298159539999999</v>
      </c>
      <c r="S28" s="48">
        <v>0.84</v>
      </c>
      <c r="T28" s="42" t="s">
        <v>171</v>
      </c>
      <c r="U28" s="49">
        <f t="shared" si="11"/>
        <v>0.19774647919999999</v>
      </c>
      <c r="V28" s="48">
        <v>0.8</v>
      </c>
      <c r="W28" s="42" t="s">
        <v>171</v>
      </c>
      <c r="X28" s="49">
        <f t="shared" si="12"/>
        <v>0.194735398</v>
      </c>
      <c r="Y28" s="50">
        <v>0.04</v>
      </c>
      <c r="Z28" s="52">
        <v>810</v>
      </c>
      <c r="AA28" s="53" t="s">
        <v>171</v>
      </c>
      <c r="AB28" s="54">
        <f t="shared" si="5"/>
        <v>44.55</v>
      </c>
      <c r="AC28" s="55">
        <v>4.96</v>
      </c>
      <c r="AD28" s="53" t="s">
        <v>171</v>
      </c>
      <c r="AE28" s="56">
        <f>0.072060592*AC28+0.197347426</f>
        <v>0.55476796232000003</v>
      </c>
      <c r="AF28" s="55">
        <v>1.24</v>
      </c>
      <c r="AG28" s="53" t="s">
        <v>171</v>
      </c>
      <c r="AH28" s="57">
        <f>0.140178571*AF28+0.072857143</f>
        <v>0.24667857104000002</v>
      </c>
      <c r="AI28" s="56">
        <v>6.2</v>
      </c>
      <c r="AJ28" s="53" t="s">
        <v>171</v>
      </c>
      <c r="AK28" s="57">
        <f>0.034495646*AI28+0.917917684</f>
        <v>1.1317906892</v>
      </c>
      <c r="AL28" s="134">
        <v>804</v>
      </c>
      <c r="AM28" s="135"/>
      <c r="AN28" s="147">
        <f>'S-01-03 (2020)'!AP15</f>
        <v>1.4147929238599644</v>
      </c>
      <c r="AO28" s="156">
        <f t="shared" si="13"/>
        <v>19.8071009340395</v>
      </c>
      <c r="AP28" s="93"/>
      <c r="AQ28" s="85"/>
      <c r="AR28" s="85"/>
      <c r="AS28" s="85"/>
      <c r="AT28" s="85"/>
      <c r="AU28" s="92"/>
      <c r="AV28" s="91"/>
      <c r="AW28" s="91"/>
      <c r="AX28" s="91"/>
      <c r="AY28" s="91"/>
    </row>
    <row r="29" spans="1:51" ht="15.6" customHeight="1" thickTop="1" thickBot="1" x14ac:dyDescent="0.3">
      <c r="A29" s="34" t="s">
        <v>179</v>
      </c>
      <c r="B29" s="39" t="s">
        <v>98</v>
      </c>
      <c r="C29" s="39" t="s">
        <v>98</v>
      </c>
      <c r="D29" s="39" t="s">
        <v>350</v>
      </c>
      <c r="E29" s="39" t="s">
        <v>391</v>
      </c>
      <c r="F29" s="39"/>
      <c r="G29" s="39" t="s">
        <v>176</v>
      </c>
      <c r="H29">
        <v>35</v>
      </c>
      <c r="I29" s="76">
        <f>45-25</f>
        <v>20</v>
      </c>
      <c r="J29" s="41">
        <v>4.7</v>
      </c>
      <c r="K29" s="42" t="s">
        <v>171</v>
      </c>
      <c r="L29" s="43">
        <v>0.2</v>
      </c>
      <c r="M29" s="44">
        <v>57</v>
      </c>
      <c r="N29" s="42" t="s">
        <v>171</v>
      </c>
      <c r="O29" s="45">
        <f t="shared" si="9"/>
        <v>6.4574734219999996</v>
      </c>
      <c r="P29" s="46">
        <v>42</v>
      </c>
      <c r="Q29" s="42" t="s">
        <v>171</v>
      </c>
      <c r="R29" s="47">
        <f t="shared" si="10"/>
        <v>3.3873930319999994</v>
      </c>
      <c r="S29" s="48">
        <v>0.48</v>
      </c>
      <c r="T29" s="42" t="s">
        <v>171</v>
      </c>
      <c r="U29" s="49">
        <f t="shared" si="11"/>
        <v>0.17064674839999999</v>
      </c>
      <c r="V29" s="48">
        <v>0.45</v>
      </c>
      <c r="W29" s="42" t="s">
        <v>171</v>
      </c>
      <c r="X29" s="49">
        <f t="shared" si="12"/>
        <v>0.16838843749999999</v>
      </c>
      <c r="Y29" s="50">
        <v>0.03</v>
      </c>
      <c r="Z29" s="30">
        <v>1180</v>
      </c>
      <c r="AA29" s="26" t="s">
        <v>171</v>
      </c>
      <c r="AB29" s="24">
        <f>Z29*0.055</f>
        <v>64.900000000000006</v>
      </c>
      <c r="AC29" s="25">
        <v>1.44</v>
      </c>
      <c r="AD29" s="26" t="s">
        <v>171</v>
      </c>
      <c r="AE29" s="27">
        <f t="shared" ref="AE29:AE41" si="14">0.072060592*AC29+0.197347426</f>
        <v>0.30111467848000001</v>
      </c>
      <c r="AF29" s="25">
        <v>1.24</v>
      </c>
      <c r="AG29" s="26" t="s">
        <v>171</v>
      </c>
      <c r="AH29" s="28">
        <f t="shared" ref="AH29:AH41" si="15">0.140178571*AF29+0.072857143</f>
        <v>0.24667857104000002</v>
      </c>
      <c r="AI29" s="29">
        <v>2.68</v>
      </c>
      <c r="AJ29" s="26" t="s">
        <v>171</v>
      </c>
      <c r="AK29" s="28">
        <f t="shared" ref="AK29:AK41" si="16">0.034495646*AI29+0.917917684</f>
        <v>1.01036601528</v>
      </c>
      <c r="AL29" s="136">
        <v>1177</v>
      </c>
      <c r="AM29" s="137"/>
      <c r="AN29" s="151">
        <f>AN28+((AN28-AN30)/(H28-H30))*(H29-H28)</f>
        <v>1.5240872021368079</v>
      </c>
      <c r="AO29" s="156">
        <f t="shared" si="13"/>
        <v>13.716784819231272</v>
      </c>
      <c r="AP29" s="94"/>
      <c r="AQ29" s="85"/>
      <c r="AR29" s="85"/>
      <c r="AS29" s="85"/>
      <c r="AT29" s="85"/>
      <c r="AU29" s="92"/>
      <c r="AV29" s="91"/>
      <c r="AW29" s="91"/>
      <c r="AX29" s="91"/>
      <c r="AY29" s="91"/>
    </row>
    <row r="30" spans="1:51" ht="14.45" customHeight="1" thickTop="1" thickBot="1" x14ac:dyDescent="0.3">
      <c r="A30" s="35" t="s">
        <v>179</v>
      </c>
      <c r="B30" s="38" t="s">
        <v>98</v>
      </c>
      <c r="C30" s="112" t="s">
        <v>98</v>
      </c>
      <c r="D30" s="38" t="s">
        <v>350</v>
      </c>
      <c r="E30" s="38" t="s">
        <v>391</v>
      </c>
      <c r="F30" s="112"/>
      <c r="G30" s="38" t="s">
        <v>21</v>
      </c>
      <c r="H30">
        <v>52.5</v>
      </c>
      <c r="I30">
        <f>60-45</f>
        <v>15</v>
      </c>
      <c r="J30" s="41">
        <v>4.5</v>
      </c>
      <c r="K30" s="42" t="s">
        <v>171</v>
      </c>
      <c r="L30" s="43">
        <v>0.2</v>
      </c>
      <c r="M30" s="44">
        <v>63</v>
      </c>
      <c r="N30" s="42" t="s">
        <v>171</v>
      </c>
      <c r="O30" s="45">
        <f t="shared" si="9"/>
        <v>6.9544173740000002</v>
      </c>
      <c r="P30" s="46">
        <v>46</v>
      </c>
      <c r="Q30" s="42" t="s">
        <v>171</v>
      </c>
      <c r="R30" s="47">
        <f t="shared" si="10"/>
        <v>3.7405608359999998</v>
      </c>
      <c r="S30" s="48">
        <v>0.31</v>
      </c>
      <c r="T30" s="42" t="s">
        <v>171</v>
      </c>
      <c r="U30" s="49">
        <f t="shared" si="11"/>
        <v>0.1578496533</v>
      </c>
      <c r="V30" s="48">
        <v>0.31</v>
      </c>
      <c r="W30" s="42" t="s">
        <v>171</v>
      </c>
      <c r="X30" s="49">
        <f t="shared" si="12"/>
        <v>0.1578496533</v>
      </c>
      <c r="Y30" s="50">
        <v>0</v>
      </c>
      <c r="Z30" s="30">
        <v>420</v>
      </c>
      <c r="AA30" s="26" t="s">
        <v>171</v>
      </c>
      <c r="AB30" s="24">
        <f t="shared" ref="AB30:AB53" si="17">Z30*0.055</f>
        <v>23.1</v>
      </c>
      <c r="AC30" s="25">
        <v>0.52</v>
      </c>
      <c r="AD30" s="26" t="s">
        <v>171</v>
      </c>
      <c r="AE30" s="27">
        <f t="shared" si="14"/>
        <v>0.23481893383999999</v>
      </c>
      <c r="AF30" s="25">
        <v>1.1599999999999999</v>
      </c>
      <c r="AG30" s="26" t="s">
        <v>171</v>
      </c>
      <c r="AH30" s="28">
        <f t="shared" si="15"/>
        <v>0.23546428535999997</v>
      </c>
      <c r="AI30" s="29">
        <v>1.68</v>
      </c>
      <c r="AJ30" s="26" t="s">
        <v>171</v>
      </c>
      <c r="AK30" s="28">
        <f t="shared" si="16"/>
        <v>0.97587036927999993</v>
      </c>
      <c r="AL30" s="136">
        <v>418</v>
      </c>
      <c r="AM30" s="137"/>
      <c r="AN30" s="144">
        <f>AN18</f>
        <v>1.6260951951951954</v>
      </c>
      <c r="AO30" s="156">
        <f t="shared" si="13"/>
        <v>7.5613426576576579</v>
      </c>
      <c r="AP30" s="94"/>
      <c r="AQ30" s="85"/>
      <c r="AR30" s="85"/>
      <c r="AS30" s="85"/>
      <c r="AT30" s="85"/>
      <c r="AU30" s="92"/>
      <c r="AV30" s="91"/>
      <c r="AW30" s="91"/>
      <c r="AX30" s="91"/>
      <c r="AY30" s="91"/>
    </row>
    <row r="31" spans="1:51" ht="15" customHeight="1" thickTop="1" thickBot="1" x14ac:dyDescent="0.3">
      <c r="A31" s="34" t="s">
        <v>179</v>
      </c>
      <c r="B31" s="39" t="s">
        <v>178</v>
      </c>
      <c r="C31" s="39" t="s">
        <v>178</v>
      </c>
      <c r="D31" s="39" t="s">
        <v>348</v>
      </c>
      <c r="E31" s="39" t="s">
        <v>399</v>
      </c>
      <c r="F31" s="39" t="s">
        <v>399</v>
      </c>
      <c r="G31" s="39" t="s">
        <v>177</v>
      </c>
      <c r="H31">
        <v>3.75</v>
      </c>
      <c r="I31">
        <v>7.5</v>
      </c>
      <c r="J31" s="41">
        <v>5.3</v>
      </c>
      <c r="K31" s="42" t="s">
        <v>171</v>
      </c>
      <c r="L31" s="43">
        <v>0.2</v>
      </c>
      <c r="M31" s="44">
        <v>215</v>
      </c>
      <c r="N31" s="42" t="s">
        <v>171</v>
      </c>
      <c r="O31" s="45">
        <f t="shared" si="9"/>
        <v>19.543664157999999</v>
      </c>
      <c r="P31" s="46">
        <v>133</v>
      </c>
      <c r="Q31" s="42" t="s">
        <v>171</v>
      </c>
      <c r="R31" s="47">
        <f t="shared" si="10"/>
        <v>11.421960573</v>
      </c>
      <c r="S31" s="48">
        <v>0.95</v>
      </c>
      <c r="T31" s="42" t="s">
        <v>171</v>
      </c>
      <c r="U31" s="49">
        <f t="shared" si="11"/>
        <v>0.2060269525</v>
      </c>
      <c r="V31" s="48">
        <v>0.87</v>
      </c>
      <c r="W31" s="42" t="s">
        <v>171</v>
      </c>
      <c r="X31" s="49">
        <f t="shared" si="12"/>
        <v>0.2000047901</v>
      </c>
      <c r="Y31" s="50">
        <v>0.08</v>
      </c>
      <c r="Z31" s="30">
        <v>1180</v>
      </c>
      <c r="AA31" s="26" t="s">
        <v>171</v>
      </c>
      <c r="AB31" s="24">
        <f t="shared" si="17"/>
        <v>64.900000000000006</v>
      </c>
      <c r="AC31" s="25">
        <v>9.34</v>
      </c>
      <c r="AD31" s="26" t="s">
        <v>171</v>
      </c>
      <c r="AE31" s="27">
        <f t="shared" si="14"/>
        <v>0.87039335528000006</v>
      </c>
      <c r="AF31" s="25">
        <v>1.23</v>
      </c>
      <c r="AG31" s="26" t="s">
        <v>171</v>
      </c>
      <c r="AH31" s="28">
        <f t="shared" si="15"/>
        <v>0.24527678533000002</v>
      </c>
      <c r="AI31" s="29">
        <v>10.57</v>
      </c>
      <c r="AJ31" s="26" t="s">
        <v>171</v>
      </c>
      <c r="AK31" s="28">
        <f t="shared" si="16"/>
        <v>1.2825366622200001</v>
      </c>
      <c r="AL31" s="136">
        <v>1169</v>
      </c>
      <c r="AM31" s="137"/>
      <c r="AN31" s="150">
        <f>AN32-((AN32-AN34)/(H32-H34))*3.5</f>
        <v>1.7645076811723166</v>
      </c>
      <c r="AO31" s="156">
        <f t="shared" si="13"/>
        <v>11.513412619649365</v>
      </c>
      <c r="AP31" s="94"/>
      <c r="AQ31" s="85"/>
      <c r="AR31" s="85"/>
      <c r="AS31" s="85"/>
      <c r="AT31" s="85"/>
      <c r="AU31" s="92"/>
      <c r="AV31" s="91"/>
      <c r="AW31" s="91"/>
      <c r="AX31" s="91"/>
      <c r="AY31" s="91"/>
    </row>
    <row r="32" spans="1:51" ht="15.6" customHeight="1" thickTop="1" thickBot="1" x14ac:dyDescent="0.3">
      <c r="A32" s="35" t="s">
        <v>179</v>
      </c>
      <c r="B32" s="38" t="s">
        <v>178</v>
      </c>
      <c r="C32" s="112" t="s">
        <v>178</v>
      </c>
      <c r="D32" s="38" t="s">
        <v>348</v>
      </c>
      <c r="E32" s="39" t="s">
        <v>399</v>
      </c>
      <c r="F32" s="39" t="s">
        <v>399</v>
      </c>
      <c r="G32" s="38" t="s">
        <v>175</v>
      </c>
      <c r="H32">
        <v>16.25</v>
      </c>
      <c r="I32">
        <f>25-7.5</f>
        <v>17.5</v>
      </c>
      <c r="J32" s="41">
        <v>5.3</v>
      </c>
      <c r="K32" s="42" t="s">
        <v>171</v>
      </c>
      <c r="L32" s="43">
        <v>0.2</v>
      </c>
      <c r="M32" s="44">
        <v>211</v>
      </c>
      <c r="N32" s="42" t="s">
        <v>171</v>
      </c>
      <c r="O32" s="45">
        <f t="shared" si="9"/>
        <v>19.212368189999999</v>
      </c>
      <c r="P32" s="46">
        <v>116</v>
      </c>
      <c r="Q32" s="42" t="s">
        <v>171</v>
      </c>
      <c r="R32" s="47">
        <f t="shared" si="10"/>
        <v>9.9209974059999997</v>
      </c>
      <c r="S32" s="48">
        <v>0.76</v>
      </c>
      <c r="T32" s="42" t="s">
        <v>171</v>
      </c>
      <c r="U32" s="49">
        <f t="shared" si="11"/>
        <v>0.19172431680000002</v>
      </c>
      <c r="V32" s="48">
        <v>0.72</v>
      </c>
      <c r="W32" s="42" t="s">
        <v>171</v>
      </c>
      <c r="X32" s="49">
        <f t="shared" si="12"/>
        <v>0.1887132356</v>
      </c>
      <c r="Y32" s="50">
        <v>0.04</v>
      </c>
      <c r="Z32" s="30">
        <v>860</v>
      </c>
      <c r="AA32" s="26" t="s">
        <v>171</v>
      </c>
      <c r="AB32" s="24">
        <f t="shared" si="17"/>
        <v>47.3</v>
      </c>
      <c r="AC32" s="25">
        <v>7.15</v>
      </c>
      <c r="AD32" s="26" t="s">
        <v>171</v>
      </c>
      <c r="AE32" s="27">
        <f t="shared" si="14"/>
        <v>0.7125806588000001</v>
      </c>
      <c r="AF32" s="25">
        <v>1.0900000000000001</v>
      </c>
      <c r="AG32" s="26" t="s">
        <v>171</v>
      </c>
      <c r="AH32" s="28">
        <f t="shared" si="15"/>
        <v>0.22565178539000003</v>
      </c>
      <c r="AI32" s="29">
        <v>8.24</v>
      </c>
      <c r="AJ32" s="26" t="s">
        <v>171</v>
      </c>
      <c r="AK32" s="28">
        <f t="shared" si="16"/>
        <v>1.20216180704</v>
      </c>
      <c r="AL32" s="136">
        <v>852</v>
      </c>
      <c r="AM32" s="137"/>
      <c r="AN32" s="90">
        <f>'S-01-03 (2020)'!AV15</f>
        <v>1.7523204182560921</v>
      </c>
      <c r="AO32" s="156">
        <f t="shared" si="13"/>
        <v>22.079237270026759</v>
      </c>
      <c r="AP32" s="94"/>
      <c r="AQ32" s="85"/>
      <c r="AR32" s="85"/>
      <c r="AS32" s="85"/>
      <c r="AT32" s="85"/>
      <c r="AU32" s="92"/>
      <c r="AV32" s="91"/>
      <c r="AW32" s="91"/>
      <c r="AX32" s="91"/>
      <c r="AY32" s="91"/>
    </row>
    <row r="33" spans="1:51" ht="16.5" customHeight="1" thickTop="1" thickBot="1" x14ac:dyDescent="0.3">
      <c r="A33" s="34" t="s">
        <v>179</v>
      </c>
      <c r="B33" s="39" t="s">
        <v>178</v>
      </c>
      <c r="C33" s="39" t="s">
        <v>178</v>
      </c>
      <c r="D33" s="39" t="s">
        <v>348</v>
      </c>
      <c r="E33" s="39" t="s">
        <v>399</v>
      </c>
      <c r="F33" s="39" t="s">
        <v>399</v>
      </c>
      <c r="G33" s="39" t="s">
        <v>176</v>
      </c>
      <c r="H33">
        <v>35</v>
      </c>
      <c r="I33" s="76">
        <f>45-25</f>
        <v>20</v>
      </c>
      <c r="J33" s="41">
        <v>5.0999999999999996</v>
      </c>
      <c r="K33" s="42" t="s">
        <v>171</v>
      </c>
      <c r="L33" s="43">
        <v>0.2</v>
      </c>
      <c r="M33" s="44">
        <v>173</v>
      </c>
      <c r="N33" s="42" t="s">
        <v>171</v>
      </c>
      <c r="O33" s="45">
        <f t="shared" si="9"/>
        <v>16.065056494</v>
      </c>
      <c r="P33" s="46">
        <v>108</v>
      </c>
      <c r="Q33" s="42" t="s">
        <v>171</v>
      </c>
      <c r="R33" s="47">
        <f t="shared" si="10"/>
        <v>9.2146617979999998</v>
      </c>
      <c r="S33" s="48">
        <v>0.39</v>
      </c>
      <c r="T33" s="42" t="s">
        <v>171</v>
      </c>
      <c r="U33" s="49">
        <f t="shared" si="11"/>
        <v>0.16387181570000001</v>
      </c>
      <c r="V33" s="48">
        <v>0.37</v>
      </c>
      <c r="W33" s="42" t="s">
        <v>171</v>
      </c>
      <c r="X33" s="49">
        <f t="shared" si="12"/>
        <v>0.16236627510000001</v>
      </c>
      <c r="Y33" s="50">
        <v>0.02</v>
      </c>
      <c r="Z33" s="30">
        <v>680</v>
      </c>
      <c r="AA33" s="26" t="s">
        <v>171</v>
      </c>
      <c r="AB33" s="24">
        <f t="shared" si="17"/>
        <v>37.4</v>
      </c>
      <c r="AC33" s="25">
        <v>4.88</v>
      </c>
      <c r="AD33" s="26" t="s">
        <v>171</v>
      </c>
      <c r="AE33" s="27">
        <f t="shared" si="14"/>
        <v>0.54900311496000009</v>
      </c>
      <c r="AF33" s="25">
        <v>1.49</v>
      </c>
      <c r="AG33" s="26" t="s">
        <v>171</v>
      </c>
      <c r="AH33" s="28">
        <f t="shared" si="15"/>
        <v>0.28172321378999998</v>
      </c>
      <c r="AI33" s="29">
        <v>6.37</v>
      </c>
      <c r="AJ33" s="26" t="s">
        <v>171</v>
      </c>
      <c r="AK33" s="28">
        <f t="shared" si="16"/>
        <v>1.1376549490199999</v>
      </c>
      <c r="AL33" s="136">
        <v>674</v>
      </c>
      <c r="AM33" s="137"/>
      <c r="AN33" s="151">
        <f>AN32+((AN32-AN34)/(H32-H34))*(H33-H32)</f>
        <v>1.687031509776318</v>
      </c>
      <c r="AO33" s="156">
        <f t="shared" si="13"/>
        <v>12.484033172344752</v>
      </c>
      <c r="AP33" s="94"/>
      <c r="AQ33" s="85"/>
      <c r="AR33" s="85"/>
      <c r="AS33" s="85"/>
      <c r="AT33" s="85"/>
      <c r="AU33" s="92"/>
      <c r="AV33" s="91"/>
      <c r="AW33" s="91"/>
      <c r="AX33" s="91"/>
      <c r="AY33" s="91"/>
    </row>
    <row r="34" spans="1:51" ht="15.95" customHeight="1" thickTop="1" thickBot="1" x14ac:dyDescent="0.3">
      <c r="A34" s="36" t="s">
        <v>181</v>
      </c>
      <c r="B34" s="58" t="s">
        <v>178</v>
      </c>
      <c r="C34" s="113" t="s">
        <v>178</v>
      </c>
      <c r="D34" s="58" t="s">
        <v>348</v>
      </c>
      <c r="E34" s="39" t="s">
        <v>399</v>
      </c>
      <c r="F34" s="39" t="s">
        <v>399</v>
      </c>
      <c r="G34" s="58" t="s">
        <v>21</v>
      </c>
      <c r="H34">
        <v>52.5</v>
      </c>
      <c r="I34">
        <f>60-45</f>
        <v>15</v>
      </c>
      <c r="J34" s="41">
        <v>4.7</v>
      </c>
      <c r="K34" s="42" t="s">
        <v>171</v>
      </c>
      <c r="L34" s="43">
        <v>0.2</v>
      </c>
      <c r="M34" s="44">
        <v>210</v>
      </c>
      <c r="N34" s="42" t="s">
        <v>171</v>
      </c>
      <c r="O34" s="45">
        <f t="shared" si="9"/>
        <v>19.129544197999998</v>
      </c>
      <c r="P34" s="46">
        <v>82</v>
      </c>
      <c r="Q34" s="42" t="s">
        <v>171</v>
      </c>
      <c r="R34" s="47">
        <f t="shared" si="10"/>
        <v>6.9190710719999995</v>
      </c>
      <c r="S34" s="48">
        <v>0.4</v>
      </c>
      <c r="T34" s="42" t="s">
        <v>171</v>
      </c>
      <c r="U34" s="49">
        <f t="shared" si="11"/>
        <v>0.16462458600000002</v>
      </c>
      <c r="V34" s="48">
        <v>0.39</v>
      </c>
      <c r="W34" s="42" t="s">
        <v>171</v>
      </c>
      <c r="X34" s="49">
        <f t="shared" si="12"/>
        <v>0.16387181570000001</v>
      </c>
      <c r="Y34" s="50">
        <v>0.01</v>
      </c>
      <c r="Z34" s="30">
        <v>420</v>
      </c>
      <c r="AA34" s="26" t="s">
        <v>171</v>
      </c>
      <c r="AB34" s="24">
        <f t="shared" si="17"/>
        <v>23.1</v>
      </c>
      <c r="AC34" s="25">
        <v>3.92</v>
      </c>
      <c r="AD34" s="26" t="s">
        <v>171</v>
      </c>
      <c r="AE34" s="27">
        <f t="shared" si="14"/>
        <v>0.47982494664000003</v>
      </c>
      <c r="AF34" s="25">
        <v>1.1000000000000001</v>
      </c>
      <c r="AG34" s="26" t="s">
        <v>171</v>
      </c>
      <c r="AH34" s="28">
        <f t="shared" si="15"/>
        <v>0.22705357110000002</v>
      </c>
      <c r="AI34" s="29">
        <v>5.0199999999999996</v>
      </c>
      <c r="AJ34" s="26" t="s">
        <v>171</v>
      </c>
      <c r="AK34" s="28">
        <f t="shared" si="16"/>
        <v>1.0910858269199999</v>
      </c>
      <c r="AL34" s="136">
        <v>415</v>
      </c>
      <c r="AM34" s="137"/>
      <c r="AN34" s="144">
        <f>AN18</f>
        <v>1.6260951951951954</v>
      </c>
      <c r="AO34" s="156">
        <f t="shared" si="13"/>
        <v>9.5126568918918935</v>
      </c>
      <c r="AP34" s="94"/>
      <c r="AQ34" s="85"/>
      <c r="AR34" s="85"/>
      <c r="AS34" s="85"/>
      <c r="AT34" s="85"/>
      <c r="AU34" s="92"/>
      <c r="AV34" s="91"/>
      <c r="AW34" s="91"/>
      <c r="AX34" s="91"/>
      <c r="AY34" s="91"/>
    </row>
    <row r="35" spans="1:51" ht="15.95" customHeight="1" thickTop="1" thickBot="1" x14ac:dyDescent="0.3">
      <c r="A35" s="37" t="s">
        <v>187</v>
      </c>
      <c r="B35" s="32" t="s">
        <v>182</v>
      </c>
      <c r="C35" s="111" t="s">
        <v>81</v>
      </c>
      <c r="D35" s="32" t="s">
        <v>346</v>
      </c>
      <c r="E35" s="32" t="s">
        <v>31</v>
      </c>
      <c r="F35" s="111" t="s">
        <v>31</v>
      </c>
      <c r="G35" s="32" t="s">
        <v>174</v>
      </c>
      <c r="H35">
        <v>3.75</v>
      </c>
      <c r="I35">
        <v>7.5</v>
      </c>
      <c r="J35" s="41">
        <v>5.0999999999999996</v>
      </c>
      <c r="K35" s="42" t="s">
        <v>171</v>
      </c>
      <c r="L35" s="43">
        <v>0.2</v>
      </c>
      <c r="M35" s="44">
        <v>104</v>
      </c>
      <c r="N35" s="42" t="s">
        <v>171</v>
      </c>
      <c r="O35" s="45">
        <f t="shared" si="9"/>
        <v>10.350201045999999</v>
      </c>
      <c r="P35" s="46">
        <v>183</v>
      </c>
      <c r="Q35" s="42" t="s">
        <v>171</v>
      </c>
      <c r="R35" s="47">
        <f t="shared" si="10"/>
        <v>15.836558122999998</v>
      </c>
      <c r="S35" s="48">
        <v>2.81</v>
      </c>
      <c r="T35" s="42" t="s">
        <v>171</v>
      </c>
      <c r="U35" s="49">
        <f t="shared" si="11"/>
        <v>0.34604222829999998</v>
      </c>
      <c r="V35" s="48">
        <v>2.29</v>
      </c>
      <c r="W35" s="42" t="s">
        <v>171</v>
      </c>
      <c r="X35" s="49">
        <f t="shared" si="12"/>
        <v>0.30689817269999997</v>
      </c>
      <c r="Y35" s="50">
        <v>0.52</v>
      </c>
      <c r="Z35" s="30">
        <v>2230</v>
      </c>
      <c r="AA35" s="26" t="s">
        <v>171</v>
      </c>
      <c r="AB35" s="24">
        <f t="shared" si="17"/>
        <v>122.65</v>
      </c>
      <c r="AC35" s="25">
        <v>19.21</v>
      </c>
      <c r="AD35" s="26" t="s">
        <v>171</v>
      </c>
      <c r="AE35" s="27">
        <f t="shared" si="14"/>
        <v>1.5816313983200003</v>
      </c>
      <c r="AF35" s="25">
        <v>1.79</v>
      </c>
      <c r="AG35" s="26" t="s">
        <v>171</v>
      </c>
      <c r="AH35" s="28">
        <f t="shared" si="15"/>
        <v>0.32377678509000002</v>
      </c>
      <c r="AI35" s="29">
        <v>21</v>
      </c>
      <c r="AJ35" s="26" t="s">
        <v>171</v>
      </c>
      <c r="AK35" s="28">
        <f t="shared" si="16"/>
        <v>1.64232625</v>
      </c>
      <c r="AL35" s="136">
        <v>2209</v>
      </c>
      <c r="AM35" s="137"/>
      <c r="AN35" s="150">
        <f>AN36-((AN36-AN38)/(H36-H38))*3.5</f>
        <v>1.3071999929920988</v>
      </c>
      <c r="AO35" s="156">
        <f t="shared" si="13"/>
        <v>22.451159879639295</v>
      </c>
      <c r="AP35" s="94">
        <f>'PoplarPlots(2000)'!E92</f>
        <v>9.5</v>
      </c>
      <c r="AQ35" s="85">
        <f>'PoplarPlots(2000)'!L92</f>
        <v>309.44603172987883</v>
      </c>
      <c r="AR35" s="85">
        <f>'PoplarPlots(2000)'!M92</f>
        <v>32.573266497881981</v>
      </c>
      <c r="AS35" s="85">
        <f>'PoplarPlots(2000)'!N92</f>
        <v>127.64648808857503</v>
      </c>
      <c r="AT35" s="85">
        <f>'PoplarPlots(2000)'!O92</f>
        <v>13.436472430376318</v>
      </c>
      <c r="AU35" s="92">
        <f>'S-08-12 (2020)'!AG4</f>
        <v>30</v>
      </c>
      <c r="AV35" s="91">
        <f>'S-08-12 (2020)'!AI4</f>
        <v>101.5243057040424</v>
      </c>
      <c r="AW35" s="91">
        <f>'S-08-12 (2020)'!AJ4</f>
        <v>3.3841435234680803</v>
      </c>
      <c r="AX35" s="91">
        <f>'S-08-12 (2020)'!AK4</f>
        <v>41.878776102917485</v>
      </c>
      <c r="AY35" s="91">
        <f>'S-08-12 (2020)'!AL4</f>
        <v>1.3959592034305828</v>
      </c>
    </row>
    <row r="36" spans="1:51" ht="16.5" customHeight="1" thickTop="1" thickBot="1" x14ac:dyDescent="0.3">
      <c r="A36" s="34" t="s">
        <v>187</v>
      </c>
      <c r="B36" s="39" t="s">
        <v>182</v>
      </c>
      <c r="C36" s="111" t="s">
        <v>81</v>
      </c>
      <c r="D36" s="99" t="s">
        <v>346</v>
      </c>
      <c r="E36" s="109" t="s">
        <v>31</v>
      </c>
      <c r="F36" s="111" t="s">
        <v>31</v>
      </c>
      <c r="G36" s="39" t="s">
        <v>175</v>
      </c>
      <c r="H36">
        <v>16.25</v>
      </c>
      <c r="I36">
        <f>25-7.5</f>
        <v>17.5</v>
      </c>
      <c r="J36" s="41">
        <v>5</v>
      </c>
      <c r="K36" s="42" t="s">
        <v>171</v>
      </c>
      <c r="L36" s="43">
        <v>0.2</v>
      </c>
      <c r="M36" s="44">
        <v>107</v>
      </c>
      <c r="N36" s="42" t="s">
        <v>171</v>
      </c>
      <c r="O36" s="45">
        <f t="shared" ref="O36:O60" si="18">M36*0.082823992+1.736505878</f>
        <v>10.598673022</v>
      </c>
      <c r="P36" s="46">
        <v>75</v>
      </c>
      <c r="Q36" s="42" t="s">
        <v>171</v>
      </c>
      <c r="R36" s="47">
        <f t="shared" ref="R36:R60" si="19">P36*0.088291951-0.32086891</f>
        <v>6.3010274150000001</v>
      </c>
      <c r="S36" s="48">
        <v>1.61</v>
      </c>
      <c r="T36" s="42" t="s">
        <v>171</v>
      </c>
      <c r="U36" s="49">
        <f t="shared" ref="U36:U60" si="20">S36*0.07527703+0.134513774</f>
        <v>0.25570979230000002</v>
      </c>
      <c r="V36" s="48">
        <v>1.57</v>
      </c>
      <c r="W36" s="42" t="s">
        <v>171</v>
      </c>
      <c r="X36" s="49">
        <f t="shared" ref="X36:X60" si="21">V36*0.07527703+0.134513774</f>
        <v>0.25269871109999997</v>
      </c>
      <c r="Y36" s="50">
        <v>0.04</v>
      </c>
      <c r="Z36" s="30">
        <v>2040</v>
      </c>
      <c r="AA36" s="26" t="s">
        <v>171</v>
      </c>
      <c r="AB36" s="24">
        <f t="shared" si="17"/>
        <v>112.2</v>
      </c>
      <c r="AC36" s="25">
        <v>11.4</v>
      </c>
      <c r="AD36" s="26" t="s">
        <v>171</v>
      </c>
      <c r="AE36" s="27">
        <f t="shared" si="14"/>
        <v>1.0188381747999999</v>
      </c>
      <c r="AF36" s="25">
        <v>1.62</v>
      </c>
      <c r="AG36" s="26" t="s">
        <v>171</v>
      </c>
      <c r="AH36" s="28">
        <f t="shared" si="15"/>
        <v>0.29994642802000004</v>
      </c>
      <c r="AI36" s="29">
        <v>13.02</v>
      </c>
      <c r="AJ36" s="26" t="s">
        <v>171</v>
      </c>
      <c r="AK36" s="28">
        <f t="shared" si="16"/>
        <v>1.36705099492</v>
      </c>
      <c r="AL36" s="136">
        <v>2027</v>
      </c>
      <c r="AM36" s="137"/>
      <c r="AN36" s="90">
        <f>'S-08-12 (2020)'!AD34</f>
        <v>1.3364263784845882</v>
      </c>
      <c r="AO36" s="156">
        <f t="shared" si="13"/>
        <v>36.71831474886406</v>
      </c>
      <c r="AP36" s="94"/>
      <c r="AQ36" s="85"/>
      <c r="AR36" s="85"/>
      <c r="AS36" s="85"/>
      <c r="AT36" s="85"/>
      <c r="AU36" s="92"/>
      <c r="AV36" s="91"/>
      <c r="AW36" s="91"/>
      <c r="AX36" s="91"/>
      <c r="AY36" s="91"/>
    </row>
    <row r="37" spans="1:51" ht="17.100000000000001" customHeight="1" thickTop="1" thickBot="1" x14ac:dyDescent="0.3">
      <c r="A37" s="38" t="s">
        <v>187</v>
      </c>
      <c r="B37" s="38" t="s">
        <v>180</v>
      </c>
      <c r="C37" s="111" t="s">
        <v>81</v>
      </c>
      <c r="D37" s="99" t="s">
        <v>346</v>
      </c>
      <c r="E37" s="109" t="s">
        <v>31</v>
      </c>
      <c r="F37" s="111" t="s">
        <v>31</v>
      </c>
      <c r="G37" s="38" t="s">
        <v>176</v>
      </c>
      <c r="H37">
        <v>35</v>
      </c>
      <c r="I37" s="76">
        <f>45-25</f>
        <v>20</v>
      </c>
      <c r="J37" s="41">
        <v>5.2</v>
      </c>
      <c r="K37" s="42" t="s">
        <v>171</v>
      </c>
      <c r="L37" s="43">
        <v>0.2</v>
      </c>
      <c r="M37" s="44">
        <v>48</v>
      </c>
      <c r="N37" s="42" t="s">
        <v>171</v>
      </c>
      <c r="O37" s="45">
        <f t="shared" si="18"/>
        <v>5.7120574939999997</v>
      </c>
      <c r="P37" s="46">
        <v>57</v>
      </c>
      <c r="Q37" s="42" t="s">
        <v>171</v>
      </c>
      <c r="R37" s="47">
        <f t="shared" si="19"/>
        <v>4.7117722969999996</v>
      </c>
      <c r="S37" s="48">
        <v>0.82</v>
      </c>
      <c r="T37" s="42" t="s">
        <v>171</v>
      </c>
      <c r="U37" s="49">
        <f t="shared" si="20"/>
        <v>0.1962409386</v>
      </c>
      <c r="V37" s="48">
        <v>0.81</v>
      </c>
      <c r="W37" s="42" t="s">
        <v>171</v>
      </c>
      <c r="X37" s="49">
        <f t="shared" si="21"/>
        <v>0.19548816829999999</v>
      </c>
      <c r="Y37" s="50">
        <v>0.01</v>
      </c>
      <c r="Z37" s="30">
        <v>980</v>
      </c>
      <c r="AA37" s="26" t="s">
        <v>171</v>
      </c>
      <c r="AB37" s="24">
        <f t="shared" si="17"/>
        <v>53.9</v>
      </c>
      <c r="AC37" s="25">
        <v>3.79</v>
      </c>
      <c r="AD37" s="26" t="s">
        <v>171</v>
      </c>
      <c r="AE37" s="27">
        <f t="shared" si="14"/>
        <v>0.47045706968000001</v>
      </c>
      <c r="AF37" s="25">
        <v>1.91</v>
      </c>
      <c r="AG37" s="26" t="s">
        <v>171</v>
      </c>
      <c r="AH37" s="28">
        <f t="shared" si="15"/>
        <v>0.34059821360999998</v>
      </c>
      <c r="AI37" s="29">
        <v>5.7</v>
      </c>
      <c r="AJ37" s="26" t="s">
        <v>171</v>
      </c>
      <c r="AK37" s="28">
        <f t="shared" si="16"/>
        <v>1.1145428661999999</v>
      </c>
      <c r="AL37" s="136">
        <v>974</v>
      </c>
      <c r="AM37" s="137"/>
      <c r="AN37" s="151">
        <f>AN36+((AN36-AN38)/(H36-H38))*(H37-H36)</f>
        <v>1.4929963007657814</v>
      </c>
      <c r="AO37" s="156">
        <f t="shared" si="13"/>
        <v>24.186540072405659</v>
      </c>
      <c r="AP37" s="94"/>
      <c r="AQ37" s="85"/>
      <c r="AR37" s="85"/>
      <c r="AS37" s="85"/>
      <c r="AT37" s="85"/>
      <c r="AU37" s="92"/>
      <c r="AV37" s="91"/>
      <c r="AW37" s="91"/>
      <c r="AX37" s="91"/>
      <c r="AY37" s="91"/>
    </row>
    <row r="38" spans="1:51" ht="17.100000000000001" customHeight="1" thickTop="1" thickBot="1" x14ac:dyDescent="0.3">
      <c r="A38" s="34" t="s">
        <v>187</v>
      </c>
      <c r="B38" s="39" t="s">
        <v>182</v>
      </c>
      <c r="C38" s="111" t="s">
        <v>81</v>
      </c>
      <c r="D38" s="99" t="s">
        <v>346</v>
      </c>
      <c r="E38" s="109" t="s">
        <v>31</v>
      </c>
      <c r="F38" s="111" t="s">
        <v>31</v>
      </c>
      <c r="G38" s="39" t="s">
        <v>21</v>
      </c>
      <c r="H38">
        <v>52.5</v>
      </c>
      <c r="I38">
        <f>60-45</f>
        <v>15</v>
      </c>
      <c r="J38" s="41">
        <v>5</v>
      </c>
      <c r="K38" s="42" t="s">
        <v>171</v>
      </c>
      <c r="L38" s="43">
        <v>0.2</v>
      </c>
      <c r="M38" s="44">
        <v>33</v>
      </c>
      <c r="N38" s="42" t="s">
        <v>171</v>
      </c>
      <c r="O38" s="45">
        <f t="shared" si="18"/>
        <v>4.4696976139999993</v>
      </c>
      <c r="P38" s="46">
        <v>46</v>
      </c>
      <c r="Q38" s="42" t="s">
        <v>171</v>
      </c>
      <c r="R38" s="47">
        <f t="shared" si="19"/>
        <v>3.7405608359999998</v>
      </c>
      <c r="S38" s="48">
        <v>0.54</v>
      </c>
      <c r="T38" s="42" t="s">
        <v>171</v>
      </c>
      <c r="U38" s="49">
        <f t="shared" si="20"/>
        <v>0.1751633702</v>
      </c>
      <c r="V38" s="48">
        <v>0.53</v>
      </c>
      <c r="W38" s="42" t="s">
        <v>171</v>
      </c>
      <c r="X38" s="49">
        <f t="shared" si="21"/>
        <v>0.17441059990000002</v>
      </c>
      <c r="Y38" s="50">
        <v>0.01</v>
      </c>
      <c r="Z38" s="30">
        <v>440</v>
      </c>
      <c r="AA38" s="26" t="s">
        <v>171</v>
      </c>
      <c r="AB38" s="24">
        <f t="shared" si="17"/>
        <v>24.2</v>
      </c>
      <c r="AC38" s="25">
        <v>0.43</v>
      </c>
      <c r="AD38" s="26" t="s">
        <v>171</v>
      </c>
      <c r="AE38" s="27">
        <f t="shared" si="14"/>
        <v>0.22833348056</v>
      </c>
      <c r="AF38" s="25">
        <v>1.38</v>
      </c>
      <c r="AG38" s="26" t="s">
        <v>171</v>
      </c>
      <c r="AH38" s="28">
        <f t="shared" si="15"/>
        <v>0.26630357097999996</v>
      </c>
      <c r="AI38" s="29">
        <v>1.81</v>
      </c>
      <c r="AJ38" s="26" t="s">
        <v>171</v>
      </c>
      <c r="AK38" s="28">
        <f t="shared" si="16"/>
        <v>0.98035480325999991</v>
      </c>
      <c r="AL38" s="136">
        <v>438</v>
      </c>
      <c r="AM38" s="137"/>
      <c r="AN38" s="144">
        <f>AVERAGE(SoilAgric2000_BD!AK33,SoilWoodyCrop_BD!AJ37,SoilWoodyCrop_BD!AJ45,SoilWoodyCrop_BD!AJ49)</f>
        <v>1.6391282282282282</v>
      </c>
      <c r="AO38" s="156">
        <f t="shared" si="13"/>
        <v>13.031069414414414</v>
      </c>
      <c r="AP38" s="94"/>
      <c r="AQ38" s="85"/>
      <c r="AR38" s="85"/>
      <c r="AS38" s="85"/>
      <c r="AT38" s="85"/>
      <c r="AU38" s="92"/>
      <c r="AV38" s="91"/>
      <c r="AW38" s="91"/>
      <c r="AX38" s="91"/>
      <c r="AY38" s="91"/>
    </row>
    <row r="39" spans="1:51" ht="15.6" customHeight="1" thickTop="1" thickBot="1" x14ac:dyDescent="0.3">
      <c r="A39" s="38" t="s">
        <v>187</v>
      </c>
      <c r="B39" s="38" t="s">
        <v>184</v>
      </c>
      <c r="C39" s="111" t="s">
        <v>81</v>
      </c>
      <c r="D39" s="99" t="s">
        <v>346</v>
      </c>
      <c r="E39" s="99" t="s">
        <v>30</v>
      </c>
      <c r="F39" s="111" t="s">
        <v>30</v>
      </c>
      <c r="G39" s="38" t="s">
        <v>177</v>
      </c>
      <c r="H39">
        <v>3.75</v>
      </c>
      <c r="I39">
        <v>7.5</v>
      </c>
      <c r="J39" s="41">
        <v>5.4</v>
      </c>
      <c r="K39" s="42" t="s">
        <v>171</v>
      </c>
      <c r="L39" s="43">
        <v>0.2</v>
      </c>
      <c r="M39" s="44">
        <v>70</v>
      </c>
      <c r="N39" s="42" t="s">
        <v>171</v>
      </c>
      <c r="O39" s="45">
        <f t="shared" si="18"/>
        <v>7.5341853179999996</v>
      </c>
      <c r="P39" s="46">
        <v>306</v>
      </c>
      <c r="Q39" s="42" t="s">
        <v>171</v>
      </c>
      <c r="R39" s="47">
        <f t="shared" si="19"/>
        <v>26.696468095999997</v>
      </c>
      <c r="S39" s="48">
        <v>6.31</v>
      </c>
      <c r="T39" s="42" t="s">
        <v>171</v>
      </c>
      <c r="U39" s="49">
        <f t="shared" si="20"/>
        <v>0.60951183329999992</v>
      </c>
      <c r="V39" s="48">
        <v>5.65</v>
      </c>
      <c r="W39" s="42" t="s">
        <v>171</v>
      </c>
      <c r="X39" s="49">
        <f t="shared" si="21"/>
        <v>0.55982899350000004</v>
      </c>
      <c r="Y39" s="50">
        <v>0.66</v>
      </c>
      <c r="Z39" s="30">
        <v>3930</v>
      </c>
      <c r="AA39" s="26" t="s">
        <v>171</v>
      </c>
      <c r="AB39" s="24">
        <f t="shared" si="17"/>
        <v>216.15</v>
      </c>
      <c r="AC39" s="25">
        <v>34.409999999999997</v>
      </c>
      <c r="AD39" s="26" t="s">
        <v>171</v>
      </c>
      <c r="AE39" s="27">
        <f t="shared" si="14"/>
        <v>2.67695239672</v>
      </c>
      <c r="AF39" s="25">
        <v>2.5499999999999998</v>
      </c>
      <c r="AG39" s="26" t="s">
        <v>171</v>
      </c>
      <c r="AH39" s="28">
        <f t="shared" si="15"/>
        <v>0.43031249905000002</v>
      </c>
      <c r="AI39" s="29">
        <v>36.96</v>
      </c>
      <c r="AJ39" s="26" t="s">
        <v>171</v>
      </c>
      <c r="AK39" s="28">
        <f t="shared" si="16"/>
        <v>2.1928767601599999</v>
      </c>
      <c r="AL39" s="136">
        <v>3803</v>
      </c>
      <c r="AM39" s="137"/>
      <c r="AN39" s="150">
        <f>AN40-((AN40-AN42)/(H40-H42))*3.5</f>
        <v>0.98442892243011826</v>
      </c>
      <c r="AO39" s="156">
        <f t="shared" si="13"/>
        <v>41.715175587976262</v>
      </c>
      <c r="AP39" s="94">
        <f>'PoplarPlots(2000)'!E82</f>
        <v>9.5</v>
      </c>
      <c r="AQ39" s="85">
        <f>'PoplarPlots(2000)'!L82</f>
        <v>189.17998035142728</v>
      </c>
      <c r="AR39" s="85">
        <f>'PoplarPlots(2000)'!M82</f>
        <v>19.913682142255503</v>
      </c>
      <c r="AS39" s="85">
        <f>'PoplarPlots(2000)'!N82</f>
        <v>78.03674189496374</v>
      </c>
      <c r="AT39" s="85">
        <f>'PoplarPlots(2000)'!O82</f>
        <v>8.214393883680394</v>
      </c>
      <c r="AU39" s="92">
        <f>'S-08-12 (2020)'!AS4</f>
        <v>30</v>
      </c>
      <c r="AV39" s="91">
        <f>'S-08-12 (2020)'!AU4</f>
        <v>356.44730107417968</v>
      </c>
      <c r="AW39" s="91">
        <f>'S-08-12 (2020)'!AV4</f>
        <v>11.881576702472655</v>
      </c>
      <c r="AX39" s="91">
        <f>'S-08-12 (2020)'!AW4</f>
        <v>147.03451169309912</v>
      </c>
      <c r="AY39" s="91">
        <f>'S-08-12 (2020)'!AX4</f>
        <v>4.9011503897699704</v>
      </c>
    </row>
    <row r="40" spans="1:51" ht="17.100000000000001" customHeight="1" thickTop="1" thickBot="1" x14ac:dyDescent="0.3">
      <c r="A40" s="34" t="s">
        <v>187</v>
      </c>
      <c r="B40" s="39" t="s">
        <v>185</v>
      </c>
      <c r="C40" s="111" t="s">
        <v>81</v>
      </c>
      <c r="D40" s="99" t="s">
        <v>346</v>
      </c>
      <c r="E40" s="109" t="s">
        <v>30</v>
      </c>
      <c r="F40" s="111" t="s">
        <v>30</v>
      </c>
      <c r="G40" s="39" t="s">
        <v>175</v>
      </c>
      <c r="H40">
        <v>16.25</v>
      </c>
      <c r="I40">
        <f>25-7.5</f>
        <v>17.5</v>
      </c>
      <c r="J40" s="41">
        <v>5.2</v>
      </c>
      <c r="K40" s="42" t="s">
        <v>171</v>
      </c>
      <c r="L40" s="43">
        <v>0.2</v>
      </c>
      <c r="M40" s="44">
        <v>38</v>
      </c>
      <c r="N40" s="42" t="s">
        <v>171</v>
      </c>
      <c r="O40" s="45">
        <f t="shared" si="18"/>
        <v>4.8838175740000001</v>
      </c>
      <c r="P40" s="46">
        <v>112</v>
      </c>
      <c r="Q40" s="42" t="s">
        <v>171</v>
      </c>
      <c r="R40" s="47">
        <f t="shared" si="19"/>
        <v>9.5678296019999998</v>
      </c>
      <c r="S40" s="48">
        <v>4.2</v>
      </c>
      <c r="T40" s="42" t="s">
        <v>171</v>
      </c>
      <c r="U40" s="49">
        <f t="shared" si="20"/>
        <v>0.45067729999999995</v>
      </c>
      <c r="V40" s="48">
        <v>3.9</v>
      </c>
      <c r="W40" s="42" t="s">
        <v>171</v>
      </c>
      <c r="X40" s="49">
        <f t="shared" si="21"/>
        <v>0.42809419100000001</v>
      </c>
      <c r="Y40" s="50">
        <v>0.3</v>
      </c>
      <c r="Z40" s="30">
        <v>2360</v>
      </c>
      <c r="AA40" s="26" t="s">
        <v>171</v>
      </c>
      <c r="AB40" s="24">
        <f t="shared" si="17"/>
        <v>129.80000000000001</v>
      </c>
      <c r="AC40" s="25">
        <v>20.92</v>
      </c>
      <c r="AD40" s="26" t="s">
        <v>171</v>
      </c>
      <c r="AE40" s="27">
        <f t="shared" si="14"/>
        <v>1.7048550106400002</v>
      </c>
      <c r="AF40" s="25">
        <v>2.11</v>
      </c>
      <c r="AG40" s="26" t="s">
        <v>171</v>
      </c>
      <c r="AH40" s="28">
        <f t="shared" si="15"/>
        <v>0.36863392780999998</v>
      </c>
      <c r="AI40" s="29">
        <v>23.03</v>
      </c>
      <c r="AJ40" s="26" t="s">
        <v>171</v>
      </c>
      <c r="AK40" s="28">
        <f t="shared" si="16"/>
        <v>1.7123524113799999</v>
      </c>
      <c r="AL40" s="136">
        <v>2337</v>
      </c>
      <c r="AM40" s="137"/>
      <c r="AN40" s="90">
        <f>'S-08-12 (2020)'!AQ34</f>
        <v>1.0420754021859266</v>
      </c>
      <c r="AO40" s="156">
        <f t="shared" si="13"/>
        <v>71.121646199189485</v>
      </c>
      <c r="AP40" s="94"/>
      <c r="AQ40" s="85"/>
      <c r="AR40" s="85"/>
      <c r="AS40" s="85"/>
      <c r="AT40" s="85"/>
      <c r="AU40" s="92"/>
      <c r="AV40" s="91"/>
      <c r="AW40" s="91"/>
      <c r="AX40" s="91"/>
      <c r="AY40" s="91"/>
    </row>
    <row r="41" spans="1:51" ht="17.100000000000001" customHeight="1" thickTop="1" thickBot="1" x14ac:dyDescent="0.3">
      <c r="A41" s="38" t="s">
        <v>189</v>
      </c>
      <c r="B41" s="38" t="s">
        <v>184</v>
      </c>
      <c r="C41" s="111" t="s">
        <v>81</v>
      </c>
      <c r="D41" s="99" t="s">
        <v>346</v>
      </c>
      <c r="E41" s="109" t="s">
        <v>30</v>
      </c>
      <c r="F41" s="111" t="s">
        <v>30</v>
      </c>
      <c r="G41" s="38" t="s">
        <v>176</v>
      </c>
      <c r="H41">
        <v>35</v>
      </c>
      <c r="I41" s="76">
        <f>45-25</f>
        <v>20</v>
      </c>
      <c r="J41" s="41">
        <v>5.6</v>
      </c>
      <c r="K41" s="42" t="s">
        <v>171</v>
      </c>
      <c r="L41" s="43">
        <v>0.2</v>
      </c>
      <c r="M41" s="44">
        <v>54</v>
      </c>
      <c r="N41" s="42" t="s">
        <v>171</v>
      </c>
      <c r="O41" s="45">
        <f t="shared" si="18"/>
        <v>6.2090014460000003</v>
      </c>
      <c r="P41" s="46">
        <v>56</v>
      </c>
      <c r="Q41" s="42" t="s">
        <v>171</v>
      </c>
      <c r="R41" s="47">
        <f t="shared" si="19"/>
        <v>4.623480346</v>
      </c>
      <c r="S41" s="48">
        <v>1.65</v>
      </c>
      <c r="T41" s="42" t="s">
        <v>171</v>
      </c>
      <c r="U41" s="49">
        <f t="shared" si="20"/>
        <v>0.2587208735</v>
      </c>
      <c r="V41" s="48">
        <v>1.62</v>
      </c>
      <c r="W41" s="42" t="s">
        <v>171</v>
      </c>
      <c r="X41" s="49">
        <f t="shared" si="21"/>
        <v>0.2564625626</v>
      </c>
      <c r="Y41" s="50">
        <v>0.03</v>
      </c>
      <c r="Z41" s="30">
        <v>1160</v>
      </c>
      <c r="AA41" s="26" t="s">
        <v>171</v>
      </c>
      <c r="AB41" s="24">
        <f t="shared" si="17"/>
        <v>63.8</v>
      </c>
      <c r="AC41" s="25">
        <v>8.02</v>
      </c>
      <c r="AD41" s="26" t="s">
        <v>171</v>
      </c>
      <c r="AE41" s="27">
        <f t="shared" si="14"/>
        <v>0.77527337384000006</v>
      </c>
      <c r="AF41" s="25">
        <v>1.94</v>
      </c>
      <c r="AG41" s="26" t="s">
        <v>171</v>
      </c>
      <c r="AH41" s="28">
        <f t="shared" si="15"/>
        <v>0.34480357074000001</v>
      </c>
      <c r="AI41" s="29">
        <v>9.9600000000000009</v>
      </c>
      <c r="AJ41" s="26" t="s">
        <v>171</v>
      </c>
      <c r="AK41" s="28">
        <f t="shared" si="16"/>
        <v>1.26149431816</v>
      </c>
      <c r="AL41" s="136">
        <v>1150</v>
      </c>
      <c r="AM41" s="137"/>
      <c r="AN41" s="151">
        <f>AN40+((AN40-AN42)/(H40-H42))*(H41-H40)</f>
        <v>1.3508958294491862</v>
      </c>
      <c r="AO41" s="156">
        <f t="shared" si="13"/>
        <v>43.769024874153637</v>
      </c>
      <c r="AP41" s="94"/>
      <c r="AQ41" s="85"/>
      <c r="AR41" s="85"/>
      <c r="AS41" s="85"/>
      <c r="AT41" s="85"/>
      <c r="AU41" s="92"/>
      <c r="AV41" s="91"/>
      <c r="AW41" s="91"/>
      <c r="AX41" s="91"/>
      <c r="AY41" s="91"/>
    </row>
    <row r="42" spans="1:51" ht="15.6" customHeight="1" thickTop="1" thickBot="1" x14ac:dyDescent="0.3">
      <c r="A42" s="34" t="s">
        <v>187</v>
      </c>
      <c r="B42" s="39" t="s">
        <v>184</v>
      </c>
      <c r="C42" s="111" t="s">
        <v>81</v>
      </c>
      <c r="D42" s="99" t="s">
        <v>346</v>
      </c>
      <c r="E42" s="109" t="s">
        <v>30</v>
      </c>
      <c r="F42" s="111" t="s">
        <v>30</v>
      </c>
      <c r="G42" s="39" t="s">
        <v>21</v>
      </c>
      <c r="H42">
        <v>52.5</v>
      </c>
      <c r="I42">
        <f>60-45</f>
        <v>15</v>
      </c>
      <c r="J42" s="41">
        <v>7.2</v>
      </c>
      <c r="K42" s="42" t="s">
        <v>171</v>
      </c>
      <c r="L42" s="43">
        <v>0.2</v>
      </c>
      <c r="M42" s="44">
        <v>154</v>
      </c>
      <c r="N42" s="42" t="s">
        <v>171</v>
      </c>
      <c r="O42" s="45">
        <f t="shared" si="18"/>
        <v>14.491400645999999</v>
      </c>
      <c r="P42" s="46">
        <v>70</v>
      </c>
      <c r="Q42" s="42" t="s">
        <v>171</v>
      </c>
      <c r="R42" s="47">
        <f t="shared" si="19"/>
        <v>5.8595676599999997</v>
      </c>
      <c r="S42" s="48">
        <v>0.67</v>
      </c>
      <c r="T42" s="42" t="s">
        <v>171</v>
      </c>
      <c r="U42" s="49">
        <f t="shared" si="20"/>
        <v>0.1849493841</v>
      </c>
      <c r="V42" s="48">
        <v>0.55000000000000004</v>
      </c>
      <c r="W42" s="42" t="s">
        <v>171</v>
      </c>
      <c r="X42" s="49">
        <f t="shared" si="21"/>
        <v>0.17591614050000001</v>
      </c>
      <c r="Y42" s="50">
        <v>0.12</v>
      </c>
      <c r="Z42" s="30">
        <v>580</v>
      </c>
      <c r="AA42" s="26" t="s">
        <v>171</v>
      </c>
      <c r="AB42" s="24">
        <f t="shared" si="17"/>
        <v>31.9</v>
      </c>
      <c r="AC42" s="25">
        <v>0.64</v>
      </c>
      <c r="AD42" s="26" t="s">
        <v>171</v>
      </c>
      <c r="AE42" s="27">
        <f>0.072060592*AC42+0.197347426</f>
        <v>0.24346620487999998</v>
      </c>
      <c r="AF42" s="25">
        <v>1.62</v>
      </c>
      <c r="AG42" s="26" t="s">
        <v>171</v>
      </c>
      <c r="AH42" s="28">
        <f>0.140178571*AF42+0.072857143</f>
        <v>0.29994642802000004</v>
      </c>
      <c r="AI42" s="29">
        <v>2.2599999999999998</v>
      </c>
      <c r="AJ42" s="26" t="s">
        <v>171</v>
      </c>
      <c r="AK42" s="28">
        <f>0.034495646*AI42+0.917917684</f>
        <v>0.9958778439599999</v>
      </c>
      <c r="AL42" s="136">
        <v>578</v>
      </c>
      <c r="AM42" s="137"/>
      <c r="AN42" s="144">
        <f>AN38</f>
        <v>1.6391282282282282</v>
      </c>
      <c r="AO42" s="156">
        <f t="shared" si="13"/>
        <v>13.522807882882885</v>
      </c>
      <c r="AP42" s="94"/>
      <c r="AQ42" s="85"/>
      <c r="AR42" s="85"/>
      <c r="AS42" s="85"/>
      <c r="AT42" s="85"/>
      <c r="AU42" s="92"/>
      <c r="AV42" s="91"/>
      <c r="AW42" s="91"/>
      <c r="AX42" s="91"/>
      <c r="AY42" s="91"/>
    </row>
    <row r="43" spans="1:51" ht="14.45" customHeight="1" thickTop="1" thickBot="1" x14ac:dyDescent="0.3">
      <c r="A43" s="38" t="s">
        <v>189</v>
      </c>
      <c r="B43" s="38" t="s">
        <v>98</v>
      </c>
      <c r="C43" s="112" t="s">
        <v>98</v>
      </c>
      <c r="D43" s="39" t="s">
        <v>350</v>
      </c>
      <c r="E43" s="38" t="s">
        <v>379</v>
      </c>
      <c r="F43" s="112"/>
      <c r="G43" s="38" t="s">
        <v>177</v>
      </c>
      <c r="H43">
        <v>3.75</v>
      </c>
      <c r="I43">
        <v>7.5</v>
      </c>
      <c r="J43" s="41">
        <v>5.2</v>
      </c>
      <c r="K43" s="42" t="s">
        <v>171</v>
      </c>
      <c r="L43" s="43">
        <v>0.2</v>
      </c>
      <c r="M43" s="44">
        <v>105</v>
      </c>
      <c r="N43" s="42" t="s">
        <v>171</v>
      </c>
      <c r="O43" s="45">
        <f t="shared" si="18"/>
        <v>10.433025038</v>
      </c>
      <c r="P43" s="46">
        <v>224</v>
      </c>
      <c r="Q43" s="42" t="s">
        <v>171</v>
      </c>
      <c r="R43" s="47">
        <f t="shared" si="19"/>
        <v>19.456528113999997</v>
      </c>
      <c r="S43" s="48">
        <v>4.83</v>
      </c>
      <c r="T43" s="42" t="s">
        <v>171</v>
      </c>
      <c r="U43" s="49">
        <f t="shared" si="20"/>
        <v>0.49810182889999999</v>
      </c>
      <c r="V43" s="48">
        <v>4.82</v>
      </c>
      <c r="W43" s="42" t="s">
        <v>171</v>
      </c>
      <c r="X43" s="49">
        <f t="shared" si="21"/>
        <v>0.4973490586</v>
      </c>
      <c r="Y43" s="50">
        <v>0.01</v>
      </c>
      <c r="Z43" s="30">
        <v>2650</v>
      </c>
      <c r="AA43" s="26" t="s">
        <v>171</v>
      </c>
      <c r="AB43" s="24">
        <f t="shared" si="17"/>
        <v>145.75</v>
      </c>
      <c r="AC43" s="25">
        <v>25.5</v>
      </c>
      <c r="AD43" s="26" t="s">
        <v>171</v>
      </c>
      <c r="AE43" s="27">
        <f>0.072060592*AC43+0.197347426</f>
        <v>2.0348925220000003</v>
      </c>
      <c r="AF43" s="25">
        <v>2.15</v>
      </c>
      <c r="AG43" s="26" t="s">
        <v>171</v>
      </c>
      <c r="AH43" s="28">
        <f>0.140178571*AF43+0.072857143</f>
        <v>0.37424107065000001</v>
      </c>
      <c r="AI43" s="29">
        <v>27.65</v>
      </c>
      <c r="AJ43" s="26" t="s">
        <v>171</v>
      </c>
      <c r="AK43" s="28">
        <f>0.034495646*AI43+0.917917684</f>
        <v>1.8717222958999997</v>
      </c>
      <c r="AL43" s="136">
        <v>2622</v>
      </c>
      <c r="AM43" s="137"/>
      <c r="AN43" s="150">
        <f>AN44-((AN44-AN46)/(H44-H46))*3.5</f>
        <v>1.1602838771828783</v>
      </c>
      <c r="AO43" s="156">
        <f t="shared" si="13"/>
        <v>41.944262160161053</v>
      </c>
      <c r="AP43" s="94"/>
      <c r="AQ43" s="85"/>
      <c r="AR43" s="85"/>
      <c r="AS43" s="85"/>
      <c r="AT43" s="85"/>
      <c r="AU43" s="92"/>
      <c r="AV43" s="91"/>
      <c r="AW43" s="91"/>
      <c r="AX43" s="91"/>
      <c r="AY43" s="91"/>
    </row>
    <row r="44" spans="1:51" ht="15.95" customHeight="1" thickTop="1" thickBot="1" x14ac:dyDescent="0.3">
      <c r="A44" s="34" t="s">
        <v>187</v>
      </c>
      <c r="B44" s="39" t="s">
        <v>98</v>
      </c>
      <c r="C44" s="39" t="s">
        <v>98</v>
      </c>
      <c r="D44" s="39" t="s">
        <v>350</v>
      </c>
      <c r="E44" s="39" t="s">
        <v>379</v>
      </c>
      <c r="F44" s="39"/>
      <c r="G44" s="39" t="s">
        <v>175</v>
      </c>
      <c r="H44">
        <v>16.25</v>
      </c>
      <c r="I44">
        <f>25-7.5</f>
        <v>17.5</v>
      </c>
      <c r="J44" s="41">
        <v>6</v>
      </c>
      <c r="K44" s="42" t="s">
        <v>171</v>
      </c>
      <c r="L44" s="43">
        <v>0.2</v>
      </c>
      <c r="M44" s="44">
        <v>58</v>
      </c>
      <c r="N44" s="42" t="s">
        <v>171</v>
      </c>
      <c r="O44" s="45">
        <f t="shared" si="18"/>
        <v>6.5402974140000003</v>
      </c>
      <c r="P44" s="46">
        <v>96</v>
      </c>
      <c r="Q44" s="42" t="s">
        <v>171</v>
      </c>
      <c r="R44" s="47">
        <f t="shared" si="19"/>
        <v>8.1551583860000001</v>
      </c>
      <c r="S44" s="48">
        <v>3.9</v>
      </c>
      <c r="T44" s="42" t="s">
        <v>171</v>
      </c>
      <c r="U44" s="49">
        <f t="shared" si="20"/>
        <v>0.42809419100000001</v>
      </c>
      <c r="V44" s="48">
        <v>3.76</v>
      </c>
      <c r="W44" s="42" t="s">
        <v>171</v>
      </c>
      <c r="X44" s="49">
        <f t="shared" si="21"/>
        <v>0.41755540679999992</v>
      </c>
      <c r="Y44" s="50">
        <v>0.14000000000000001</v>
      </c>
      <c r="Z44" s="30">
        <v>2020</v>
      </c>
      <c r="AA44" s="26" t="s">
        <v>171</v>
      </c>
      <c r="AB44" s="24">
        <f t="shared" si="17"/>
        <v>111.1</v>
      </c>
      <c r="AC44" s="25">
        <v>18.579999999999998</v>
      </c>
      <c r="AD44" s="26" t="s">
        <v>171</v>
      </c>
      <c r="AE44" s="27">
        <f>0.072060592*AC44+0.197347426</f>
        <v>1.5362332253600002</v>
      </c>
      <c r="AF44" s="25">
        <v>2.14</v>
      </c>
      <c r="AG44" s="26" t="s">
        <v>171</v>
      </c>
      <c r="AH44" s="28">
        <f>0.140178571*AF44+0.072857143</f>
        <v>0.37283928494000002</v>
      </c>
      <c r="AI44" s="29">
        <v>20.72</v>
      </c>
      <c r="AJ44" s="26" t="s">
        <v>171</v>
      </c>
      <c r="AK44" s="28">
        <f>0.034495646*AI44+0.917917684</f>
        <v>1.6326674691199998</v>
      </c>
      <c r="AL44" s="136">
        <v>1999</v>
      </c>
      <c r="AM44" s="137"/>
      <c r="AN44" s="90">
        <f>'S-08-12 (2020)'!E71</f>
        <v>1.2024462728724059</v>
      </c>
      <c r="AO44" s="156">
        <f t="shared" si="13"/>
        <v>79.120964755004309</v>
      </c>
      <c r="AP44" s="94"/>
      <c r="AQ44" s="85"/>
      <c r="AR44" s="85"/>
      <c r="AS44" s="85"/>
      <c r="AT44" s="85"/>
      <c r="AU44" s="92"/>
      <c r="AV44" s="91"/>
      <c r="AW44" s="91"/>
      <c r="AX44" s="91"/>
      <c r="AY44" s="91"/>
    </row>
    <row r="45" spans="1:51" ht="14.1" customHeight="1" thickTop="1" thickBot="1" x14ac:dyDescent="0.3">
      <c r="A45" s="38" t="s">
        <v>187</v>
      </c>
      <c r="B45" s="38" t="s">
        <v>98</v>
      </c>
      <c r="C45" s="112" t="s">
        <v>98</v>
      </c>
      <c r="D45" s="39" t="s">
        <v>350</v>
      </c>
      <c r="E45" s="38" t="s">
        <v>379</v>
      </c>
      <c r="F45" s="112"/>
      <c r="G45" s="38" t="s">
        <v>176</v>
      </c>
      <c r="H45">
        <v>35</v>
      </c>
      <c r="I45" s="76">
        <f>45-25</f>
        <v>20</v>
      </c>
      <c r="J45" s="41">
        <v>7.1</v>
      </c>
      <c r="K45" s="42" t="s">
        <v>171</v>
      </c>
      <c r="L45" s="43">
        <v>0.2</v>
      </c>
      <c r="M45" s="44">
        <v>88</v>
      </c>
      <c r="N45" s="42" t="s">
        <v>171</v>
      </c>
      <c r="O45" s="45">
        <f t="shared" si="18"/>
        <v>9.0250171740000003</v>
      </c>
      <c r="P45" s="46">
        <v>76</v>
      </c>
      <c r="Q45" s="42" t="s">
        <v>171</v>
      </c>
      <c r="R45" s="47">
        <f t="shared" si="19"/>
        <v>6.3893193659999996</v>
      </c>
      <c r="S45" s="48">
        <v>1.59</v>
      </c>
      <c r="T45" s="42" t="s">
        <v>171</v>
      </c>
      <c r="U45" s="49">
        <f t="shared" si="20"/>
        <v>0.25420425169999999</v>
      </c>
      <c r="V45" s="48">
        <v>1.45</v>
      </c>
      <c r="W45" s="42" t="s">
        <v>171</v>
      </c>
      <c r="X45" s="49">
        <f t="shared" si="21"/>
        <v>0.24366546750000001</v>
      </c>
      <c r="Y45" s="50">
        <v>0.14000000000000001</v>
      </c>
      <c r="Z45" s="30">
        <v>1020</v>
      </c>
      <c r="AA45" s="26" t="s">
        <v>171</v>
      </c>
      <c r="AB45" s="24">
        <f t="shared" si="17"/>
        <v>56.1</v>
      </c>
      <c r="AC45" s="25">
        <v>7.23</v>
      </c>
      <c r="AD45" s="26" t="s">
        <v>171</v>
      </c>
      <c r="AE45" s="27">
        <f>0.072060592*AC45+0.197347426</f>
        <v>0.71834550616000004</v>
      </c>
      <c r="AF45" s="25">
        <v>1.93</v>
      </c>
      <c r="AG45" s="26" t="s">
        <v>171</v>
      </c>
      <c r="AH45" s="28">
        <f>0.140178571*AF45+0.072857143</f>
        <v>0.34340178503000002</v>
      </c>
      <c r="AI45" s="29">
        <v>9.16</v>
      </c>
      <c r="AJ45" s="26" t="s">
        <v>171</v>
      </c>
      <c r="AK45" s="28">
        <f>0.034495646*AI45+0.917917684</f>
        <v>1.2338978013599999</v>
      </c>
      <c r="AL45" s="136">
        <v>1011</v>
      </c>
      <c r="AM45" s="137"/>
      <c r="AN45" s="151">
        <f>AN44+((AN44-AN46)/(H44-H46))*(H45-H44)</f>
        <v>1.4283162497805899</v>
      </c>
      <c r="AO45" s="156">
        <f t="shared" si="13"/>
        <v>41.421171243637104</v>
      </c>
      <c r="AP45" s="94"/>
      <c r="AQ45" s="85"/>
      <c r="AR45" s="85"/>
      <c r="AS45" s="85"/>
      <c r="AT45" s="85"/>
      <c r="AU45" s="92"/>
      <c r="AV45" s="91"/>
      <c r="AW45" s="91"/>
      <c r="AX45" s="91"/>
      <c r="AY45" s="91"/>
    </row>
    <row r="46" spans="1:51" ht="15.95" customHeight="1" thickTop="1" thickBot="1" x14ac:dyDescent="0.3">
      <c r="A46" s="34" t="s">
        <v>187</v>
      </c>
      <c r="B46" s="39" t="s">
        <v>98</v>
      </c>
      <c r="C46" s="39" t="s">
        <v>98</v>
      </c>
      <c r="D46" s="39" t="s">
        <v>350</v>
      </c>
      <c r="E46" s="39" t="s">
        <v>379</v>
      </c>
      <c r="F46" s="39"/>
      <c r="G46" s="39" t="s">
        <v>21</v>
      </c>
      <c r="H46">
        <v>52.5</v>
      </c>
      <c r="I46">
        <f>60-45</f>
        <v>15</v>
      </c>
      <c r="J46" s="41">
        <v>7.4</v>
      </c>
      <c r="K46" s="42" t="s">
        <v>171</v>
      </c>
      <c r="L46" s="43">
        <v>0.2</v>
      </c>
      <c r="M46" s="44">
        <v>88</v>
      </c>
      <c r="N46" s="42" t="s">
        <v>171</v>
      </c>
      <c r="O46" s="45">
        <f t="shared" si="18"/>
        <v>9.0250171740000003</v>
      </c>
      <c r="P46" s="46">
        <v>82</v>
      </c>
      <c r="Q46" s="42" t="s">
        <v>171</v>
      </c>
      <c r="R46" s="47">
        <f t="shared" si="19"/>
        <v>6.9190710719999995</v>
      </c>
      <c r="S46" s="48">
        <v>1.4</v>
      </c>
      <c r="T46" s="42" t="s">
        <v>171</v>
      </c>
      <c r="U46" s="49">
        <f t="shared" si="20"/>
        <v>0.23990161599999998</v>
      </c>
      <c r="V46" s="48">
        <v>1.21</v>
      </c>
      <c r="W46" s="42" t="s">
        <v>171</v>
      </c>
      <c r="X46" s="49">
        <f t="shared" si="21"/>
        <v>0.22559898029999997</v>
      </c>
      <c r="Y46" s="50">
        <v>0.19</v>
      </c>
      <c r="Z46" s="30">
        <v>900</v>
      </c>
      <c r="AA46" s="26" t="s">
        <v>171</v>
      </c>
      <c r="AB46" s="24">
        <f t="shared" si="17"/>
        <v>49.5</v>
      </c>
      <c r="AC46" s="25">
        <v>5.2</v>
      </c>
      <c r="AD46" s="26" t="s">
        <v>171</v>
      </c>
      <c r="AE46" s="27">
        <f>0.072060592*AC46+0.197347426</f>
        <v>0.57206250440000006</v>
      </c>
      <c r="AF46" s="25">
        <v>2.37</v>
      </c>
      <c r="AG46" s="26" t="s">
        <v>171</v>
      </c>
      <c r="AH46" s="28">
        <f>0.140178571*AF46+0.072857143</f>
        <v>0.40508035627000005</v>
      </c>
      <c r="AI46" s="29">
        <v>7.57</v>
      </c>
      <c r="AJ46" s="26" t="s">
        <v>171</v>
      </c>
      <c r="AK46" s="28">
        <f>0.034495646*AI46+0.917917684</f>
        <v>1.17904972422</v>
      </c>
      <c r="AL46" s="136">
        <v>892</v>
      </c>
      <c r="AM46" s="137"/>
      <c r="AN46" s="144">
        <f>AN38</f>
        <v>1.6391282282282282</v>
      </c>
      <c r="AO46" s="156">
        <f t="shared" si="13"/>
        <v>29.750177342342344</v>
      </c>
      <c r="AP46" s="94"/>
      <c r="AQ46" s="85"/>
      <c r="AR46" s="85"/>
      <c r="AS46" s="85"/>
      <c r="AT46" s="85"/>
      <c r="AU46" s="92"/>
      <c r="AV46" s="91"/>
      <c r="AW46" s="91"/>
      <c r="AX46" s="91"/>
      <c r="AY46" s="91"/>
    </row>
    <row r="47" spans="1:51" ht="16.5" customHeight="1" thickTop="1" thickBot="1" x14ac:dyDescent="0.3">
      <c r="A47" s="38" t="s">
        <v>187</v>
      </c>
      <c r="B47" s="38" t="s">
        <v>178</v>
      </c>
      <c r="C47" s="112" t="s">
        <v>178</v>
      </c>
      <c r="D47" s="38" t="s">
        <v>348</v>
      </c>
      <c r="E47" s="38" t="s">
        <v>73</v>
      </c>
      <c r="F47" s="112" t="s">
        <v>73</v>
      </c>
      <c r="G47" s="38" t="s">
        <v>174</v>
      </c>
      <c r="H47">
        <v>3.75</v>
      </c>
      <c r="I47">
        <v>7.5</v>
      </c>
      <c r="J47" s="41">
        <v>6.1</v>
      </c>
      <c r="K47" s="42" t="s">
        <v>171</v>
      </c>
      <c r="L47" s="43">
        <v>0.2</v>
      </c>
      <c r="M47" s="44">
        <v>190</v>
      </c>
      <c r="N47" s="42" t="s">
        <v>171</v>
      </c>
      <c r="O47" s="45">
        <f t="shared" si="18"/>
        <v>17.473064357999998</v>
      </c>
      <c r="P47" s="46">
        <v>223</v>
      </c>
      <c r="Q47" s="42" t="s">
        <v>171</v>
      </c>
      <c r="R47" s="47">
        <f t="shared" si="19"/>
        <v>19.368236162999995</v>
      </c>
      <c r="S47" s="48">
        <v>2.99</v>
      </c>
      <c r="T47" s="42" t="s">
        <v>171</v>
      </c>
      <c r="U47" s="49">
        <f t="shared" si="20"/>
        <v>0.3595920937</v>
      </c>
      <c r="V47" s="48">
        <v>2.77</v>
      </c>
      <c r="W47" s="42" t="s">
        <v>171</v>
      </c>
      <c r="X47" s="49">
        <f t="shared" si="21"/>
        <v>0.34303114709999999</v>
      </c>
      <c r="Y47" s="50">
        <v>0.22</v>
      </c>
      <c r="Z47" s="30">
        <v>2230</v>
      </c>
      <c r="AA47" s="26" t="s">
        <v>171</v>
      </c>
      <c r="AB47" s="24">
        <f t="shared" si="17"/>
        <v>122.65</v>
      </c>
      <c r="AC47" s="25">
        <v>21.43</v>
      </c>
      <c r="AD47" s="26" t="s">
        <v>171</v>
      </c>
      <c r="AE47" s="27">
        <f t="shared" ref="AE47:AE92" si="22">0.072060592*AC47+0.197347426</f>
        <v>1.7416059125600003</v>
      </c>
      <c r="AF47" s="25">
        <v>1.77</v>
      </c>
      <c r="AG47" s="26" t="s">
        <v>171</v>
      </c>
      <c r="AH47" s="28">
        <f t="shared" ref="AH47:AH92" si="23">0.140178571*AF47+0.072857143</f>
        <v>0.32097321366999998</v>
      </c>
      <c r="AI47" s="29">
        <v>23.2</v>
      </c>
      <c r="AJ47" s="26" t="s">
        <v>171</v>
      </c>
      <c r="AK47" s="28">
        <f t="shared" ref="AK47:AK92" si="24">0.034495646*AI47+0.917917684</f>
        <v>1.7182166712</v>
      </c>
      <c r="AL47" s="136">
        <v>2207</v>
      </c>
      <c r="AM47" s="137"/>
      <c r="AN47" s="150">
        <f>AN48-((AN48-AN50)/(H48-H50))*3.5</f>
        <v>1.478007820319992</v>
      </c>
      <c r="AO47" s="156">
        <f t="shared" si="13"/>
        <v>30.705612467147834</v>
      </c>
      <c r="AP47" s="94"/>
      <c r="AQ47" s="85"/>
      <c r="AR47" s="85"/>
      <c r="AS47" s="85"/>
      <c r="AT47" s="85"/>
      <c r="AU47" s="92"/>
      <c r="AV47" s="91"/>
      <c r="AW47" s="91"/>
      <c r="AX47" s="91"/>
      <c r="AY47" s="91"/>
    </row>
    <row r="48" spans="1:51" ht="15.6" customHeight="1" thickTop="1" thickBot="1" x14ac:dyDescent="0.3">
      <c r="A48" s="34" t="s">
        <v>187</v>
      </c>
      <c r="B48" s="39" t="s">
        <v>178</v>
      </c>
      <c r="C48" s="39" t="s">
        <v>178</v>
      </c>
      <c r="D48" s="39" t="s">
        <v>348</v>
      </c>
      <c r="E48" s="110" t="s">
        <v>73</v>
      </c>
      <c r="F48" s="112" t="s">
        <v>73</v>
      </c>
      <c r="G48" s="39" t="s">
        <v>188</v>
      </c>
      <c r="H48">
        <v>16.25</v>
      </c>
      <c r="I48">
        <f>25-7.5</f>
        <v>17.5</v>
      </c>
      <c r="J48" s="41">
        <v>6.1</v>
      </c>
      <c r="K48" s="42" t="s">
        <v>171</v>
      </c>
      <c r="L48" s="43">
        <v>0.2</v>
      </c>
      <c r="M48" s="44">
        <v>130</v>
      </c>
      <c r="N48" s="42" t="s">
        <v>171</v>
      </c>
      <c r="O48" s="45">
        <f t="shared" si="18"/>
        <v>12.503624838</v>
      </c>
      <c r="P48" s="46">
        <v>75</v>
      </c>
      <c r="Q48" s="42" t="s">
        <v>171</v>
      </c>
      <c r="R48" s="47">
        <f t="shared" si="19"/>
        <v>6.3010274150000001</v>
      </c>
      <c r="S48" s="48">
        <v>2.15</v>
      </c>
      <c r="T48" s="42" t="s">
        <v>171</v>
      </c>
      <c r="U48" s="49">
        <f t="shared" si="20"/>
        <v>0.29635938849999999</v>
      </c>
      <c r="V48" s="48">
        <v>2.11</v>
      </c>
      <c r="W48" s="42" t="s">
        <v>171</v>
      </c>
      <c r="X48" s="49">
        <f t="shared" si="21"/>
        <v>0.29334830729999994</v>
      </c>
      <c r="Y48" s="50">
        <v>0.04</v>
      </c>
      <c r="Z48" s="30">
        <v>1740</v>
      </c>
      <c r="AA48" s="26" t="s">
        <v>171</v>
      </c>
      <c r="AB48" s="24">
        <f t="shared" si="17"/>
        <v>95.7</v>
      </c>
      <c r="AC48" s="25">
        <v>11</v>
      </c>
      <c r="AD48" s="26" t="s">
        <v>171</v>
      </c>
      <c r="AE48" s="27">
        <f t="shared" si="22"/>
        <v>0.99001393800000004</v>
      </c>
      <c r="AF48" s="25">
        <v>1.46</v>
      </c>
      <c r="AG48" s="26" t="s">
        <v>171</v>
      </c>
      <c r="AH48" s="28">
        <f t="shared" si="23"/>
        <v>0.27751785666000001</v>
      </c>
      <c r="AI48" s="29">
        <v>12.46</v>
      </c>
      <c r="AJ48" s="26" t="s">
        <v>171</v>
      </c>
      <c r="AK48" s="28">
        <f t="shared" si="24"/>
        <v>1.3477334331599999</v>
      </c>
      <c r="AL48" s="136">
        <v>1728</v>
      </c>
      <c r="AM48" s="137"/>
      <c r="AN48" s="90">
        <f>'S-08-12 (2020)'!E55</f>
        <v>1.4921945229031071</v>
      </c>
      <c r="AO48" s="156">
        <f t="shared" si="13"/>
        <v>55.099282758197226</v>
      </c>
      <c r="AP48" s="94"/>
      <c r="AQ48" s="85"/>
      <c r="AR48" s="85"/>
      <c r="AS48" s="85"/>
      <c r="AT48" s="85"/>
      <c r="AU48" s="92"/>
      <c r="AV48" s="91"/>
      <c r="AW48" s="91"/>
      <c r="AX48" s="91"/>
      <c r="AY48" s="91"/>
    </row>
    <row r="49" spans="1:51" ht="15.95" customHeight="1" thickTop="1" thickBot="1" x14ac:dyDescent="0.3">
      <c r="A49" s="38" t="s">
        <v>187</v>
      </c>
      <c r="B49" s="38" t="s">
        <v>178</v>
      </c>
      <c r="C49" s="112" t="s">
        <v>178</v>
      </c>
      <c r="D49" s="79" t="s">
        <v>348</v>
      </c>
      <c r="E49" s="110" t="s">
        <v>73</v>
      </c>
      <c r="F49" s="112" t="s">
        <v>73</v>
      </c>
      <c r="G49" s="38" t="s">
        <v>176</v>
      </c>
      <c r="H49">
        <v>35</v>
      </c>
      <c r="I49" s="76">
        <f>45-25</f>
        <v>20</v>
      </c>
      <c r="J49" s="41">
        <v>5.7</v>
      </c>
      <c r="K49" s="42" t="s">
        <v>171</v>
      </c>
      <c r="L49" s="43">
        <v>0.2</v>
      </c>
      <c r="M49" s="44">
        <v>108</v>
      </c>
      <c r="N49" s="42" t="s">
        <v>171</v>
      </c>
      <c r="O49" s="45">
        <f t="shared" si="18"/>
        <v>10.681497014000001</v>
      </c>
      <c r="P49" s="46">
        <v>53</v>
      </c>
      <c r="Q49" s="42" t="s">
        <v>171</v>
      </c>
      <c r="R49" s="47">
        <f t="shared" si="19"/>
        <v>4.3586044929999996</v>
      </c>
      <c r="S49" s="48">
        <v>2.4300000000000002</v>
      </c>
      <c r="T49" s="42" t="s">
        <v>171</v>
      </c>
      <c r="U49" s="49">
        <f t="shared" si="20"/>
        <v>0.31743695690000001</v>
      </c>
      <c r="V49" s="48">
        <v>2.2799999999999998</v>
      </c>
      <c r="W49" s="42" t="s">
        <v>171</v>
      </c>
      <c r="X49" s="49">
        <f t="shared" si="21"/>
        <v>0.30614540239999999</v>
      </c>
      <c r="Y49" s="50">
        <v>0.15</v>
      </c>
      <c r="Z49" s="30">
        <v>1630</v>
      </c>
      <c r="AA49" s="26" t="s">
        <v>171</v>
      </c>
      <c r="AB49" s="24">
        <f t="shared" si="17"/>
        <v>89.65</v>
      </c>
      <c r="AC49" s="25">
        <v>10.82</v>
      </c>
      <c r="AD49" s="26" t="s">
        <v>171</v>
      </c>
      <c r="AE49" s="27">
        <f t="shared" si="22"/>
        <v>0.97704303144000004</v>
      </c>
      <c r="AF49" s="25">
        <v>2.29</v>
      </c>
      <c r="AG49" s="26" t="s">
        <v>171</v>
      </c>
      <c r="AH49" s="28">
        <f t="shared" si="23"/>
        <v>0.39386607059000001</v>
      </c>
      <c r="AI49" s="29">
        <v>13.11</v>
      </c>
      <c r="AJ49" s="26" t="s">
        <v>171</v>
      </c>
      <c r="AK49" s="28">
        <f t="shared" si="24"/>
        <v>1.3701556030599999</v>
      </c>
      <c r="AL49" s="136">
        <v>1617</v>
      </c>
      <c r="AM49" s="137"/>
      <c r="AN49" s="151">
        <f>AN48+((AN48-AN50)/(H48-H50))*(H49-H48)</f>
        <v>1.5681947153126525</v>
      </c>
      <c r="AO49" s="156">
        <f t="shared" si="13"/>
        <v>71.509679018256946</v>
      </c>
      <c r="AP49" s="94"/>
      <c r="AQ49" s="85"/>
      <c r="AR49" s="85"/>
      <c r="AS49" s="85"/>
      <c r="AT49" s="85"/>
      <c r="AU49" s="92"/>
      <c r="AV49" s="91"/>
      <c r="AW49" s="91"/>
      <c r="AX49" s="91"/>
      <c r="AY49" s="91"/>
    </row>
    <row r="50" spans="1:51" ht="17.45" customHeight="1" thickTop="1" thickBot="1" x14ac:dyDescent="0.3">
      <c r="A50" s="34" t="s">
        <v>187</v>
      </c>
      <c r="B50" s="39" t="s">
        <v>178</v>
      </c>
      <c r="C50" s="39" t="s">
        <v>178</v>
      </c>
      <c r="D50" s="39" t="s">
        <v>348</v>
      </c>
      <c r="E50" s="110" t="s">
        <v>73</v>
      </c>
      <c r="F50" s="112" t="s">
        <v>73</v>
      </c>
      <c r="G50" s="39" t="s">
        <v>21</v>
      </c>
      <c r="H50">
        <v>52.5</v>
      </c>
      <c r="I50">
        <f>60-45</f>
        <v>15</v>
      </c>
      <c r="J50" s="41">
        <v>4.9000000000000004</v>
      </c>
      <c r="K50" s="42" t="s">
        <v>171</v>
      </c>
      <c r="L50" s="43">
        <v>0.2</v>
      </c>
      <c r="M50" s="44">
        <v>44</v>
      </c>
      <c r="N50" s="42" t="s">
        <v>171</v>
      </c>
      <c r="O50" s="45">
        <f t="shared" si="18"/>
        <v>5.3807615260000006</v>
      </c>
      <c r="P50" s="46">
        <v>43</v>
      </c>
      <c r="Q50" s="42" t="s">
        <v>171</v>
      </c>
      <c r="R50" s="47">
        <f t="shared" si="19"/>
        <v>3.4756849829999994</v>
      </c>
      <c r="S50" s="48">
        <v>1.22</v>
      </c>
      <c r="T50" s="42" t="s">
        <v>171</v>
      </c>
      <c r="U50" s="49">
        <f t="shared" si="20"/>
        <v>0.22635175060000001</v>
      </c>
      <c r="V50" s="48">
        <v>1.17</v>
      </c>
      <c r="W50" s="42" t="s">
        <v>171</v>
      </c>
      <c r="X50" s="49">
        <f t="shared" si="21"/>
        <v>0.22258789909999999</v>
      </c>
      <c r="Y50" s="50">
        <v>0.05</v>
      </c>
      <c r="Z50" s="30">
        <v>1030</v>
      </c>
      <c r="AA50" s="26" t="s">
        <v>171</v>
      </c>
      <c r="AB50" s="24">
        <f t="shared" si="17"/>
        <v>56.65</v>
      </c>
      <c r="AC50" s="25">
        <v>2.02</v>
      </c>
      <c r="AD50" s="26" t="s">
        <v>171</v>
      </c>
      <c r="AE50" s="27">
        <f t="shared" si="22"/>
        <v>0.34290982184000002</v>
      </c>
      <c r="AF50" s="25">
        <v>2.69</v>
      </c>
      <c r="AG50" s="26" t="s">
        <v>171</v>
      </c>
      <c r="AH50" s="28">
        <f t="shared" si="23"/>
        <v>0.44993749899000002</v>
      </c>
      <c r="AI50" s="29">
        <v>4.71</v>
      </c>
      <c r="AJ50" s="26" t="s">
        <v>171</v>
      </c>
      <c r="AK50" s="28">
        <f t="shared" si="24"/>
        <v>1.08039217666</v>
      </c>
      <c r="AL50" s="136">
        <v>1025</v>
      </c>
      <c r="AM50" s="137"/>
      <c r="AN50" s="144">
        <f>AN38</f>
        <v>1.6391282282282282</v>
      </c>
      <c r="AO50" s="156">
        <f t="shared" si="13"/>
        <v>28.766700405405402</v>
      </c>
      <c r="AP50" s="94"/>
      <c r="AQ50" s="85"/>
      <c r="AR50" s="85"/>
      <c r="AS50" s="85"/>
      <c r="AT50" s="85"/>
      <c r="AU50" s="92"/>
      <c r="AV50" s="91"/>
      <c r="AW50" s="91"/>
      <c r="AX50" s="91"/>
      <c r="AY50" s="91"/>
    </row>
    <row r="51" spans="1:51" ht="17.100000000000001" customHeight="1" thickTop="1" thickBot="1" x14ac:dyDescent="0.3">
      <c r="A51" s="38" t="s">
        <v>189</v>
      </c>
      <c r="B51" s="38" t="s">
        <v>190</v>
      </c>
      <c r="C51" s="39" t="s">
        <v>409</v>
      </c>
      <c r="D51" s="39" t="s">
        <v>346</v>
      </c>
      <c r="E51" s="38" t="s">
        <v>32</v>
      </c>
      <c r="F51" s="112" t="s">
        <v>32</v>
      </c>
      <c r="G51" s="38" t="s">
        <v>177</v>
      </c>
      <c r="H51">
        <v>3.75</v>
      </c>
      <c r="I51">
        <v>7.5</v>
      </c>
      <c r="J51" s="41">
        <v>4.9000000000000004</v>
      </c>
      <c r="K51" s="42" t="s">
        <v>171</v>
      </c>
      <c r="L51" s="43">
        <v>0.2</v>
      </c>
      <c r="M51" s="44">
        <v>111</v>
      </c>
      <c r="N51" s="42" t="s">
        <v>171</v>
      </c>
      <c r="O51" s="45">
        <f t="shared" si="18"/>
        <v>10.929968989999999</v>
      </c>
      <c r="P51" s="46">
        <v>154</v>
      </c>
      <c r="Q51" s="42" t="s">
        <v>171</v>
      </c>
      <c r="R51" s="47">
        <f t="shared" si="19"/>
        <v>13.276091544</v>
      </c>
      <c r="S51" s="48">
        <v>1.82</v>
      </c>
      <c r="T51" s="42" t="s">
        <v>171</v>
      </c>
      <c r="U51" s="49">
        <f t="shared" si="20"/>
        <v>0.27151796859999999</v>
      </c>
      <c r="V51" s="48">
        <v>1.74</v>
      </c>
      <c r="W51" s="42" t="s">
        <v>171</v>
      </c>
      <c r="X51" s="49">
        <f t="shared" si="21"/>
        <v>0.26549580620000002</v>
      </c>
      <c r="Y51" s="50">
        <v>0.08</v>
      </c>
      <c r="Z51" s="30">
        <v>1760</v>
      </c>
      <c r="AA51" s="26" t="s">
        <v>171</v>
      </c>
      <c r="AB51" s="24">
        <f t="shared" si="17"/>
        <v>96.8</v>
      </c>
      <c r="AC51" s="25">
        <v>10.43</v>
      </c>
      <c r="AD51" s="26" t="s">
        <v>171</v>
      </c>
      <c r="AE51" s="27">
        <f t="shared" si="22"/>
        <v>0.94893940056000003</v>
      </c>
      <c r="AF51" s="25">
        <v>5.13</v>
      </c>
      <c r="AG51" s="26" t="s">
        <v>171</v>
      </c>
      <c r="AH51" s="28">
        <f t="shared" si="23"/>
        <v>0.79197321223000006</v>
      </c>
      <c r="AI51" s="29">
        <v>15.56</v>
      </c>
      <c r="AJ51" s="26" t="s">
        <v>171</v>
      </c>
      <c r="AK51" s="28">
        <f t="shared" si="24"/>
        <v>1.4546699357599999</v>
      </c>
      <c r="AL51" s="136">
        <v>1744</v>
      </c>
      <c r="AM51" s="137"/>
      <c r="AN51" s="150">
        <f>AN52-((AN52-AN54)/(H52-H54))*3.5</f>
        <v>1.3465722523168124</v>
      </c>
      <c r="AO51" s="156">
        <f t="shared" si="13"/>
        <v>17.572767892734401</v>
      </c>
      <c r="AP51" s="94">
        <f>'PoplarPlots(2000)'!E102</f>
        <v>9.5</v>
      </c>
      <c r="AQ51" s="85">
        <f>'PoplarPlots(2000)'!L102</f>
        <v>134.31230234114039</v>
      </c>
      <c r="AR51" s="85">
        <f>'PoplarPlots(2000)'!M102</f>
        <v>14.138137088541095</v>
      </c>
      <c r="AS51" s="85">
        <f>'PoplarPlots(2000)'!N102</f>
        <v>55.403824715720411</v>
      </c>
      <c r="AT51" s="85">
        <f>'PoplarPlots(2000)'!O102</f>
        <v>5.831981549023201</v>
      </c>
      <c r="AU51" s="92">
        <f>'S-08-12 (2020)'!G4</f>
        <v>15</v>
      </c>
      <c r="AV51" s="91">
        <f>'S-08-12 (2020)'!I4</f>
        <v>187.38419909374619</v>
      </c>
      <c r="AW51" s="91">
        <f>'S-08-12 (2020)'!J4</f>
        <v>12.49227993958308</v>
      </c>
      <c r="AX51" s="91">
        <f>'S-08-12 (2020)'!K4</f>
        <v>77.295982126170301</v>
      </c>
      <c r="AY51" s="91">
        <f>'S-08-12 (2020)'!L4</f>
        <v>5.1530654750780203</v>
      </c>
    </row>
    <row r="52" spans="1:51" ht="15.95" customHeight="1" thickTop="1" thickBot="1" x14ac:dyDescent="0.3">
      <c r="A52" s="110" t="s">
        <v>189</v>
      </c>
      <c r="B52" s="39" t="s">
        <v>190</v>
      </c>
      <c r="C52" s="39" t="s">
        <v>409</v>
      </c>
      <c r="D52" s="39" t="s">
        <v>346</v>
      </c>
      <c r="E52" s="110" t="s">
        <v>32</v>
      </c>
      <c r="F52" s="112" t="s">
        <v>32</v>
      </c>
      <c r="G52" s="39" t="s">
        <v>175</v>
      </c>
      <c r="H52">
        <v>16.25</v>
      </c>
      <c r="I52">
        <f>25-7.5</f>
        <v>17.5</v>
      </c>
      <c r="J52" s="41">
        <v>4.7</v>
      </c>
      <c r="K52" s="42" t="s">
        <v>171</v>
      </c>
      <c r="L52" s="43">
        <v>0.2</v>
      </c>
      <c r="M52" s="44">
        <v>109</v>
      </c>
      <c r="N52" s="42" t="s">
        <v>171</v>
      </c>
      <c r="O52" s="45">
        <f t="shared" si="18"/>
        <v>10.764321005999999</v>
      </c>
      <c r="P52" s="46">
        <v>102</v>
      </c>
      <c r="Q52" s="42" t="s">
        <v>171</v>
      </c>
      <c r="R52" s="47">
        <f t="shared" si="19"/>
        <v>8.6849100919999991</v>
      </c>
      <c r="S52" s="48">
        <v>1.27</v>
      </c>
      <c r="T52" s="42" t="s">
        <v>171</v>
      </c>
      <c r="U52" s="49">
        <f t="shared" si="20"/>
        <v>0.23011560209999998</v>
      </c>
      <c r="V52" s="48">
        <v>1.22</v>
      </c>
      <c r="W52" s="42" t="s">
        <v>171</v>
      </c>
      <c r="X52" s="49">
        <f t="shared" si="21"/>
        <v>0.22635175060000001</v>
      </c>
      <c r="Y52" s="50">
        <v>0.05</v>
      </c>
      <c r="Z52" s="30">
        <v>1310</v>
      </c>
      <c r="AA52" s="26" t="s">
        <v>171</v>
      </c>
      <c r="AB52" s="24">
        <f t="shared" si="17"/>
        <v>72.05</v>
      </c>
      <c r="AC52" s="25">
        <v>5.0599999999999996</v>
      </c>
      <c r="AD52" s="26" t="s">
        <v>171</v>
      </c>
      <c r="AE52" s="27">
        <f t="shared" si="22"/>
        <v>0.56197402151999998</v>
      </c>
      <c r="AF52" s="25">
        <v>1.72</v>
      </c>
      <c r="AG52" s="26" t="s">
        <v>171</v>
      </c>
      <c r="AH52" s="28">
        <f t="shared" si="23"/>
        <v>0.31396428512000002</v>
      </c>
      <c r="AI52" s="29">
        <v>6.78</v>
      </c>
      <c r="AJ52" s="26" t="s">
        <v>171</v>
      </c>
      <c r="AK52" s="28">
        <f t="shared" si="24"/>
        <v>1.1517981638799999</v>
      </c>
      <c r="AL52" s="136">
        <v>1303</v>
      </c>
      <c r="AM52" s="137"/>
      <c r="AN52" s="90">
        <f>'S-08-12 (2020)'!E34</f>
        <v>1.3723318979945471</v>
      </c>
      <c r="AO52" s="156">
        <f t="shared" si="13"/>
        <v>29.29928602218358</v>
      </c>
      <c r="AP52" s="94"/>
      <c r="AQ52" s="85"/>
      <c r="AR52" s="85"/>
      <c r="AS52" s="85"/>
      <c r="AT52" s="85"/>
      <c r="AU52" s="92"/>
      <c r="AV52" s="91"/>
      <c r="AW52" s="91"/>
      <c r="AX52" s="91"/>
      <c r="AY52" s="91"/>
    </row>
    <row r="53" spans="1:51" ht="16.5" customHeight="1" thickTop="1" thickBot="1" x14ac:dyDescent="0.3">
      <c r="A53" s="110" t="s">
        <v>189</v>
      </c>
      <c r="B53" s="38" t="s">
        <v>191</v>
      </c>
      <c r="C53" s="39" t="s">
        <v>409</v>
      </c>
      <c r="D53" s="39" t="s">
        <v>346</v>
      </c>
      <c r="E53" s="110" t="s">
        <v>32</v>
      </c>
      <c r="F53" s="112" t="s">
        <v>32</v>
      </c>
      <c r="G53" s="38" t="s">
        <v>176</v>
      </c>
      <c r="H53">
        <v>35</v>
      </c>
      <c r="I53" s="76">
        <f>45-25</f>
        <v>20</v>
      </c>
      <c r="J53" s="41">
        <v>4.7</v>
      </c>
      <c r="K53" s="42" t="s">
        <v>171</v>
      </c>
      <c r="L53" s="43">
        <v>0.2</v>
      </c>
      <c r="M53" s="44">
        <v>63</v>
      </c>
      <c r="N53" s="42" t="s">
        <v>171</v>
      </c>
      <c r="O53" s="45">
        <f t="shared" si="18"/>
        <v>6.9544173740000002</v>
      </c>
      <c r="P53" s="46">
        <v>76</v>
      </c>
      <c r="Q53" s="42" t="s">
        <v>171</v>
      </c>
      <c r="R53" s="47">
        <f t="shared" si="19"/>
        <v>6.3893193659999996</v>
      </c>
      <c r="S53" s="48">
        <v>1.04</v>
      </c>
      <c r="T53" s="42" t="s">
        <v>171</v>
      </c>
      <c r="U53" s="49">
        <f t="shared" si="20"/>
        <v>0.21280188519999998</v>
      </c>
      <c r="V53" s="48">
        <v>1.04</v>
      </c>
      <c r="W53" s="42" t="s">
        <v>171</v>
      </c>
      <c r="X53" s="49">
        <f t="shared" si="21"/>
        <v>0.21280188519999998</v>
      </c>
      <c r="Y53" s="50">
        <v>0</v>
      </c>
      <c r="Z53" s="30">
        <v>1240</v>
      </c>
      <c r="AA53" s="26" t="s">
        <v>171</v>
      </c>
      <c r="AB53" s="24">
        <f t="shared" si="17"/>
        <v>68.2</v>
      </c>
      <c r="AC53" s="25">
        <v>2.93</v>
      </c>
      <c r="AD53" s="26" t="s">
        <v>171</v>
      </c>
      <c r="AE53" s="27">
        <f t="shared" si="22"/>
        <v>0.40848496056000005</v>
      </c>
      <c r="AF53" s="25">
        <v>2.06</v>
      </c>
      <c r="AG53" s="26" t="s">
        <v>171</v>
      </c>
      <c r="AH53" s="28">
        <f t="shared" si="23"/>
        <v>0.36162499926000002</v>
      </c>
      <c r="AI53" s="29">
        <v>4.99</v>
      </c>
      <c r="AJ53" s="26" t="s">
        <v>171</v>
      </c>
      <c r="AK53" s="28">
        <f t="shared" si="24"/>
        <v>1.0900509575399999</v>
      </c>
      <c r="AL53" s="136">
        <v>1235</v>
      </c>
      <c r="AM53" s="137"/>
      <c r="AN53" s="151">
        <f>AN52+((AN52-AN54)/(H52-H54))*(H53-H52)</f>
        <v>1.5103299998395545</v>
      </c>
      <c r="AO53" s="156">
        <f t="shared" si="13"/>
        <v>31.414863996662735</v>
      </c>
      <c r="AP53" s="94"/>
      <c r="AQ53" s="85"/>
      <c r="AR53" s="85"/>
      <c r="AS53" s="85"/>
      <c r="AT53" s="85"/>
      <c r="AU53" s="92"/>
      <c r="AV53" s="91"/>
      <c r="AW53" s="91"/>
      <c r="AX53" s="91"/>
      <c r="AY53" s="91"/>
    </row>
    <row r="54" spans="1:51" ht="16.5" customHeight="1" thickTop="1" thickBot="1" x14ac:dyDescent="0.3">
      <c r="A54" s="110" t="s">
        <v>189</v>
      </c>
      <c r="B54" s="39" t="s">
        <v>191</v>
      </c>
      <c r="C54" s="39" t="s">
        <v>409</v>
      </c>
      <c r="D54" s="39" t="s">
        <v>346</v>
      </c>
      <c r="E54" s="110" t="s">
        <v>32</v>
      </c>
      <c r="F54" s="112" t="s">
        <v>32</v>
      </c>
      <c r="G54" s="39" t="s">
        <v>21</v>
      </c>
      <c r="H54">
        <v>52.5</v>
      </c>
      <c r="I54">
        <f>60-45</f>
        <v>15</v>
      </c>
      <c r="J54" s="41">
        <v>4.4000000000000004</v>
      </c>
      <c r="K54" s="42" t="s">
        <v>171</v>
      </c>
      <c r="L54" s="43">
        <v>0.2</v>
      </c>
      <c r="M54" s="44">
        <v>17</v>
      </c>
      <c r="N54" s="42" t="s">
        <v>171</v>
      </c>
      <c r="O54" s="45">
        <f t="shared" si="18"/>
        <v>3.144513742</v>
      </c>
      <c r="P54" s="46">
        <v>57</v>
      </c>
      <c r="Q54" s="42" t="s">
        <v>171</v>
      </c>
      <c r="R54" s="47">
        <f t="shared" si="19"/>
        <v>4.7117722969999996</v>
      </c>
      <c r="S54" s="48">
        <v>0.76</v>
      </c>
      <c r="T54" s="42" t="s">
        <v>171</v>
      </c>
      <c r="U54" s="49">
        <f t="shared" si="20"/>
        <v>0.19172431680000002</v>
      </c>
      <c r="V54" s="48">
        <v>0.65</v>
      </c>
      <c r="W54" s="42" t="s">
        <v>171</v>
      </c>
      <c r="X54" s="49">
        <f t="shared" si="21"/>
        <v>0.18344384350000001</v>
      </c>
      <c r="Y54" s="50">
        <v>0.11</v>
      </c>
      <c r="Z54" s="30">
        <v>560</v>
      </c>
      <c r="AA54" s="26" t="s">
        <v>171</v>
      </c>
      <c r="AB54" s="24">
        <f>Z54*0.055</f>
        <v>30.8</v>
      </c>
      <c r="AC54" s="25">
        <v>1.44</v>
      </c>
      <c r="AD54" s="26" t="s">
        <v>171</v>
      </c>
      <c r="AE54" s="27">
        <f t="shared" si="22"/>
        <v>0.30111467848000001</v>
      </c>
      <c r="AF54" s="25">
        <v>1.68</v>
      </c>
      <c r="AG54" s="26" t="s">
        <v>171</v>
      </c>
      <c r="AH54" s="28">
        <f t="shared" si="23"/>
        <v>0.30835714228</v>
      </c>
      <c r="AI54" s="29">
        <v>3.12</v>
      </c>
      <c r="AJ54" s="26" t="s">
        <v>171</v>
      </c>
      <c r="AK54" s="28">
        <f t="shared" si="24"/>
        <v>1.02554409952</v>
      </c>
      <c r="AL54" s="136">
        <v>557</v>
      </c>
      <c r="AM54" s="137"/>
      <c r="AN54" s="144">
        <f>AN38</f>
        <v>1.6391282282282282</v>
      </c>
      <c r="AO54" s="156">
        <f t="shared" si="13"/>
        <v>15.981500225225227</v>
      </c>
      <c r="AP54" s="94"/>
      <c r="AQ54" s="85"/>
      <c r="AR54" s="85"/>
      <c r="AS54" s="85"/>
      <c r="AT54" s="85"/>
      <c r="AU54" s="92"/>
      <c r="AV54" s="91"/>
      <c r="AW54" s="91"/>
      <c r="AX54" s="91"/>
      <c r="AY54" s="91"/>
    </row>
    <row r="55" spans="1:51" ht="16.5" customHeight="1" thickTop="1" thickBot="1" x14ac:dyDescent="0.3">
      <c r="A55" s="110" t="s">
        <v>189</v>
      </c>
      <c r="B55" s="38" t="s">
        <v>192</v>
      </c>
      <c r="C55" s="39" t="s">
        <v>409</v>
      </c>
      <c r="D55" s="39" t="s">
        <v>346</v>
      </c>
      <c r="E55" s="38" t="s">
        <v>33</v>
      </c>
      <c r="F55" s="112" t="s">
        <v>33</v>
      </c>
      <c r="G55" s="38" t="s">
        <v>177</v>
      </c>
      <c r="H55">
        <v>3.75</v>
      </c>
      <c r="I55">
        <v>7.5</v>
      </c>
      <c r="J55" s="41">
        <v>5.3</v>
      </c>
      <c r="K55" s="42" t="s">
        <v>171</v>
      </c>
      <c r="L55" s="43">
        <v>0.2</v>
      </c>
      <c r="M55" s="44">
        <v>54</v>
      </c>
      <c r="N55" s="42" t="s">
        <v>171</v>
      </c>
      <c r="O55" s="45">
        <f t="shared" si="18"/>
        <v>6.2090014460000003</v>
      </c>
      <c r="P55" s="46">
        <v>82</v>
      </c>
      <c r="Q55" s="42" t="s">
        <v>171</v>
      </c>
      <c r="R55" s="47">
        <f t="shared" si="19"/>
        <v>6.9190710719999995</v>
      </c>
      <c r="S55" s="48">
        <v>2.16</v>
      </c>
      <c r="T55" s="42" t="s">
        <v>171</v>
      </c>
      <c r="U55" s="49">
        <f t="shared" si="20"/>
        <v>0.29711215879999997</v>
      </c>
      <c r="V55" s="48">
        <v>1.97</v>
      </c>
      <c r="W55" s="42" t="s">
        <v>171</v>
      </c>
      <c r="X55" s="49">
        <f t="shared" si="21"/>
        <v>0.28280952309999996</v>
      </c>
      <c r="Y55" s="50">
        <v>0.19</v>
      </c>
      <c r="Z55" s="30">
        <v>1500</v>
      </c>
      <c r="AA55" s="26" t="s">
        <v>171</v>
      </c>
      <c r="AB55" s="24">
        <f t="shared" ref="AB55:AB78" si="25">Z55*0.055</f>
        <v>82.5</v>
      </c>
      <c r="AC55" s="25">
        <v>19.309999999999999</v>
      </c>
      <c r="AD55" s="26" t="s">
        <v>171</v>
      </c>
      <c r="AE55" s="27">
        <f t="shared" si="22"/>
        <v>1.5888374575199999</v>
      </c>
      <c r="AF55" s="25">
        <v>2.94</v>
      </c>
      <c r="AG55" s="26" t="s">
        <v>171</v>
      </c>
      <c r="AH55" s="28">
        <f t="shared" si="23"/>
        <v>0.48498214173999998</v>
      </c>
      <c r="AI55" s="29">
        <v>22.28</v>
      </c>
      <c r="AJ55" s="26" t="s">
        <v>171</v>
      </c>
      <c r="AK55" s="28">
        <f t="shared" si="24"/>
        <v>1.68648067688</v>
      </c>
      <c r="AL55" s="136">
        <v>1478</v>
      </c>
      <c r="AM55" s="137"/>
      <c r="AN55" s="150">
        <f>AN56-((AN56-AN58)/(H56-H58))*3.5</f>
        <v>1.480353745005708</v>
      </c>
      <c r="AO55" s="156">
        <f t="shared" si="13"/>
        <v>21.872226582459337</v>
      </c>
      <c r="AP55" s="94">
        <f>'PoplarPlots(2000)'!E112</f>
        <v>9.5</v>
      </c>
      <c r="AQ55" s="85">
        <f>'PoplarPlots(2000)'!L112</f>
        <v>142.79765055871263</v>
      </c>
      <c r="AR55" s="85">
        <f>'PoplarPlots(2000)'!N112</f>
        <v>58.904030855468967</v>
      </c>
      <c r="AS55" s="85">
        <f>'PoplarPlots(2000)'!N112</f>
        <v>58.904030855468967</v>
      </c>
      <c r="AT55" s="85">
        <f>'PoplarPlots(2000)'!O112</f>
        <v>6.2004243005756807</v>
      </c>
      <c r="AU55" s="92">
        <f>'S-08-12 (2020)'!T4</f>
        <v>15</v>
      </c>
      <c r="AV55" s="91">
        <f>'S-08-12 (2020)'!V4</f>
        <v>105.09410552321242</v>
      </c>
      <c r="AW55" s="91">
        <f>'S-08-12 (2020)'!W4</f>
        <v>7.006273701547495</v>
      </c>
      <c r="AX55" s="91">
        <f>'S-08-12 (2020)'!X4</f>
        <v>43.351318528325123</v>
      </c>
      <c r="AY55" s="91">
        <f>'S-08-12 (2020)'!Y4</f>
        <v>2.8900879018883416</v>
      </c>
    </row>
    <row r="56" spans="1:51" ht="16.5" customHeight="1" thickTop="1" thickBot="1" x14ac:dyDescent="0.3">
      <c r="A56" s="110" t="s">
        <v>189</v>
      </c>
      <c r="B56" s="39" t="s">
        <v>192</v>
      </c>
      <c r="C56" s="39" t="s">
        <v>409</v>
      </c>
      <c r="D56" s="39" t="s">
        <v>346</v>
      </c>
      <c r="E56" s="110" t="s">
        <v>33</v>
      </c>
      <c r="F56" s="112" t="s">
        <v>33</v>
      </c>
      <c r="G56" s="39" t="s">
        <v>175</v>
      </c>
      <c r="H56">
        <v>16.25</v>
      </c>
      <c r="I56">
        <f>25-7.5</f>
        <v>17.5</v>
      </c>
      <c r="J56" s="41">
        <v>4.8</v>
      </c>
      <c r="K56" s="42" t="s">
        <v>171</v>
      </c>
      <c r="L56" s="43">
        <v>0.2</v>
      </c>
      <c r="M56" s="44">
        <v>18</v>
      </c>
      <c r="N56" s="42" t="s">
        <v>171</v>
      </c>
      <c r="O56" s="45">
        <f t="shared" si="18"/>
        <v>3.2273377339999998</v>
      </c>
      <c r="P56" s="46">
        <v>46</v>
      </c>
      <c r="Q56" s="42" t="s">
        <v>171</v>
      </c>
      <c r="R56" s="47">
        <f t="shared" si="19"/>
        <v>3.7405608359999998</v>
      </c>
      <c r="S56" s="48">
        <v>1.02</v>
      </c>
      <c r="T56" s="42" t="s">
        <v>171</v>
      </c>
      <c r="U56" s="49">
        <f t="shared" si="20"/>
        <v>0.21129634460000002</v>
      </c>
      <c r="V56" s="48">
        <v>0.96</v>
      </c>
      <c r="W56" s="42" t="s">
        <v>171</v>
      </c>
      <c r="X56" s="49">
        <f t="shared" si="21"/>
        <v>0.20677972280000001</v>
      </c>
      <c r="Y56" s="50">
        <v>0.06</v>
      </c>
      <c r="Z56" s="30">
        <v>1010</v>
      </c>
      <c r="AA56" s="26" t="s">
        <v>171</v>
      </c>
      <c r="AB56" s="24">
        <f t="shared" si="25"/>
        <v>55.55</v>
      </c>
      <c r="AC56" s="25">
        <v>5.8</v>
      </c>
      <c r="AD56" s="26" t="s">
        <v>171</v>
      </c>
      <c r="AE56" s="27">
        <f t="shared" si="22"/>
        <v>0.61529885959999997</v>
      </c>
      <c r="AF56" s="25">
        <v>2.6</v>
      </c>
      <c r="AG56" s="26" t="s">
        <v>171</v>
      </c>
      <c r="AH56" s="28">
        <f t="shared" si="23"/>
        <v>0.43732142760000003</v>
      </c>
      <c r="AI56" s="29">
        <v>8.4</v>
      </c>
      <c r="AJ56" s="26" t="s">
        <v>171</v>
      </c>
      <c r="AK56" s="28">
        <f t="shared" si="24"/>
        <v>1.2076811103999998</v>
      </c>
      <c r="AL56" s="136">
        <v>1002</v>
      </c>
      <c r="AM56" s="137"/>
      <c r="AN56" s="90">
        <f>'S-08-12 (2020)'!R34</f>
        <v>1.4943338881825337</v>
      </c>
      <c r="AO56" s="156">
        <f t="shared" si="13"/>
        <v>25.104809321466565</v>
      </c>
      <c r="AP56" s="94"/>
      <c r="AQ56" s="85"/>
      <c r="AR56" s="85"/>
      <c r="AS56" s="85"/>
      <c r="AT56" s="85"/>
      <c r="AU56" s="92"/>
      <c r="AV56" s="91"/>
      <c r="AW56" s="91"/>
      <c r="AX56" s="91"/>
      <c r="AY56" s="91"/>
    </row>
    <row r="57" spans="1:51" ht="17.100000000000001" customHeight="1" thickTop="1" thickBot="1" x14ac:dyDescent="0.3">
      <c r="A57" s="110" t="s">
        <v>189</v>
      </c>
      <c r="B57" s="38" t="s">
        <v>192</v>
      </c>
      <c r="C57" s="39" t="s">
        <v>409</v>
      </c>
      <c r="D57" s="39" t="s">
        <v>346</v>
      </c>
      <c r="E57" s="110" t="s">
        <v>33</v>
      </c>
      <c r="F57" s="112" t="s">
        <v>33</v>
      </c>
      <c r="G57" s="38" t="s">
        <v>176</v>
      </c>
      <c r="H57">
        <v>35</v>
      </c>
      <c r="I57" s="76">
        <f>45-25</f>
        <v>20</v>
      </c>
      <c r="J57" s="41">
        <v>5.0999999999999996</v>
      </c>
      <c r="K57" s="42" t="s">
        <v>171</v>
      </c>
      <c r="L57" s="43">
        <v>0.2</v>
      </c>
      <c r="M57" s="44">
        <v>17</v>
      </c>
      <c r="N57" s="42" t="s">
        <v>171</v>
      </c>
      <c r="O57" s="45">
        <f t="shared" si="18"/>
        <v>3.144513742</v>
      </c>
      <c r="P57" s="46">
        <v>34</v>
      </c>
      <c r="Q57" s="42" t="s">
        <v>171</v>
      </c>
      <c r="R57" s="47">
        <f t="shared" si="19"/>
        <v>2.6810574239999996</v>
      </c>
      <c r="S57" s="48">
        <v>0.85</v>
      </c>
      <c r="T57" s="42" t="s">
        <v>171</v>
      </c>
      <c r="U57" s="49">
        <f t="shared" si="20"/>
        <v>0.1984992495</v>
      </c>
      <c r="V57" s="48">
        <v>0.82</v>
      </c>
      <c r="W57" s="42" t="s">
        <v>171</v>
      </c>
      <c r="X57" s="49">
        <f t="shared" si="21"/>
        <v>0.1962409386</v>
      </c>
      <c r="Y57" s="50">
        <v>0.03</v>
      </c>
      <c r="Z57" s="30">
        <v>750</v>
      </c>
      <c r="AA57" s="26" t="s">
        <v>171</v>
      </c>
      <c r="AB57" s="24">
        <f t="shared" si="25"/>
        <v>41.25</v>
      </c>
      <c r="AC57" s="25">
        <v>4.2</v>
      </c>
      <c r="AD57" s="26" t="s">
        <v>171</v>
      </c>
      <c r="AE57" s="27">
        <f t="shared" si="22"/>
        <v>0.50000191240000003</v>
      </c>
      <c r="AF57" s="25">
        <v>2.82</v>
      </c>
      <c r="AG57" s="26" t="s">
        <v>171</v>
      </c>
      <c r="AH57" s="28">
        <f t="shared" si="23"/>
        <v>0.46816071321999997</v>
      </c>
      <c r="AI57" s="29">
        <v>7.02</v>
      </c>
      <c r="AJ57" s="26" t="s">
        <v>171</v>
      </c>
      <c r="AK57" s="28">
        <f t="shared" si="24"/>
        <v>1.1600771189199999</v>
      </c>
      <c r="AL57" s="136">
        <v>743</v>
      </c>
      <c r="AM57" s="137"/>
      <c r="AN57" s="151">
        <f>AN56+((AN56-AN58)/(H56-H58))*(H57-H56)</f>
        <v>1.5692275123440997</v>
      </c>
      <c r="AO57" s="156">
        <f t="shared" si="13"/>
        <v>25.735331202443234</v>
      </c>
      <c r="AP57" s="94"/>
      <c r="AQ57" s="85"/>
      <c r="AR57" s="85"/>
      <c r="AS57" s="85"/>
      <c r="AT57" s="85"/>
      <c r="AU57" s="92"/>
      <c r="AV57" s="91"/>
      <c r="AW57" s="91"/>
      <c r="AX57" s="91"/>
      <c r="AY57" s="91"/>
    </row>
    <row r="58" spans="1:51" ht="17.100000000000001" customHeight="1" thickTop="1" thickBot="1" x14ac:dyDescent="0.3">
      <c r="A58" s="110" t="s">
        <v>189</v>
      </c>
      <c r="B58" s="39" t="s">
        <v>192</v>
      </c>
      <c r="C58" s="39" t="s">
        <v>409</v>
      </c>
      <c r="D58" s="39" t="s">
        <v>346</v>
      </c>
      <c r="E58" s="110" t="s">
        <v>33</v>
      </c>
      <c r="F58" s="112" t="s">
        <v>33</v>
      </c>
      <c r="G58" s="39" t="s">
        <v>21</v>
      </c>
      <c r="H58">
        <v>52.5</v>
      </c>
      <c r="I58">
        <f>60-45</f>
        <v>15</v>
      </c>
      <c r="J58" s="41">
        <v>5</v>
      </c>
      <c r="K58" s="42" t="s">
        <v>171</v>
      </c>
      <c r="L58" s="43">
        <v>0.2</v>
      </c>
      <c r="M58" s="44">
        <v>3</v>
      </c>
      <c r="N58" s="42" t="s">
        <v>171</v>
      </c>
      <c r="O58" s="45">
        <f t="shared" si="18"/>
        <v>1.984977854</v>
      </c>
      <c r="P58" s="46">
        <v>18</v>
      </c>
      <c r="Q58" s="42" t="s">
        <v>171</v>
      </c>
      <c r="R58" s="47">
        <f t="shared" si="19"/>
        <v>1.2683862079999999</v>
      </c>
      <c r="S58" s="48">
        <v>0.4</v>
      </c>
      <c r="T58" s="42" t="s">
        <v>171</v>
      </c>
      <c r="U58" s="49">
        <f t="shared" si="20"/>
        <v>0.16462458600000002</v>
      </c>
      <c r="V58" s="48">
        <v>0.38</v>
      </c>
      <c r="W58" s="42" t="s">
        <v>171</v>
      </c>
      <c r="X58" s="49">
        <f t="shared" si="21"/>
        <v>0.1631190454</v>
      </c>
      <c r="Y58" s="50">
        <v>0.02</v>
      </c>
      <c r="Z58" s="30">
        <v>400</v>
      </c>
      <c r="AA58" s="26" t="s">
        <v>171</v>
      </c>
      <c r="AB58" s="24">
        <f t="shared" si="25"/>
        <v>22</v>
      </c>
      <c r="AC58" s="25">
        <v>0.35</v>
      </c>
      <c r="AD58" s="26" t="s">
        <v>171</v>
      </c>
      <c r="AE58" s="27">
        <f t="shared" si="22"/>
        <v>0.2225686332</v>
      </c>
      <c r="AF58" s="25">
        <v>1.28</v>
      </c>
      <c r="AG58" s="26" t="s">
        <v>171</v>
      </c>
      <c r="AH58" s="28">
        <f t="shared" si="23"/>
        <v>0.25228571387999998</v>
      </c>
      <c r="AI58" s="29">
        <v>1.63</v>
      </c>
      <c r="AJ58" s="26" t="s">
        <v>171</v>
      </c>
      <c r="AK58" s="28">
        <f t="shared" si="24"/>
        <v>0.97414558697999998</v>
      </c>
      <c r="AL58" s="136">
        <v>398</v>
      </c>
      <c r="AM58" s="137"/>
      <c r="AN58" s="144">
        <f>AN38</f>
        <v>1.6391282282282282</v>
      </c>
      <c r="AO58" s="156">
        <f t="shared" si="13"/>
        <v>9.3430309009009012</v>
      </c>
      <c r="AP58" s="94"/>
      <c r="AQ58" s="85"/>
      <c r="AR58" s="85"/>
      <c r="AS58" s="85"/>
      <c r="AT58" s="85"/>
      <c r="AU58" s="92"/>
      <c r="AV58" s="91"/>
      <c r="AW58" s="91"/>
      <c r="AX58" s="91"/>
      <c r="AY58" s="91"/>
    </row>
    <row r="59" spans="1:51" ht="15" customHeight="1" thickTop="1" thickBot="1" x14ac:dyDescent="0.3">
      <c r="A59" s="34" t="s">
        <v>187</v>
      </c>
      <c r="B59" s="39" t="s">
        <v>193</v>
      </c>
      <c r="C59" s="39" t="s">
        <v>97</v>
      </c>
      <c r="D59" s="39" t="s">
        <v>346</v>
      </c>
      <c r="E59" s="39" t="s">
        <v>376</v>
      </c>
      <c r="F59" s="39"/>
      <c r="G59" s="39" t="s">
        <v>177</v>
      </c>
      <c r="H59">
        <v>3.75</v>
      </c>
      <c r="I59">
        <v>7.5</v>
      </c>
      <c r="J59" s="41">
        <v>5.3</v>
      </c>
      <c r="K59" s="42" t="s">
        <v>171</v>
      </c>
      <c r="L59" s="43">
        <v>0.2</v>
      </c>
      <c r="M59" s="44">
        <v>74</v>
      </c>
      <c r="N59" s="42" t="s">
        <v>171</v>
      </c>
      <c r="O59" s="45">
        <f t="shared" si="18"/>
        <v>7.8654812859999996</v>
      </c>
      <c r="P59" s="46">
        <v>210</v>
      </c>
      <c r="Q59" s="42" t="s">
        <v>171</v>
      </c>
      <c r="R59" s="47">
        <f t="shared" si="19"/>
        <v>18.220440799999999</v>
      </c>
      <c r="S59" s="48">
        <v>2.06</v>
      </c>
      <c r="T59" s="42" t="s">
        <v>171</v>
      </c>
      <c r="U59" s="49">
        <f t="shared" si="20"/>
        <v>0.28958445580000003</v>
      </c>
      <c r="V59" s="48">
        <v>1.98</v>
      </c>
      <c r="W59" s="42" t="s">
        <v>171</v>
      </c>
      <c r="X59" s="49">
        <f t="shared" si="21"/>
        <v>0.2835622934</v>
      </c>
      <c r="Y59" s="50">
        <v>0.08</v>
      </c>
      <c r="Z59" s="30">
        <v>1760</v>
      </c>
      <c r="AA59" s="26" t="s">
        <v>171</v>
      </c>
      <c r="AB59" s="24">
        <f t="shared" si="25"/>
        <v>96.8</v>
      </c>
      <c r="AC59" s="25">
        <v>7.34</v>
      </c>
      <c r="AD59" s="26" t="s">
        <v>171</v>
      </c>
      <c r="AE59" s="27">
        <f t="shared" si="22"/>
        <v>0.72627217127999999</v>
      </c>
      <c r="AF59" s="25">
        <v>3.73</v>
      </c>
      <c r="AG59" s="26" t="s">
        <v>171</v>
      </c>
      <c r="AH59" s="28">
        <f t="shared" si="23"/>
        <v>0.59572321283000007</v>
      </c>
      <c r="AI59" s="29">
        <v>11.07</v>
      </c>
      <c r="AJ59" s="26" t="s">
        <v>171</v>
      </c>
      <c r="AK59" s="28">
        <f t="shared" si="24"/>
        <v>1.29978448522</v>
      </c>
      <c r="AL59" s="136">
        <v>1749</v>
      </c>
      <c r="AM59" s="137"/>
      <c r="AN59" s="150">
        <f>AN60-((AN60-AN62)/(H60-H62))*3.5</f>
        <v>1.4008633213413773</v>
      </c>
      <c r="AO59" s="156">
        <f t="shared" si="13"/>
        <v>20.802820321919452</v>
      </c>
      <c r="AP59" s="94"/>
      <c r="AQ59" s="85"/>
      <c r="AR59" s="85"/>
      <c r="AS59" s="85"/>
      <c r="AT59" s="85"/>
      <c r="AU59" s="92">
        <f>'S-08-12 (2020)'!BE4</f>
        <v>30</v>
      </c>
      <c r="AV59" s="91">
        <f>'S-08-12 (2020)'!BG4</f>
        <v>51.987280910602209</v>
      </c>
      <c r="AW59" s="91">
        <f>'S-08-12 (2020)'!BH4</f>
        <v>1.7329093636867403</v>
      </c>
      <c r="AX59" s="91">
        <f>'S-08-12 (2020)'!BI4</f>
        <v>26.78874004569855</v>
      </c>
      <c r="AY59" s="91">
        <f>'S-08-12 (2020)'!BJ4</f>
        <v>0.89295800152328497</v>
      </c>
    </row>
    <row r="60" spans="1:51" ht="17.100000000000001" customHeight="1" thickTop="1" thickBot="1" x14ac:dyDescent="0.3">
      <c r="A60" s="39" t="s">
        <v>187</v>
      </c>
      <c r="B60" s="39" t="s">
        <v>193</v>
      </c>
      <c r="C60" s="39" t="s">
        <v>97</v>
      </c>
      <c r="D60" s="39" t="s">
        <v>346</v>
      </c>
      <c r="E60" s="39" t="s">
        <v>376</v>
      </c>
      <c r="F60" s="39"/>
      <c r="G60" s="39" t="s">
        <v>175</v>
      </c>
      <c r="H60">
        <v>16.25</v>
      </c>
      <c r="I60">
        <f>25-7.5</f>
        <v>17.5</v>
      </c>
      <c r="J60" s="41">
        <v>5.2</v>
      </c>
      <c r="K60" s="42" t="s">
        <v>171</v>
      </c>
      <c r="L60" s="43">
        <v>0.2</v>
      </c>
      <c r="M60" s="44">
        <v>36</v>
      </c>
      <c r="N60" s="42" t="s">
        <v>171</v>
      </c>
      <c r="O60" s="45">
        <f t="shared" si="18"/>
        <v>4.7181695900000005</v>
      </c>
      <c r="P60" s="46">
        <v>107</v>
      </c>
      <c r="Q60" s="42" t="s">
        <v>171</v>
      </c>
      <c r="R60" s="47">
        <f t="shared" si="19"/>
        <v>9.1263698469999994</v>
      </c>
      <c r="S60" s="48">
        <v>1.26</v>
      </c>
      <c r="T60" s="42" t="s">
        <v>171</v>
      </c>
      <c r="U60" s="49">
        <f t="shared" si="20"/>
        <v>0.2293628318</v>
      </c>
      <c r="V60" s="48">
        <v>1.1100000000000001</v>
      </c>
      <c r="W60" s="42" t="s">
        <v>171</v>
      </c>
      <c r="X60" s="49">
        <f t="shared" si="21"/>
        <v>0.2180712773</v>
      </c>
      <c r="Y60" s="50">
        <v>0.15</v>
      </c>
      <c r="Z60" s="30">
        <v>1000</v>
      </c>
      <c r="AA60" s="26" t="s">
        <v>171</v>
      </c>
      <c r="AB60" s="24">
        <f t="shared" si="25"/>
        <v>55</v>
      </c>
      <c r="AC60" s="25">
        <v>9.02</v>
      </c>
      <c r="AD60" s="26" t="s">
        <v>171</v>
      </c>
      <c r="AE60" s="27">
        <f t="shared" si="22"/>
        <v>0.84733396583999998</v>
      </c>
      <c r="AF60" s="25">
        <v>1.51</v>
      </c>
      <c r="AG60" s="26" t="s">
        <v>171</v>
      </c>
      <c r="AH60" s="28">
        <f t="shared" si="23"/>
        <v>0.28452678521000002</v>
      </c>
      <c r="AI60" s="29">
        <v>10.53</v>
      </c>
      <c r="AJ60" s="26" t="s">
        <v>171</v>
      </c>
      <c r="AK60" s="28">
        <f t="shared" si="24"/>
        <v>1.2811568363799999</v>
      </c>
      <c r="AL60" s="136">
        <v>989</v>
      </c>
      <c r="AM60" s="137"/>
      <c r="AN60" s="90">
        <f>'S-08-12 (2020)'!BD34</f>
        <v>1.4218426213188358</v>
      </c>
      <c r="AO60" s="156">
        <f t="shared" si="13"/>
        <v>27.619292919118386</v>
      </c>
      <c r="AP60" s="94"/>
      <c r="AQ60" s="85"/>
      <c r="AR60" s="85"/>
      <c r="AS60" s="85"/>
      <c r="AT60" s="85"/>
      <c r="AU60" s="92"/>
      <c r="AV60" s="91"/>
      <c r="AW60" s="91"/>
      <c r="AX60" s="91"/>
      <c r="AY60" s="91"/>
    </row>
    <row r="61" spans="1:51" ht="15.95" customHeight="1" thickTop="1" thickBot="1" x14ac:dyDescent="0.3">
      <c r="A61" s="34" t="s">
        <v>187</v>
      </c>
      <c r="B61" s="39" t="s">
        <v>97</v>
      </c>
      <c r="C61" s="39" t="s">
        <v>97</v>
      </c>
      <c r="D61" s="39" t="s">
        <v>346</v>
      </c>
      <c r="E61" s="39" t="s">
        <v>376</v>
      </c>
      <c r="F61" s="39"/>
      <c r="G61" s="39" t="s">
        <v>176</v>
      </c>
      <c r="H61">
        <v>35</v>
      </c>
      <c r="I61" s="76">
        <f>45-25</f>
        <v>20</v>
      </c>
      <c r="J61" s="41">
        <v>5.5</v>
      </c>
      <c r="K61" s="42" t="s">
        <v>171</v>
      </c>
      <c r="L61" s="43">
        <v>0.2</v>
      </c>
      <c r="M61" s="44">
        <v>7</v>
      </c>
      <c r="N61" s="42" t="s">
        <v>171</v>
      </c>
      <c r="O61" s="45">
        <f t="shared" ref="O61:O83" si="26">M61*0.082823992+1.736505878</f>
        <v>2.3162738219999999</v>
      </c>
      <c r="P61" s="46">
        <v>72</v>
      </c>
      <c r="Q61" s="42" t="s">
        <v>171</v>
      </c>
      <c r="R61" s="47">
        <f t="shared" ref="R61:R83" si="27">P61*0.088291951-0.32086891</f>
        <v>6.0361515619999997</v>
      </c>
      <c r="S61" s="48">
        <v>0.77</v>
      </c>
      <c r="T61" s="42" t="s">
        <v>171</v>
      </c>
      <c r="U61" s="49">
        <f t="shared" ref="U61:U83" si="28">S61*0.07527703+0.134513774</f>
        <v>0.1924770871</v>
      </c>
      <c r="V61" s="48">
        <v>0.75</v>
      </c>
      <c r="W61" s="42" t="s">
        <v>171</v>
      </c>
      <c r="X61" s="49">
        <f t="shared" ref="X61:X83" si="29">V61*0.07527703+0.134513774</f>
        <v>0.19097154650000001</v>
      </c>
      <c r="Y61" s="50">
        <v>0.02</v>
      </c>
      <c r="Z61" s="30">
        <v>750</v>
      </c>
      <c r="AA61" s="26" t="s">
        <v>171</v>
      </c>
      <c r="AB61" s="24">
        <f t="shared" si="25"/>
        <v>41.25</v>
      </c>
      <c r="AC61" s="25">
        <v>6.54</v>
      </c>
      <c r="AD61" s="26" t="s">
        <v>171</v>
      </c>
      <c r="AE61" s="27">
        <f t="shared" si="22"/>
        <v>0.66862369767999996</v>
      </c>
      <c r="AF61" s="25">
        <v>1.21</v>
      </c>
      <c r="AG61" s="26" t="s">
        <v>171</v>
      </c>
      <c r="AH61" s="28">
        <f t="shared" si="23"/>
        <v>0.24247321390999999</v>
      </c>
      <c r="AI61" s="29">
        <v>7.75</v>
      </c>
      <c r="AJ61" s="26" t="s">
        <v>171</v>
      </c>
      <c r="AK61" s="28">
        <f t="shared" si="24"/>
        <v>1.1852589404999998</v>
      </c>
      <c r="AL61" s="136">
        <v>742</v>
      </c>
      <c r="AM61" s="137"/>
      <c r="AN61" s="151">
        <f>AN60+((AN60-AN62)/(H60-H62))*(H61-H60)</f>
        <v>1.5342317283409352</v>
      </c>
      <c r="AO61" s="156">
        <f t="shared" si="13"/>
        <v>23.01347592511403</v>
      </c>
      <c r="AP61" s="94"/>
      <c r="AQ61" s="85"/>
      <c r="AR61" s="85"/>
      <c r="AS61" s="85"/>
      <c r="AT61" s="85"/>
      <c r="AU61" s="92"/>
      <c r="AV61" s="91"/>
      <c r="AW61" s="91"/>
      <c r="AX61" s="91"/>
      <c r="AY61" s="91"/>
    </row>
    <row r="62" spans="1:51" ht="15.6" customHeight="1" thickTop="1" thickBot="1" x14ac:dyDescent="0.3">
      <c r="A62" s="35" t="s">
        <v>187</v>
      </c>
      <c r="B62" s="38" t="s">
        <v>193</v>
      </c>
      <c r="C62" s="112" t="s">
        <v>97</v>
      </c>
      <c r="D62" s="38" t="s">
        <v>346</v>
      </c>
      <c r="E62" s="39" t="s">
        <v>376</v>
      </c>
      <c r="F62" s="39"/>
      <c r="G62" s="38" t="s">
        <v>21</v>
      </c>
      <c r="H62">
        <v>52.5</v>
      </c>
      <c r="I62">
        <f>60-45</f>
        <v>15</v>
      </c>
      <c r="J62" s="41">
        <v>5.8</v>
      </c>
      <c r="K62" s="42" t="s">
        <v>171</v>
      </c>
      <c r="L62" s="43">
        <v>0.2</v>
      </c>
      <c r="M62" s="44">
        <v>26</v>
      </c>
      <c r="N62" s="42" t="s">
        <v>171</v>
      </c>
      <c r="O62" s="45">
        <f t="shared" si="26"/>
        <v>3.8899296699999999</v>
      </c>
      <c r="P62" s="46">
        <v>52</v>
      </c>
      <c r="Q62" s="42" t="s">
        <v>171</v>
      </c>
      <c r="R62" s="47">
        <f t="shared" si="27"/>
        <v>4.2703125420000001</v>
      </c>
      <c r="S62" s="48">
        <v>0.53</v>
      </c>
      <c r="T62" s="42" t="s">
        <v>171</v>
      </c>
      <c r="U62" s="49">
        <f t="shared" si="28"/>
        <v>0.17441059990000002</v>
      </c>
      <c r="V62" s="48">
        <v>0.5</v>
      </c>
      <c r="W62" s="42" t="s">
        <v>171</v>
      </c>
      <c r="X62" s="49">
        <f t="shared" si="29"/>
        <v>0.17215228900000001</v>
      </c>
      <c r="Y62" s="50">
        <v>0.03</v>
      </c>
      <c r="Z62" s="30">
        <v>500</v>
      </c>
      <c r="AA62" s="26" t="s">
        <v>171</v>
      </c>
      <c r="AB62" s="24">
        <f t="shared" si="25"/>
        <v>27.5</v>
      </c>
      <c r="AC62" s="25">
        <v>1.79</v>
      </c>
      <c r="AD62" s="26" t="s">
        <v>171</v>
      </c>
      <c r="AE62" s="27">
        <f t="shared" si="22"/>
        <v>0.32633588568000005</v>
      </c>
      <c r="AF62" s="25">
        <v>1.22</v>
      </c>
      <c r="AG62" s="26" t="s">
        <v>171</v>
      </c>
      <c r="AH62" s="28">
        <f t="shared" si="23"/>
        <v>0.24387499961999998</v>
      </c>
      <c r="AI62" s="29">
        <v>3.01</v>
      </c>
      <c r="AJ62" s="26" t="s">
        <v>171</v>
      </c>
      <c r="AK62" s="28">
        <f t="shared" si="24"/>
        <v>1.0217495784599999</v>
      </c>
      <c r="AL62" s="136">
        <v>497</v>
      </c>
      <c r="AM62" s="137"/>
      <c r="AN62" s="144">
        <f>AN38</f>
        <v>1.6391282282282282</v>
      </c>
      <c r="AO62" s="156">
        <f t="shared" si="13"/>
        <v>12.293461711711712</v>
      </c>
      <c r="AP62" s="94"/>
      <c r="AQ62" s="85"/>
      <c r="AR62" s="85"/>
      <c r="AS62" s="85"/>
      <c r="AT62" s="85"/>
      <c r="AU62" s="92"/>
      <c r="AV62" s="91"/>
      <c r="AW62" s="91"/>
      <c r="AX62" s="91"/>
      <c r="AY62" s="91"/>
    </row>
    <row r="63" spans="1:51" ht="15.95" customHeight="1" thickTop="1" thickBot="1" x14ac:dyDescent="0.3">
      <c r="A63" s="34" t="s">
        <v>194</v>
      </c>
      <c r="B63" s="39" t="s">
        <v>180</v>
      </c>
      <c r="C63" s="111" t="s">
        <v>81</v>
      </c>
      <c r="D63" s="39" t="s">
        <v>346</v>
      </c>
      <c r="E63" s="39" t="s">
        <v>392</v>
      </c>
      <c r="F63" t="s">
        <v>25</v>
      </c>
      <c r="G63" s="39" t="s">
        <v>177</v>
      </c>
      <c r="H63">
        <v>3.75</v>
      </c>
      <c r="I63">
        <v>7.5</v>
      </c>
      <c r="J63" s="41">
        <v>4.9000000000000004</v>
      </c>
      <c r="K63" s="42" t="s">
        <v>171</v>
      </c>
      <c r="L63" s="43">
        <v>0.2</v>
      </c>
      <c r="M63" s="44">
        <v>78</v>
      </c>
      <c r="N63" s="42" t="s">
        <v>171</v>
      </c>
      <c r="O63" s="45">
        <f t="shared" si="26"/>
        <v>8.1967772540000006</v>
      </c>
      <c r="P63" s="46">
        <v>133</v>
      </c>
      <c r="Q63" s="42" t="s">
        <v>171</v>
      </c>
      <c r="R63" s="47">
        <f t="shared" si="27"/>
        <v>11.421960573</v>
      </c>
      <c r="S63" s="48">
        <v>2.56</v>
      </c>
      <c r="T63" s="42" t="s">
        <v>171</v>
      </c>
      <c r="U63" s="49">
        <f t="shared" si="28"/>
        <v>0.32722297079999996</v>
      </c>
      <c r="V63" s="48">
        <v>2.5299999999999998</v>
      </c>
      <c r="W63" s="42" t="s">
        <v>171</v>
      </c>
      <c r="X63" s="49">
        <f t="shared" si="29"/>
        <v>0.32496465990000001</v>
      </c>
      <c r="Y63" s="50">
        <v>0.03</v>
      </c>
      <c r="Z63" s="30">
        <v>2180</v>
      </c>
      <c r="AA63" s="26" t="s">
        <v>171</v>
      </c>
      <c r="AB63" s="24">
        <f t="shared" si="25"/>
        <v>119.9</v>
      </c>
      <c r="AC63" s="25">
        <v>12.69</v>
      </c>
      <c r="AD63" s="26" t="s">
        <v>171</v>
      </c>
      <c r="AE63" s="27">
        <f t="shared" si="22"/>
        <v>1.11179633848</v>
      </c>
      <c r="AF63" s="25">
        <v>3.67</v>
      </c>
      <c r="AG63" s="26" t="s">
        <v>171</v>
      </c>
      <c r="AH63" s="28">
        <f t="shared" si="23"/>
        <v>0.58731249857000001</v>
      </c>
      <c r="AI63" s="29">
        <v>16.39</v>
      </c>
      <c r="AJ63" s="26" t="s">
        <v>171</v>
      </c>
      <c r="AK63" s="28">
        <f t="shared" si="24"/>
        <v>1.48330132194</v>
      </c>
      <c r="AL63" s="136">
        <v>2164</v>
      </c>
      <c r="AM63" s="137"/>
      <c r="AN63" s="150">
        <f>AN64-((AN64-AN66)/(H64-H66))*3.5</f>
        <v>1.1265000614119101</v>
      </c>
      <c r="AO63" s="156">
        <f t="shared" si="13"/>
        <v>21.375338665290993</v>
      </c>
      <c r="AP63" s="94">
        <f>'PoplarPlots(2000)'!E32</f>
        <v>9.5</v>
      </c>
      <c r="AQ63" s="85">
        <f>'PoplarPlots(2000)'!L32</f>
        <v>150.82516060107167</v>
      </c>
      <c r="AR63" s="85">
        <f>'PoplarPlots(2000)'!M32</f>
        <v>15.876332694849649</v>
      </c>
      <c r="AS63" s="85">
        <f>'PoplarPlots(2000)'!N32</f>
        <v>62.215378747942061</v>
      </c>
      <c r="AT63" s="85">
        <f>'PoplarPlots(2000)'!O32</f>
        <v>6.5489872366254804</v>
      </c>
      <c r="AU63" s="92">
        <f>'S-04-06 (2020)'!F5</f>
        <v>15</v>
      </c>
      <c r="AV63" s="91">
        <f>'S-04-06 (2020)'!H5</f>
        <v>310.76421103156832</v>
      </c>
      <c r="AW63" s="91">
        <f>'S-04-06 (2020)'!I5</f>
        <v>20.717614068771223</v>
      </c>
      <c r="AX63" s="91">
        <f>'S-04-06 (2020)'!J5</f>
        <v>128.19023705052194</v>
      </c>
      <c r="AY63" s="91">
        <f>'S-04-06 (2020)'!K5</f>
        <v>8.5460158033681299</v>
      </c>
    </row>
    <row r="64" spans="1:51" ht="15.95" customHeight="1" thickTop="1" thickBot="1" x14ac:dyDescent="0.3">
      <c r="A64" s="35" t="s">
        <v>195</v>
      </c>
      <c r="B64" s="38" t="s">
        <v>182</v>
      </c>
      <c r="C64" s="111" t="s">
        <v>81</v>
      </c>
      <c r="D64" s="39" t="s">
        <v>346</v>
      </c>
      <c r="E64" s="38" t="s">
        <v>392</v>
      </c>
      <c r="F64" t="s">
        <v>25</v>
      </c>
      <c r="G64" s="38" t="s">
        <v>175</v>
      </c>
      <c r="H64">
        <v>16.25</v>
      </c>
      <c r="I64">
        <f>25-7.5</f>
        <v>17.5</v>
      </c>
      <c r="J64" s="41">
        <v>4.9000000000000004</v>
      </c>
      <c r="K64" s="42" t="s">
        <v>171</v>
      </c>
      <c r="L64" s="43">
        <v>0.2</v>
      </c>
      <c r="M64" s="44">
        <v>70</v>
      </c>
      <c r="N64" s="42" t="s">
        <v>171</v>
      </c>
      <c r="O64" s="45">
        <f t="shared" si="26"/>
        <v>7.5341853179999996</v>
      </c>
      <c r="P64" s="46">
        <v>84</v>
      </c>
      <c r="Q64" s="42" t="s">
        <v>171</v>
      </c>
      <c r="R64" s="47">
        <f t="shared" si="27"/>
        <v>7.0956549739999994</v>
      </c>
      <c r="S64" s="48">
        <v>1.49</v>
      </c>
      <c r="T64" s="42" t="s">
        <v>171</v>
      </c>
      <c r="U64" s="49">
        <f t="shared" si="28"/>
        <v>0.2466765487</v>
      </c>
      <c r="V64" s="48">
        <v>1.45</v>
      </c>
      <c r="W64" s="42" t="s">
        <v>171</v>
      </c>
      <c r="X64" s="49">
        <f t="shared" si="29"/>
        <v>0.24366546750000001</v>
      </c>
      <c r="Y64" s="50">
        <v>0.04</v>
      </c>
      <c r="Z64" s="30">
        <v>1260</v>
      </c>
      <c r="AA64" s="26" t="s">
        <v>171</v>
      </c>
      <c r="AB64" s="24">
        <f t="shared" si="25"/>
        <v>69.3</v>
      </c>
      <c r="AC64" s="25">
        <v>4.6900000000000004</v>
      </c>
      <c r="AD64" s="26" t="s">
        <v>171</v>
      </c>
      <c r="AE64" s="27">
        <f t="shared" si="22"/>
        <v>0.53531160247999998</v>
      </c>
      <c r="AF64" s="25">
        <v>1.39</v>
      </c>
      <c r="AG64" s="26" t="s">
        <v>171</v>
      </c>
      <c r="AH64" s="28">
        <f t="shared" si="23"/>
        <v>0.26770535669000001</v>
      </c>
      <c r="AI64" s="29">
        <v>6.08</v>
      </c>
      <c r="AJ64" s="26" t="s">
        <v>171</v>
      </c>
      <c r="AK64" s="28">
        <f t="shared" si="24"/>
        <v>1.1276512116799999</v>
      </c>
      <c r="AL64" s="136">
        <v>1254</v>
      </c>
      <c r="AM64" s="137"/>
      <c r="AN64" s="90">
        <f>'S-04-06 (2020)'!E33</f>
        <v>1.1707949697862783</v>
      </c>
      <c r="AO64" s="156">
        <f t="shared" si="13"/>
        <v>29.708922358326809</v>
      </c>
      <c r="AP64" s="94"/>
      <c r="AQ64" s="85"/>
      <c r="AR64" s="85"/>
      <c r="AS64" s="85"/>
      <c r="AT64" s="85"/>
      <c r="AU64" s="92"/>
      <c r="AV64" s="91"/>
      <c r="AW64" s="91"/>
      <c r="AX64" s="91"/>
      <c r="AY64" s="91"/>
    </row>
    <row r="65" spans="1:51" ht="15.6" customHeight="1" thickTop="1" thickBot="1" x14ac:dyDescent="0.3">
      <c r="A65" s="34" t="s">
        <v>195</v>
      </c>
      <c r="B65" s="39" t="s">
        <v>180</v>
      </c>
      <c r="C65" s="111" t="s">
        <v>81</v>
      </c>
      <c r="D65" s="106" t="s">
        <v>346</v>
      </c>
      <c r="E65" s="39" t="s">
        <v>392</v>
      </c>
      <c r="F65" t="s">
        <v>25</v>
      </c>
      <c r="G65" s="39" t="s">
        <v>176</v>
      </c>
      <c r="H65">
        <v>35</v>
      </c>
      <c r="I65" s="76">
        <f>45-25</f>
        <v>20</v>
      </c>
      <c r="J65" s="41">
        <v>4.9000000000000004</v>
      </c>
      <c r="K65" s="42" t="s">
        <v>171</v>
      </c>
      <c r="L65" s="43">
        <v>0.2</v>
      </c>
      <c r="M65" s="44">
        <v>29</v>
      </c>
      <c r="N65" s="42" t="s">
        <v>171</v>
      </c>
      <c r="O65" s="45">
        <f t="shared" si="26"/>
        <v>4.1384016460000002</v>
      </c>
      <c r="P65" s="46">
        <v>55</v>
      </c>
      <c r="Q65" s="42" t="s">
        <v>171</v>
      </c>
      <c r="R65" s="47">
        <f t="shared" si="27"/>
        <v>4.5351883949999996</v>
      </c>
      <c r="S65" s="48">
        <v>1.02</v>
      </c>
      <c r="T65" s="42" t="s">
        <v>171</v>
      </c>
      <c r="U65" s="49">
        <f t="shared" si="28"/>
        <v>0.21129634460000002</v>
      </c>
      <c r="V65" s="48">
        <v>1.01</v>
      </c>
      <c r="W65" s="42" t="s">
        <v>171</v>
      </c>
      <c r="X65" s="49">
        <f t="shared" si="29"/>
        <v>0.21054357429999998</v>
      </c>
      <c r="Y65" s="50">
        <v>0.01</v>
      </c>
      <c r="Z65" s="30">
        <v>1160</v>
      </c>
      <c r="AA65" s="26" t="s">
        <v>171</v>
      </c>
      <c r="AB65" s="24">
        <f t="shared" si="25"/>
        <v>63.8</v>
      </c>
      <c r="AC65" s="25">
        <v>1.35</v>
      </c>
      <c r="AD65" s="26" t="s">
        <v>171</v>
      </c>
      <c r="AE65" s="27">
        <f t="shared" si="22"/>
        <v>0.29462922520000001</v>
      </c>
      <c r="AF65" s="25">
        <v>0.82</v>
      </c>
      <c r="AG65" s="26" t="s">
        <v>171</v>
      </c>
      <c r="AH65" s="28">
        <f t="shared" si="23"/>
        <v>0.18780357121999999</v>
      </c>
      <c r="AI65" s="29">
        <v>2.17</v>
      </c>
      <c r="AJ65" s="26" t="s">
        <v>171</v>
      </c>
      <c r="AK65" s="28">
        <f t="shared" si="24"/>
        <v>0.99277323581999999</v>
      </c>
      <c r="AL65" s="136">
        <v>1158</v>
      </c>
      <c r="AM65" s="137"/>
      <c r="AN65" s="151">
        <f>AN64+((AN64-AN66)/(H64-H66))*(H65-H64)</f>
        <v>1.4080891217918223</v>
      </c>
      <c r="AO65" s="156">
        <f t="shared" si="13"/>
        <v>28.44340026019481</v>
      </c>
      <c r="AP65" s="94"/>
      <c r="AQ65" s="85"/>
      <c r="AR65" s="85"/>
      <c r="AS65" s="85"/>
      <c r="AT65" s="85"/>
      <c r="AU65" s="92"/>
      <c r="AV65" s="91"/>
      <c r="AW65" s="91"/>
      <c r="AX65" s="91"/>
      <c r="AY65" s="91"/>
    </row>
    <row r="66" spans="1:51" s="164" customFormat="1" ht="15" customHeight="1" thickTop="1" thickBot="1" x14ac:dyDescent="0.3">
      <c r="A66" s="160" t="s">
        <v>195</v>
      </c>
      <c r="B66" s="161" t="s">
        <v>180</v>
      </c>
      <c r="C66" s="162" t="s">
        <v>81</v>
      </c>
      <c r="D66" s="163" t="s">
        <v>346</v>
      </c>
      <c r="E66" s="161" t="s">
        <v>392</v>
      </c>
      <c r="F66" s="164" t="s">
        <v>25</v>
      </c>
      <c r="G66" s="161" t="s">
        <v>21</v>
      </c>
      <c r="H66" s="164">
        <v>52.5</v>
      </c>
      <c r="I66" s="164">
        <f>'S-04-06 (2020)'!B50-45</f>
        <v>8.2000000000000028</v>
      </c>
      <c r="J66" s="165">
        <v>4.9000000000000004</v>
      </c>
      <c r="K66" s="166" t="s">
        <v>171</v>
      </c>
      <c r="L66" s="167">
        <v>0.2</v>
      </c>
      <c r="M66" s="168">
        <v>21</v>
      </c>
      <c r="N66" s="166" t="s">
        <v>171</v>
      </c>
      <c r="O66" s="169">
        <f t="shared" si="26"/>
        <v>3.4758097100000001</v>
      </c>
      <c r="P66" s="170">
        <v>49</v>
      </c>
      <c r="Q66" s="166" t="s">
        <v>171</v>
      </c>
      <c r="R66" s="171">
        <f t="shared" si="27"/>
        <v>4.0054366889999997</v>
      </c>
      <c r="S66" s="172">
        <v>0.43</v>
      </c>
      <c r="T66" s="166" t="s">
        <v>171</v>
      </c>
      <c r="U66" s="173">
        <f t="shared" si="28"/>
        <v>0.16688289689999999</v>
      </c>
      <c r="V66" s="172">
        <v>0.41</v>
      </c>
      <c r="W66" s="166" t="s">
        <v>171</v>
      </c>
      <c r="X66" s="173">
        <f t="shared" si="29"/>
        <v>0.1653773563</v>
      </c>
      <c r="Y66" s="174">
        <v>0.02</v>
      </c>
      <c r="Z66" s="175">
        <v>820</v>
      </c>
      <c r="AA66" s="176" t="s">
        <v>171</v>
      </c>
      <c r="AB66" s="177">
        <f t="shared" si="25"/>
        <v>45.1</v>
      </c>
      <c r="AC66" s="178">
        <v>0.08</v>
      </c>
      <c r="AD66" s="176" t="s">
        <v>171</v>
      </c>
      <c r="AE66" s="179">
        <f t="shared" si="22"/>
        <v>0.20311227335999998</v>
      </c>
      <c r="AF66" s="178">
        <v>0.82</v>
      </c>
      <c r="AG66" s="176" t="s">
        <v>171</v>
      </c>
      <c r="AH66" s="180">
        <f t="shared" si="23"/>
        <v>0.18780357121999999</v>
      </c>
      <c r="AI66" s="181">
        <v>0.9</v>
      </c>
      <c r="AJ66" s="176" t="s">
        <v>171</v>
      </c>
      <c r="AK66" s="180">
        <f t="shared" si="24"/>
        <v>0.94896376539999994</v>
      </c>
      <c r="AL66" s="182">
        <v>819</v>
      </c>
      <c r="AM66" s="183"/>
      <c r="AN66" s="184">
        <f>AVERAGE(SoilAgric2000_BD!AK17,SoilAgric2000_BD!AK25,SoilWoodyCrop_BD!AJ17,SoilWoodyCrop_BD!AJ25)</f>
        <v>1.6295636636636637</v>
      </c>
      <c r="AO66" s="185">
        <f t="shared" si="13"/>
        <v>5.4785930372372391</v>
      </c>
      <c r="AP66" s="186"/>
      <c r="AQ66" s="187"/>
      <c r="AR66" s="187"/>
      <c r="AS66" s="187"/>
      <c r="AT66" s="187"/>
      <c r="AU66" s="188"/>
      <c r="AV66" s="189"/>
      <c r="AW66" s="189"/>
      <c r="AX66" s="189"/>
      <c r="AY66" s="189"/>
    </row>
    <row r="67" spans="1:51" ht="15.95" customHeight="1" thickTop="1" thickBot="1" x14ac:dyDescent="0.3">
      <c r="A67" s="34" t="s">
        <v>195</v>
      </c>
      <c r="B67" s="39" t="s">
        <v>184</v>
      </c>
      <c r="C67" s="111" t="s">
        <v>81</v>
      </c>
      <c r="D67" s="39" t="s">
        <v>346</v>
      </c>
      <c r="E67" s="106" t="s">
        <v>393</v>
      </c>
      <c r="F67" s="112" t="s">
        <v>26</v>
      </c>
      <c r="G67" s="39" t="s">
        <v>177</v>
      </c>
      <c r="H67">
        <v>3.75</v>
      </c>
      <c r="I67">
        <v>7.5</v>
      </c>
      <c r="J67" s="41">
        <v>6.4</v>
      </c>
      <c r="K67" s="42" t="s">
        <v>171</v>
      </c>
      <c r="L67" s="43">
        <v>0.2</v>
      </c>
      <c r="M67" s="44">
        <v>258</v>
      </c>
      <c r="N67" s="42" t="s">
        <v>171</v>
      </c>
      <c r="O67" s="45">
        <f t="shared" si="26"/>
        <v>23.105095813999998</v>
      </c>
      <c r="P67" s="46">
        <v>292</v>
      </c>
      <c r="Q67" s="42" t="s">
        <v>171</v>
      </c>
      <c r="R67" s="47">
        <f t="shared" si="27"/>
        <v>25.460380781999998</v>
      </c>
      <c r="S67" s="48">
        <v>2.41</v>
      </c>
      <c r="T67" s="42" t="s">
        <v>171</v>
      </c>
      <c r="U67" s="49">
        <f t="shared" si="28"/>
        <v>0.31593141629999999</v>
      </c>
      <c r="V67" s="48">
        <v>2.2599999999999998</v>
      </c>
      <c r="W67" s="42" t="s">
        <v>171</v>
      </c>
      <c r="X67" s="49">
        <f t="shared" si="29"/>
        <v>0.30463986179999997</v>
      </c>
      <c r="Y67" s="50">
        <v>0.15</v>
      </c>
      <c r="Z67" s="30">
        <v>1810</v>
      </c>
      <c r="AA67" s="26" t="s">
        <v>171</v>
      </c>
      <c r="AB67" s="24">
        <f t="shared" si="25"/>
        <v>99.55</v>
      </c>
      <c r="AC67" s="25">
        <v>12.26</v>
      </c>
      <c r="AD67" s="26" t="s">
        <v>171</v>
      </c>
      <c r="AE67" s="27">
        <f t="shared" si="22"/>
        <v>1.08081028392</v>
      </c>
      <c r="AF67" s="25">
        <v>2.77</v>
      </c>
      <c r="AG67" s="26" t="s">
        <v>171</v>
      </c>
      <c r="AH67" s="28">
        <f t="shared" si="23"/>
        <v>0.46115178467000001</v>
      </c>
      <c r="AI67" s="29">
        <v>15.03</v>
      </c>
      <c r="AJ67" s="26" t="s">
        <v>171</v>
      </c>
      <c r="AK67" s="28">
        <f t="shared" si="24"/>
        <v>1.43638724338</v>
      </c>
      <c r="AL67" s="136">
        <v>1795</v>
      </c>
      <c r="AM67" s="137"/>
      <c r="AN67" s="150">
        <f>AN68-((AN68-AN70)/(H68-H70))*3.5</f>
        <v>1.4172018597822895</v>
      </c>
      <c r="AO67" s="156">
        <f t="shared" si="13"/>
        <v>24.021571523309802</v>
      </c>
      <c r="AP67" s="94">
        <f>'PoplarPlots(2000)'!E42</f>
        <v>9.5</v>
      </c>
      <c r="AQ67" s="85">
        <f>'PoplarPlots(2000)'!L42</f>
        <v>149.24399851836134</v>
      </c>
      <c r="AR67" s="85">
        <f>'PoplarPlots(2000)'!M42</f>
        <v>15.709894580880141</v>
      </c>
      <c r="AS67" s="85">
        <f>'PoplarPlots(2000)'!N42</f>
        <v>61.563149388824051</v>
      </c>
      <c r="AT67" s="85">
        <f>'PoplarPlots(2000)'!O42</f>
        <v>6.4803315146130585</v>
      </c>
      <c r="AU67" s="92">
        <f>'S-04-06 (2020)'!R5</f>
        <v>15</v>
      </c>
      <c r="AV67" s="91">
        <f>'S-04-06 (2020)'!T5</f>
        <v>267.7823346177293</v>
      </c>
      <c r="AW67" s="91">
        <f>'S-04-06 (2020)'!U5</f>
        <v>17.852155641181955</v>
      </c>
      <c r="AX67" s="91">
        <f>'S-04-06 (2020)'!V5</f>
        <v>110.46021302981333</v>
      </c>
      <c r="AY67" s="91">
        <f>'S-04-06 (2020)'!W5</f>
        <v>7.3640142019875556</v>
      </c>
    </row>
    <row r="68" spans="1:51" ht="15" customHeight="1" thickTop="1" thickBot="1" x14ac:dyDescent="0.3">
      <c r="A68" s="35" t="s">
        <v>195</v>
      </c>
      <c r="B68" s="38" t="s">
        <v>184</v>
      </c>
      <c r="C68" s="111" t="s">
        <v>81</v>
      </c>
      <c r="D68" s="106" t="s">
        <v>346</v>
      </c>
      <c r="E68" s="38" t="s">
        <v>393</v>
      </c>
      <c r="F68" s="112" t="s">
        <v>26</v>
      </c>
      <c r="G68" s="38" t="s">
        <v>175</v>
      </c>
      <c r="H68">
        <v>16.25</v>
      </c>
      <c r="I68">
        <f>25-7.5</f>
        <v>17.5</v>
      </c>
      <c r="J68" s="41">
        <v>7.1</v>
      </c>
      <c r="K68" s="42" t="s">
        <v>171</v>
      </c>
      <c r="L68" s="43">
        <v>0.2</v>
      </c>
      <c r="M68" s="44">
        <v>146</v>
      </c>
      <c r="N68" s="42" t="s">
        <v>171</v>
      </c>
      <c r="O68" s="45">
        <f t="shared" si="26"/>
        <v>13.828808710000001</v>
      </c>
      <c r="P68" s="46">
        <v>126</v>
      </c>
      <c r="Q68" s="42" t="s">
        <v>171</v>
      </c>
      <c r="R68" s="47">
        <f t="shared" si="27"/>
        <v>10.803916915999999</v>
      </c>
      <c r="S68" s="48">
        <v>1.08</v>
      </c>
      <c r="T68" s="42" t="s">
        <v>171</v>
      </c>
      <c r="U68" s="49">
        <f t="shared" si="28"/>
        <v>0.2158129664</v>
      </c>
      <c r="V68" s="48">
        <v>1.01</v>
      </c>
      <c r="W68" s="42" t="s">
        <v>171</v>
      </c>
      <c r="X68" s="49">
        <f t="shared" si="29"/>
        <v>0.21054357429999998</v>
      </c>
      <c r="Y68" s="50">
        <v>7.0000000000000007E-2</v>
      </c>
      <c r="Z68" s="30">
        <v>930</v>
      </c>
      <c r="AA68" s="26" t="s">
        <v>171</v>
      </c>
      <c r="AB68" s="24">
        <f t="shared" si="25"/>
        <v>51.15</v>
      </c>
      <c r="AC68" s="25">
        <v>1.61</v>
      </c>
      <c r="AD68" s="26" t="s">
        <v>171</v>
      </c>
      <c r="AE68" s="27">
        <f t="shared" si="22"/>
        <v>0.31336497912</v>
      </c>
      <c r="AF68" s="25">
        <v>0.66</v>
      </c>
      <c r="AG68" s="26" t="s">
        <v>171</v>
      </c>
      <c r="AH68" s="28">
        <f t="shared" si="23"/>
        <v>0.16537499986000001</v>
      </c>
      <c r="AI68" s="29">
        <v>2.27</v>
      </c>
      <c r="AJ68" s="26" t="s">
        <v>171</v>
      </c>
      <c r="AK68" s="28">
        <f t="shared" si="24"/>
        <v>0.99622280042</v>
      </c>
      <c r="AL68" s="136">
        <v>928</v>
      </c>
      <c r="AM68" s="137"/>
      <c r="AN68" s="90">
        <f>'S-04-06 (2020)'!R33</f>
        <v>1.4359003833944859</v>
      </c>
      <c r="AO68" s="156">
        <f t="shared" si="13"/>
        <v>25.379539276497539</v>
      </c>
      <c r="AP68" s="94"/>
      <c r="AQ68" s="85"/>
      <c r="AR68" s="85"/>
      <c r="AS68" s="85"/>
      <c r="AT68" s="85"/>
      <c r="AU68" s="92"/>
      <c r="AV68" s="91"/>
      <c r="AW68" s="91"/>
      <c r="AX68" s="91"/>
      <c r="AY68" s="91"/>
    </row>
    <row r="69" spans="1:51" s="164" customFormat="1" ht="15.6" customHeight="1" thickTop="1" thickBot="1" x14ac:dyDescent="0.3">
      <c r="A69" s="190" t="s">
        <v>195</v>
      </c>
      <c r="B69" s="163" t="s">
        <v>184</v>
      </c>
      <c r="C69" s="162" t="s">
        <v>81</v>
      </c>
      <c r="D69" s="163" t="s">
        <v>346</v>
      </c>
      <c r="E69" s="161" t="s">
        <v>393</v>
      </c>
      <c r="F69" s="161" t="s">
        <v>26</v>
      </c>
      <c r="G69" s="163" t="s">
        <v>176</v>
      </c>
      <c r="H69" s="164">
        <v>35</v>
      </c>
      <c r="I69" s="191">
        <f>'S-04-06 (2020)'!N48-25</f>
        <v>0.69999999999999929</v>
      </c>
      <c r="J69" s="165">
        <v>7.4</v>
      </c>
      <c r="K69" s="166" t="s">
        <v>171</v>
      </c>
      <c r="L69" s="167">
        <v>0.2</v>
      </c>
      <c r="M69" s="168">
        <v>175</v>
      </c>
      <c r="N69" s="166" t="s">
        <v>171</v>
      </c>
      <c r="O69" s="169">
        <f t="shared" si="26"/>
        <v>16.230704478</v>
      </c>
      <c r="P69" s="170">
        <v>80</v>
      </c>
      <c r="Q69" s="166" t="s">
        <v>171</v>
      </c>
      <c r="R69" s="171">
        <f t="shared" si="27"/>
        <v>6.7424871699999995</v>
      </c>
      <c r="S69" s="172">
        <v>0.6</v>
      </c>
      <c r="T69" s="166" t="s">
        <v>171</v>
      </c>
      <c r="U69" s="173">
        <f t="shared" si="28"/>
        <v>0.17967999200000001</v>
      </c>
      <c r="V69" s="172">
        <v>0.56999999999999995</v>
      </c>
      <c r="W69" s="166" t="s">
        <v>171</v>
      </c>
      <c r="X69" s="173">
        <f t="shared" si="29"/>
        <v>0.17742168110000001</v>
      </c>
      <c r="Y69" s="174">
        <v>0.03</v>
      </c>
      <c r="Z69" s="175">
        <v>1100</v>
      </c>
      <c r="AA69" s="176" t="s">
        <v>171</v>
      </c>
      <c r="AB69" s="177">
        <f t="shared" si="25"/>
        <v>60.5</v>
      </c>
      <c r="AC69" s="178">
        <v>0.59</v>
      </c>
      <c r="AD69" s="176" t="s">
        <v>171</v>
      </c>
      <c r="AE69" s="179">
        <f t="shared" si="22"/>
        <v>0.23986317528000001</v>
      </c>
      <c r="AF69" s="178">
        <v>0.67</v>
      </c>
      <c r="AG69" s="176" t="s">
        <v>171</v>
      </c>
      <c r="AH69" s="180">
        <f t="shared" si="23"/>
        <v>0.16677678557</v>
      </c>
      <c r="AI69" s="181">
        <v>1.26</v>
      </c>
      <c r="AJ69" s="176" t="s">
        <v>171</v>
      </c>
      <c r="AK69" s="180">
        <f t="shared" si="24"/>
        <v>0.96138219795999991</v>
      </c>
      <c r="AL69" s="182">
        <v>1099</v>
      </c>
      <c r="AM69" s="183"/>
      <c r="AN69" s="192">
        <f>AN68+((AN68-AN70)/(H68-H70))*(H69-H68)</f>
        <v>1.5360710456026814</v>
      </c>
      <c r="AO69" s="185">
        <f t="shared" si="13"/>
        <v>0.61289234719546914</v>
      </c>
      <c r="AP69" s="186"/>
      <c r="AQ69" s="187"/>
      <c r="AR69" s="187"/>
      <c r="AS69" s="187"/>
      <c r="AT69" s="187"/>
      <c r="AU69" s="188"/>
      <c r="AV69" s="189"/>
      <c r="AW69" s="189"/>
      <c r="AX69" s="189"/>
      <c r="AY69" s="189"/>
    </row>
    <row r="70" spans="1:51" s="164" customFormat="1" ht="15.95" customHeight="1" thickTop="1" thickBot="1" x14ac:dyDescent="0.3">
      <c r="A70" s="160" t="s">
        <v>195</v>
      </c>
      <c r="B70" s="161" t="s">
        <v>184</v>
      </c>
      <c r="C70" s="162" t="s">
        <v>81</v>
      </c>
      <c r="D70" s="163" t="s">
        <v>346</v>
      </c>
      <c r="E70" s="161" t="s">
        <v>393</v>
      </c>
      <c r="F70" s="161" t="s">
        <v>26</v>
      </c>
      <c r="G70" s="161" t="s">
        <v>21</v>
      </c>
      <c r="H70" s="164">
        <v>52.5</v>
      </c>
      <c r="I70" s="164">
        <f>(1/10)*8</f>
        <v>0.8</v>
      </c>
      <c r="J70" s="165">
        <v>6</v>
      </c>
      <c r="K70" s="166" t="s">
        <v>171</v>
      </c>
      <c r="L70" s="167">
        <v>0.2</v>
      </c>
      <c r="M70" s="168">
        <v>78</v>
      </c>
      <c r="N70" s="166" t="s">
        <v>171</v>
      </c>
      <c r="O70" s="169">
        <f t="shared" si="26"/>
        <v>8.1967772540000006</v>
      </c>
      <c r="P70" s="170">
        <v>92</v>
      </c>
      <c r="Q70" s="166" t="s">
        <v>171</v>
      </c>
      <c r="R70" s="171">
        <f t="shared" si="27"/>
        <v>7.8019905820000002</v>
      </c>
      <c r="S70" s="172">
        <v>0.45</v>
      </c>
      <c r="T70" s="166" t="s">
        <v>171</v>
      </c>
      <c r="U70" s="173">
        <f t="shared" si="28"/>
        <v>0.16838843749999999</v>
      </c>
      <c r="V70" s="172">
        <v>0.42</v>
      </c>
      <c r="W70" s="166" t="s">
        <v>171</v>
      </c>
      <c r="X70" s="173">
        <f t="shared" si="29"/>
        <v>0.16613012659999998</v>
      </c>
      <c r="Y70" s="174">
        <v>0.03</v>
      </c>
      <c r="Z70" s="175">
        <v>630</v>
      </c>
      <c r="AA70" s="176" t="s">
        <v>171</v>
      </c>
      <c r="AB70" s="177">
        <f t="shared" si="25"/>
        <v>34.65</v>
      </c>
      <c r="AC70" s="178">
        <v>0</v>
      </c>
      <c r="AD70" s="176" t="s">
        <v>171</v>
      </c>
      <c r="AE70" s="179">
        <f t="shared" si="22"/>
        <v>0.19734742599999999</v>
      </c>
      <c r="AF70" s="178">
        <v>0.95</v>
      </c>
      <c r="AG70" s="176" t="s">
        <v>171</v>
      </c>
      <c r="AH70" s="180">
        <f t="shared" si="23"/>
        <v>0.20602678544999997</v>
      </c>
      <c r="AI70" s="181">
        <v>0.95</v>
      </c>
      <c r="AJ70" s="176" t="s">
        <v>171</v>
      </c>
      <c r="AK70" s="180">
        <f t="shared" si="24"/>
        <v>0.9506885477</v>
      </c>
      <c r="AL70" s="182">
        <v>629</v>
      </c>
      <c r="AM70" s="183"/>
      <c r="AN70" s="184">
        <f>AN66</f>
        <v>1.6295636636636637</v>
      </c>
      <c r="AO70" s="185">
        <f t="shared" si="13"/>
        <v>0.54753339099099108</v>
      </c>
      <c r="AP70" s="186"/>
      <c r="AQ70" s="187"/>
      <c r="AR70" s="187"/>
      <c r="AS70" s="187"/>
      <c r="AT70" s="187"/>
      <c r="AU70" s="188"/>
      <c r="AV70" s="189"/>
      <c r="AW70" s="189"/>
      <c r="AX70" s="189"/>
      <c r="AY70" s="189"/>
    </row>
    <row r="71" spans="1:51" ht="17.100000000000001" customHeight="1" thickTop="1" thickBot="1" x14ac:dyDescent="0.3">
      <c r="A71" s="34" t="s">
        <v>195</v>
      </c>
      <c r="B71" s="39" t="s">
        <v>186</v>
      </c>
      <c r="C71" s="111" t="s">
        <v>81</v>
      </c>
      <c r="D71" s="106" t="s">
        <v>346</v>
      </c>
      <c r="E71" s="106" t="s">
        <v>394</v>
      </c>
      <c r="F71" s="112" t="s">
        <v>27</v>
      </c>
      <c r="G71" s="39" t="s">
        <v>177</v>
      </c>
      <c r="H71">
        <v>3.75</v>
      </c>
      <c r="I71">
        <v>7.5</v>
      </c>
      <c r="J71" s="41">
        <v>5.2</v>
      </c>
      <c r="K71" s="42" t="s">
        <v>171</v>
      </c>
      <c r="L71" s="43">
        <v>0.2</v>
      </c>
      <c r="M71" s="44">
        <v>128</v>
      </c>
      <c r="N71" s="42" t="s">
        <v>171</v>
      </c>
      <c r="O71" s="45">
        <f t="shared" si="26"/>
        <v>12.337976854000001</v>
      </c>
      <c r="P71" s="46">
        <v>128</v>
      </c>
      <c r="Q71" s="42" t="s">
        <v>171</v>
      </c>
      <c r="R71" s="47">
        <f t="shared" si="27"/>
        <v>10.980500817999999</v>
      </c>
      <c r="S71" s="48">
        <v>1.91</v>
      </c>
      <c r="T71" s="42" t="s">
        <v>171</v>
      </c>
      <c r="U71" s="49">
        <f t="shared" si="28"/>
        <v>0.27829290129999995</v>
      </c>
      <c r="V71" s="48">
        <v>1.85</v>
      </c>
      <c r="W71" s="42" t="s">
        <v>171</v>
      </c>
      <c r="X71" s="49">
        <f t="shared" si="29"/>
        <v>0.2737762795</v>
      </c>
      <c r="Y71" s="50">
        <v>0.06</v>
      </c>
      <c r="Z71" s="30">
        <v>1460</v>
      </c>
      <c r="AA71" s="26" t="s">
        <v>171</v>
      </c>
      <c r="AB71" s="24">
        <f t="shared" si="25"/>
        <v>80.3</v>
      </c>
      <c r="AC71" s="25">
        <v>10.77</v>
      </c>
      <c r="AD71" s="26" t="s">
        <v>171</v>
      </c>
      <c r="AE71" s="27">
        <f t="shared" si="22"/>
        <v>0.97344000184000001</v>
      </c>
      <c r="AF71" s="25">
        <v>3.76</v>
      </c>
      <c r="AG71" s="26" t="s">
        <v>171</v>
      </c>
      <c r="AH71" s="28">
        <f t="shared" si="23"/>
        <v>0.59992856995999999</v>
      </c>
      <c r="AI71" s="29">
        <v>14.53</v>
      </c>
      <c r="AJ71" s="26" t="s">
        <v>171</v>
      </c>
      <c r="AK71" s="28">
        <f t="shared" si="24"/>
        <v>1.4191394203799998</v>
      </c>
      <c r="AL71" s="136">
        <v>1445</v>
      </c>
      <c r="AM71" s="137"/>
      <c r="AN71" s="152">
        <f>AVERAGE(AN63,AN67,AN78,AN82)</f>
        <v>1.1868453473460472</v>
      </c>
      <c r="AO71" s="156">
        <f t="shared" si="13"/>
        <v>16.467479194426403</v>
      </c>
      <c r="AP71" s="94">
        <f>'PoplarPlots(2000)'!E52</f>
        <v>9.5</v>
      </c>
      <c r="AQ71" s="85">
        <f>'PoplarPlots(2000)'!L52</f>
        <v>134.8988560235253</v>
      </c>
      <c r="AR71" s="85">
        <f>'PoplarPlots(2000)'!M52</f>
        <v>14.199879581423716</v>
      </c>
      <c r="AS71" s="85">
        <f>'PoplarPlots(2000)'!N52</f>
        <v>55.645778109704182</v>
      </c>
      <c r="AT71" s="85">
        <f>'PoplarPlots(2000)'!O52</f>
        <v>5.8574503273372827</v>
      </c>
      <c r="AU71" s="92">
        <f>'S-04-06 (2020)'!AD5</f>
        <v>15</v>
      </c>
      <c r="AV71" s="91">
        <f>'S-04-06 (2020)'!AF5</f>
        <v>213.18619819977457</v>
      </c>
      <c r="AW71" s="91">
        <f>'S-04-06 (2020)'!AG5</f>
        <v>14.212413213318305</v>
      </c>
      <c r="AX71" s="91">
        <f>'S-04-06 (2020)'!AH5</f>
        <v>87.93930675740701</v>
      </c>
      <c r="AY71" s="91">
        <f>'S-04-06 (2020)'!AI5</f>
        <v>5.8626204504938011</v>
      </c>
    </row>
    <row r="72" spans="1:51" ht="14.1" customHeight="1" thickTop="1" thickBot="1" x14ac:dyDescent="0.3">
      <c r="A72" s="35" t="s">
        <v>194</v>
      </c>
      <c r="B72" s="38" t="s">
        <v>186</v>
      </c>
      <c r="C72" s="111" t="s">
        <v>81</v>
      </c>
      <c r="D72" s="39" t="s">
        <v>346</v>
      </c>
      <c r="E72" s="38" t="s">
        <v>394</v>
      </c>
      <c r="F72" s="112" t="s">
        <v>27</v>
      </c>
      <c r="G72" s="38" t="s">
        <v>175</v>
      </c>
      <c r="H72">
        <v>16.25</v>
      </c>
      <c r="I72">
        <f>25-7.5</f>
        <v>17.5</v>
      </c>
      <c r="J72" s="41">
        <v>4.5</v>
      </c>
      <c r="K72" s="42" t="s">
        <v>171</v>
      </c>
      <c r="L72" s="43">
        <v>0.2</v>
      </c>
      <c r="M72" s="44">
        <v>100</v>
      </c>
      <c r="N72" s="42" t="s">
        <v>171</v>
      </c>
      <c r="O72" s="45">
        <f t="shared" si="26"/>
        <v>10.018905078</v>
      </c>
      <c r="P72" s="46">
        <v>61</v>
      </c>
      <c r="Q72" s="42" t="s">
        <v>171</v>
      </c>
      <c r="R72" s="47">
        <f t="shared" si="27"/>
        <v>5.0649401009999995</v>
      </c>
      <c r="S72" s="48">
        <v>1.01</v>
      </c>
      <c r="T72" s="42" t="s">
        <v>171</v>
      </c>
      <c r="U72" s="49">
        <f t="shared" si="28"/>
        <v>0.21054357429999998</v>
      </c>
      <c r="V72" s="48">
        <v>0.96</v>
      </c>
      <c r="W72" s="42" t="s">
        <v>171</v>
      </c>
      <c r="X72" s="49">
        <f t="shared" si="29"/>
        <v>0.20677972280000001</v>
      </c>
      <c r="Y72" s="50">
        <v>0.05</v>
      </c>
      <c r="Z72" s="30">
        <v>1230</v>
      </c>
      <c r="AA72" s="26" t="s">
        <v>171</v>
      </c>
      <c r="AB72" s="24">
        <f t="shared" si="25"/>
        <v>67.650000000000006</v>
      </c>
      <c r="AC72" s="25">
        <v>3.97</v>
      </c>
      <c r="AD72" s="26" t="s">
        <v>171</v>
      </c>
      <c r="AE72" s="27">
        <f t="shared" si="22"/>
        <v>0.48342797624000006</v>
      </c>
      <c r="AF72" s="25">
        <v>1.9</v>
      </c>
      <c r="AG72" s="26" t="s">
        <v>171</v>
      </c>
      <c r="AH72" s="28">
        <f t="shared" si="23"/>
        <v>0.33919642789999999</v>
      </c>
      <c r="AI72" s="29">
        <v>5.87</v>
      </c>
      <c r="AJ72" s="26" t="s">
        <v>171</v>
      </c>
      <c r="AK72" s="28">
        <f t="shared" si="24"/>
        <v>1.1204071260199999</v>
      </c>
      <c r="AL72" s="136">
        <v>1224</v>
      </c>
      <c r="AM72" s="137"/>
      <c r="AN72" s="90">
        <f>'S-04-06 (2020)'!AC32</f>
        <v>1.2649152706862201</v>
      </c>
      <c r="AO72" s="156">
        <f t="shared" si="13"/>
        <v>21.250576547528496</v>
      </c>
      <c r="AP72" s="94"/>
      <c r="AQ72" s="85"/>
      <c r="AR72" s="85"/>
      <c r="AS72" s="85"/>
      <c r="AT72" s="85"/>
      <c r="AU72" s="92"/>
      <c r="AV72" s="91"/>
      <c r="AW72" s="91"/>
      <c r="AX72" s="91"/>
      <c r="AY72" s="91"/>
    </row>
    <row r="73" spans="1:51" s="164" customFormat="1" ht="15" customHeight="1" thickTop="1" thickBot="1" x14ac:dyDescent="0.3">
      <c r="A73" s="190" t="s">
        <v>195</v>
      </c>
      <c r="B73" s="163" t="s">
        <v>186</v>
      </c>
      <c r="C73" s="162" t="s">
        <v>81</v>
      </c>
      <c r="D73" s="163" t="s">
        <v>346</v>
      </c>
      <c r="E73" s="163" t="s">
        <v>394</v>
      </c>
      <c r="F73" s="161" t="s">
        <v>27</v>
      </c>
      <c r="G73" s="163" t="s">
        <v>176</v>
      </c>
      <c r="H73" s="164">
        <v>35</v>
      </c>
      <c r="I73" s="191">
        <f>'S-04-06 (2020)'!Z47-25</f>
        <v>0.19999999999999929</v>
      </c>
      <c r="J73" s="165">
        <v>4.7</v>
      </c>
      <c r="K73" s="166" t="s">
        <v>171</v>
      </c>
      <c r="L73" s="167">
        <v>0.2</v>
      </c>
      <c r="M73" s="168">
        <v>112</v>
      </c>
      <c r="N73" s="166" t="s">
        <v>171</v>
      </c>
      <c r="O73" s="169">
        <f t="shared" si="26"/>
        <v>11.012792982000001</v>
      </c>
      <c r="P73" s="170">
        <v>44</v>
      </c>
      <c r="Q73" s="166" t="s">
        <v>171</v>
      </c>
      <c r="R73" s="171">
        <f t="shared" si="27"/>
        <v>3.5639769339999994</v>
      </c>
      <c r="S73" s="172">
        <v>0.68</v>
      </c>
      <c r="T73" s="166" t="s">
        <v>171</v>
      </c>
      <c r="U73" s="173">
        <f t="shared" si="28"/>
        <v>0.18570215439999999</v>
      </c>
      <c r="V73" s="172">
        <v>0.61</v>
      </c>
      <c r="W73" s="166" t="s">
        <v>171</v>
      </c>
      <c r="X73" s="173">
        <f t="shared" si="29"/>
        <v>0.18043276229999999</v>
      </c>
      <c r="Y73" s="174">
        <v>7.0000000000000007E-2</v>
      </c>
      <c r="Z73" s="175">
        <v>480</v>
      </c>
      <c r="AA73" s="176" t="s">
        <v>171</v>
      </c>
      <c r="AB73" s="177">
        <f t="shared" si="25"/>
        <v>26.4</v>
      </c>
      <c r="AC73" s="178">
        <v>0.65</v>
      </c>
      <c r="AD73" s="176" t="s">
        <v>171</v>
      </c>
      <c r="AE73" s="179">
        <f t="shared" si="22"/>
        <v>0.24418681079999999</v>
      </c>
      <c r="AF73" s="178">
        <v>1.43</v>
      </c>
      <c r="AG73" s="176" t="s">
        <v>171</v>
      </c>
      <c r="AH73" s="180">
        <f t="shared" si="23"/>
        <v>0.27331249952999997</v>
      </c>
      <c r="AI73" s="181">
        <v>2.08</v>
      </c>
      <c r="AJ73" s="176" t="s">
        <v>171</v>
      </c>
      <c r="AK73" s="180">
        <f t="shared" si="24"/>
        <v>0.98966862767999997</v>
      </c>
      <c r="AL73" s="182">
        <v>478</v>
      </c>
      <c r="AM73" s="183"/>
      <c r="AN73" s="193">
        <f>AVERAGE(AN65,AN69,AN80,AN84)</f>
        <v>1.4346562288068512</v>
      </c>
      <c r="AO73" s="185">
        <f t="shared" si="13"/>
        <v>0.17502805991443521</v>
      </c>
      <c r="AP73" s="186"/>
      <c r="AQ73" s="187"/>
      <c r="AR73" s="187"/>
      <c r="AS73" s="187"/>
      <c r="AT73" s="187"/>
      <c r="AU73" s="188"/>
      <c r="AV73" s="189"/>
      <c r="AW73" s="189"/>
      <c r="AX73" s="189"/>
      <c r="AY73" s="189"/>
    </row>
    <row r="74" spans="1:51" s="164" customFormat="1" ht="15.6" customHeight="1" thickTop="1" thickBot="1" x14ac:dyDescent="0.3">
      <c r="A74" s="160" t="s">
        <v>195</v>
      </c>
      <c r="B74" s="161" t="s">
        <v>196</v>
      </c>
      <c r="C74" s="194" t="s">
        <v>97</v>
      </c>
      <c r="D74" s="161" t="s">
        <v>346</v>
      </c>
      <c r="E74" s="161" t="s">
        <v>70</v>
      </c>
      <c r="F74" s="161" t="s">
        <v>70</v>
      </c>
      <c r="G74" s="161" t="s">
        <v>177</v>
      </c>
      <c r="H74" s="164">
        <v>3.75</v>
      </c>
      <c r="I74" s="164">
        <v>7.5</v>
      </c>
      <c r="J74" s="165">
        <v>4.4000000000000004</v>
      </c>
      <c r="K74" s="166" t="s">
        <v>171</v>
      </c>
      <c r="L74" s="167">
        <v>0.2</v>
      </c>
      <c r="M74" s="168">
        <v>130</v>
      </c>
      <c r="N74" s="166" t="s">
        <v>171</v>
      </c>
      <c r="O74" s="169">
        <f t="shared" si="26"/>
        <v>12.503624838</v>
      </c>
      <c r="P74" s="170">
        <v>187</v>
      </c>
      <c r="Q74" s="166" t="s">
        <v>171</v>
      </c>
      <c r="R74" s="171">
        <f t="shared" si="27"/>
        <v>16.189725926999998</v>
      </c>
      <c r="S74" s="172">
        <v>1.4</v>
      </c>
      <c r="T74" s="166" t="s">
        <v>171</v>
      </c>
      <c r="U74" s="173">
        <f t="shared" si="28"/>
        <v>0.23990161599999998</v>
      </c>
      <c r="V74" s="172">
        <v>1.3</v>
      </c>
      <c r="W74" s="166" t="s">
        <v>171</v>
      </c>
      <c r="X74" s="173">
        <f t="shared" si="29"/>
        <v>0.23237391299999999</v>
      </c>
      <c r="Y74" s="174">
        <v>0.1</v>
      </c>
      <c r="Z74" s="175">
        <v>1140</v>
      </c>
      <c r="AA74" s="176" t="s">
        <v>171</v>
      </c>
      <c r="AB74" s="177">
        <f t="shared" si="25"/>
        <v>62.7</v>
      </c>
      <c r="AC74" s="178">
        <v>8.73</v>
      </c>
      <c r="AD74" s="176" t="s">
        <v>171</v>
      </c>
      <c r="AE74" s="179">
        <f t="shared" si="22"/>
        <v>0.82643639416000003</v>
      </c>
      <c r="AF74" s="178">
        <v>4.3499999999999996</v>
      </c>
      <c r="AG74" s="176" t="s">
        <v>171</v>
      </c>
      <c r="AH74" s="180">
        <f t="shared" si="23"/>
        <v>0.68263392685000002</v>
      </c>
      <c r="AI74" s="181">
        <v>13.08</v>
      </c>
      <c r="AJ74" s="176" t="s">
        <v>171</v>
      </c>
      <c r="AK74" s="180">
        <f t="shared" si="24"/>
        <v>1.36912073368</v>
      </c>
      <c r="AL74" s="182">
        <v>1127</v>
      </c>
      <c r="AM74" s="183"/>
      <c r="AN74" s="193">
        <f>AN71</f>
        <v>1.1868453473460472</v>
      </c>
      <c r="AO74" s="185">
        <f t="shared" si="13"/>
        <v>11.571742136623961</v>
      </c>
      <c r="AP74" s="186"/>
      <c r="AQ74" s="187"/>
      <c r="AR74" s="187"/>
      <c r="AS74" s="187"/>
      <c r="AT74" s="187"/>
      <c r="AU74" s="188">
        <f>'S-04-06 (2020)'!AQ5</f>
        <v>30</v>
      </c>
      <c r="AV74" s="189">
        <f>'S-04-06 (2020)'!AS5</f>
        <v>180.48890195428825</v>
      </c>
      <c r="AW74" s="189">
        <f>'S-04-06 (2020)'!AT5</f>
        <v>6.0162967318096081</v>
      </c>
      <c r="AX74" s="189">
        <f>'S-04-06 (2020)'!AU5</f>
        <v>93.004869477621483</v>
      </c>
      <c r="AY74" s="189">
        <f>'S-04-06 (2020)'!AV5</f>
        <v>3.1001623159207159</v>
      </c>
    </row>
    <row r="75" spans="1:51" ht="15.6" customHeight="1" thickTop="1" thickBot="1" x14ac:dyDescent="0.3">
      <c r="A75" s="34" t="s">
        <v>195</v>
      </c>
      <c r="B75" s="39" t="s">
        <v>196</v>
      </c>
      <c r="C75" s="86" t="s">
        <v>97</v>
      </c>
      <c r="D75" s="39" t="s">
        <v>346</v>
      </c>
      <c r="E75" s="110" t="s">
        <v>70</v>
      </c>
      <c r="F75" s="112" t="s">
        <v>70</v>
      </c>
      <c r="G75" s="39" t="s">
        <v>175</v>
      </c>
      <c r="H75">
        <v>16.25</v>
      </c>
      <c r="I75">
        <f>25-7.5</f>
        <v>17.5</v>
      </c>
      <c r="J75" s="41">
        <v>4.5</v>
      </c>
      <c r="K75" s="42" t="s">
        <v>171</v>
      </c>
      <c r="L75" s="43">
        <v>0.2</v>
      </c>
      <c r="M75" s="44">
        <v>106</v>
      </c>
      <c r="N75" s="42" t="s">
        <v>171</v>
      </c>
      <c r="O75" s="45">
        <f t="shared" si="26"/>
        <v>10.515849029999998</v>
      </c>
      <c r="P75" s="46">
        <v>107</v>
      </c>
      <c r="Q75" s="42" t="s">
        <v>171</v>
      </c>
      <c r="R75" s="47">
        <f t="shared" si="27"/>
        <v>9.1263698469999994</v>
      </c>
      <c r="S75" s="48">
        <v>0.74</v>
      </c>
      <c r="T75" s="42" t="s">
        <v>171</v>
      </c>
      <c r="U75" s="49">
        <f t="shared" si="28"/>
        <v>0.19021877619999999</v>
      </c>
      <c r="V75" s="48">
        <v>0.7</v>
      </c>
      <c r="W75" s="42" t="s">
        <v>171</v>
      </c>
      <c r="X75" s="49">
        <f t="shared" si="29"/>
        <v>0.18720769500000001</v>
      </c>
      <c r="Y75" s="50">
        <v>0.04</v>
      </c>
      <c r="Z75" s="30">
        <v>960</v>
      </c>
      <c r="AA75" s="26" t="s">
        <v>171</v>
      </c>
      <c r="AB75" s="24">
        <f t="shared" si="25"/>
        <v>52.8</v>
      </c>
      <c r="AC75" s="25">
        <v>3.38</v>
      </c>
      <c r="AD75" s="26" t="s">
        <v>171</v>
      </c>
      <c r="AE75" s="27">
        <f t="shared" si="22"/>
        <v>0.44091222695999999</v>
      </c>
      <c r="AF75" s="25">
        <v>1.54</v>
      </c>
      <c r="AG75" s="26" t="s">
        <v>171</v>
      </c>
      <c r="AH75" s="28">
        <f t="shared" si="23"/>
        <v>0.28873214234</v>
      </c>
      <c r="AI75" s="29">
        <v>4.92</v>
      </c>
      <c r="AJ75" s="26" t="s">
        <v>171</v>
      </c>
      <c r="AK75" s="28">
        <f t="shared" si="24"/>
        <v>1.08763626232</v>
      </c>
      <c r="AL75" s="136">
        <v>955</v>
      </c>
      <c r="AM75" s="137"/>
      <c r="AN75" s="90">
        <f>'S-04-06 (2020)'!AO32</f>
        <v>1.2636055268788904</v>
      </c>
      <c r="AO75" s="156">
        <f t="shared" si="13"/>
        <v>15.479167704266406</v>
      </c>
      <c r="AP75" s="94"/>
      <c r="AQ75" s="85"/>
      <c r="AR75" s="85"/>
      <c r="AS75" s="85"/>
      <c r="AT75" s="85"/>
      <c r="AU75" s="92"/>
      <c r="AV75" s="91"/>
      <c r="AW75" s="91"/>
      <c r="AX75" s="91"/>
      <c r="AY75" s="91"/>
    </row>
    <row r="76" spans="1:51" ht="15.95" customHeight="1" thickTop="1" thickBot="1" x14ac:dyDescent="0.3">
      <c r="A76" s="35" t="s">
        <v>195</v>
      </c>
      <c r="B76" s="38" t="s">
        <v>196</v>
      </c>
      <c r="C76" s="86" t="s">
        <v>97</v>
      </c>
      <c r="D76" s="39" t="s">
        <v>346</v>
      </c>
      <c r="E76" s="110" t="s">
        <v>70</v>
      </c>
      <c r="F76" s="112" t="s">
        <v>70</v>
      </c>
      <c r="G76" s="38" t="s">
        <v>176</v>
      </c>
      <c r="H76">
        <v>35</v>
      </c>
      <c r="I76" s="76">
        <f>45-25</f>
        <v>20</v>
      </c>
      <c r="J76" s="41">
        <v>4.5</v>
      </c>
      <c r="K76" s="42" t="s">
        <v>171</v>
      </c>
      <c r="L76" s="43">
        <v>0.2</v>
      </c>
      <c r="M76" s="44">
        <v>85</v>
      </c>
      <c r="N76" s="42" t="s">
        <v>171</v>
      </c>
      <c r="O76" s="45">
        <f t="shared" si="26"/>
        <v>8.7765451980000009</v>
      </c>
      <c r="P76" s="46">
        <v>65</v>
      </c>
      <c r="Q76" s="42" t="s">
        <v>171</v>
      </c>
      <c r="R76" s="47">
        <f t="shared" si="27"/>
        <v>5.4181079050000003</v>
      </c>
      <c r="S76" s="48">
        <v>0.52</v>
      </c>
      <c r="T76" s="42" t="s">
        <v>171</v>
      </c>
      <c r="U76" s="49">
        <f t="shared" si="28"/>
        <v>0.17365782960000001</v>
      </c>
      <c r="V76" s="48">
        <v>0.41</v>
      </c>
      <c r="W76" s="42" t="s">
        <v>171</v>
      </c>
      <c r="X76" s="49">
        <f t="shared" si="29"/>
        <v>0.1653773563</v>
      </c>
      <c r="Y76" s="50">
        <v>0.11</v>
      </c>
      <c r="Z76" s="30">
        <v>660</v>
      </c>
      <c r="AA76" s="26" t="s">
        <v>171</v>
      </c>
      <c r="AB76" s="24">
        <f t="shared" si="25"/>
        <v>36.299999999999997</v>
      </c>
      <c r="AC76" s="25">
        <v>0.46</v>
      </c>
      <c r="AD76" s="26" t="s">
        <v>171</v>
      </c>
      <c r="AE76" s="27">
        <f t="shared" si="22"/>
        <v>0.23049529831999999</v>
      </c>
      <c r="AF76" s="25">
        <v>1.05</v>
      </c>
      <c r="AG76" s="26" t="s">
        <v>171</v>
      </c>
      <c r="AH76" s="28">
        <f t="shared" si="23"/>
        <v>0.22004464255</v>
      </c>
      <c r="AI76" s="29">
        <v>1.51</v>
      </c>
      <c r="AJ76" s="26" t="s">
        <v>171</v>
      </c>
      <c r="AK76" s="28">
        <f t="shared" si="24"/>
        <v>0.97000610945999999</v>
      </c>
      <c r="AL76" s="136">
        <v>658</v>
      </c>
      <c r="AM76" s="137"/>
      <c r="AN76" s="153">
        <f>AN73</f>
        <v>1.4346562288068512</v>
      </c>
      <c r="AO76" s="156">
        <f t="shared" si="13"/>
        <v>11.764181076216179</v>
      </c>
      <c r="AP76" s="94"/>
      <c r="AQ76" s="85"/>
      <c r="AR76" s="85"/>
      <c r="AS76" s="85"/>
      <c r="AT76" s="85"/>
      <c r="AU76" s="92"/>
      <c r="AV76" s="91"/>
      <c r="AW76" s="91"/>
      <c r="AX76" s="91"/>
      <c r="AY76" s="91"/>
    </row>
    <row r="77" spans="1:51" s="164" customFormat="1" ht="15.95" customHeight="1" thickTop="1" thickBot="1" x14ac:dyDescent="0.3">
      <c r="A77" s="190" t="s">
        <v>195</v>
      </c>
      <c r="B77" s="163" t="s">
        <v>197</v>
      </c>
      <c r="C77" s="194" t="s">
        <v>97</v>
      </c>
      <c r="D77" s="161" t="s">
        <v>346</v>
      </c>
      <c r="E77" s="161" t="s">
        <v>70</v>
      </c>
      <c r="F77" s="161" t="s">
        <v>70</v>
      </c>
      <c r="G77" s="163" t="s">
        <v>21</v>
      </c>
      <c r="H77" s="164">
        <v>52.5</v>
      </c>
      <c r="I77" s="164">
        <f>'S-04-06 (2020)'!AL47-45</f>
        <v>5.5</v>
      </c>
      <c r="J77" s="165">
        <v>4.5</v>
      </c>
      <c r="K77" s="166" t="s">
        <v>171</v>
      </c>
      <c r="L77" s="167">
        <v>0.2</v>
      </c>
      <c r="M77" s="168">
        <v>118</v>
      </c>
      <c r="N77" s="166" t="s">
        <v>171</v>
      </c>
      <c r="O77" s="169">
        <f t="shared" si="26"/>
        <v>11.509736933999999</v>
      </c>
      <c r="P77" s="170">
        <v>65</v>
      </c>
      <c r="Q77" s="166" t="s">
        <v>171</v>
      </c>
      <c r="R77" s="171">
        <f t="shared" si="27"/>
        <v>5.4181079050000003</v>
      </c>
      <c r="S77" s="172">
        <v>0.38</v>
      </c>
      <c r="T77" s="166" t="s">
        <v>171</v>
      </c>
      <c r="U77" s="173">
        <f t="shared" si="28"/>
        <v>0.1631190454</v>
      </c>
      <c r="V77" s="172">
        <v>0.3</v>
      </c>
      <c r="W77" s="166" t="s">
        <v>171</v>
      </c>
      <c r="X77" s="173">
        <f t="shared" si="29"/>
        <v>0.15709688299999999</v>
      </c>
      <c r="Y77" s="174">
        <v>0.08</v>
      </c>
      <c r="Z77" s="175">
        <v>410</v>
      </c>
      <c r="AA77" s="176" t="s">
        <v>171</v>
      </c>
      <c r="AB77" s="177">
        <f t="shared" si="25"/>
        <v>22.55</v>
      </c>
      <c r="AC77" s="178">
        <v>0.23</v>
      </c>
      <c r="AD77" s="176" t="s">
        <v>171</v>
      </c>
      <c r="AE77" s="179">
        <f t="shared" si="22"/>
        <v>0.21392136215999999</v>
      </c>
      <c r="AF77" s="178">
        <v>1.58</v>
      </c>
      <c r="AG77" s="176" t="s">
        <v>171</v>
      </c>
      <c r="AH77" s="180">
        <f t="shared" si="23"/>
        <v>0.29433928518000002</v>
      </c>
      <c r="AI77" s="181">
        <v>1.81</v>
      </c>
      <c r="AJ77" s="176" t="s">
        <v>171</v>
      </c>
      <c r="AK77" s="180">
        <f t="shared" si="24"/>
        <v>0.98035480325999991</v>
      </c>
      <c r="AL77" s="182">
        <v>408</v>
      </c>
      <c r="AM77" s="183"/>
      <c r="AN77" s="184">
        <f>AN66</f>
        <v>1.6295636636636637</v>
      </c>
      <c r="AO77" s="185">
        <f t="shared" si="13"/>
        <v>2.688780045045045</v>
      </c>
      <c r="AP77" s="186"/>
      <c r="AQ77" s="187"/>
      <c r="AR77" s="187"/>
      <c r="AS77" s="187"/>
      <c r="AT77" s="187"/>
      <c r="AU77" s="188"/>
      <c r="AV77" s="189"/>
      <c r="AW77" s="189"/>
      <c r="AX77" s="189"/>
      <c r="AY77" s="189"/>
    </row>
    <row r="78" spans="1:51" ht="16.5" customHeight="1" thickTop="1" thickBot="1" x14ac:dyDescent="0.3">
      <c r="A78" s="35" t="s">
        <v>195</v>
      </c>
      <c r="B78" s="38" t="s">
        <v>198</v>
      </c>
      <c r="C78" s="86" t="s">
        <v>97</v>
      </c>
      <c r="D78" s="39" t="s">
        <v>346</v>
      </c>
      <c r="E78" s="110" t="s">
        <v>70</v>
      </c>
      <c r="F78" s="112" t="s">
        <v>70</v>
      </c>
      <c r="G78" s="38" t="s">
        <v>174</v>
      </c>
      <c r="H78">
        <v>3.75</v>
      </c>
      <c r="I78">
        <v>7.5</v>
      </c>
      <c r="J78" s="41">
        <v>4.3</v>
      </c>
      <c r="K78" s="42" t="s">
        <v>171</v>
      </c>
      <c r="L78" s="43">
        <v>0.2</v>
      </c>
      <c r="M78" s="44">
        <v>141</v>
      </c>
      <c r="N78" s="42" t="s">
        <v>171</v>
      </c>
      <c r="O78" s="45">
        <f t="shared" si="26"/>
        <v>13.41468875</v>
      </c>
      <c r="P78" s="46">
        <v>189</v>
      </c>
      <c r="Q78" s="42" t="s">
        <v>171</v>
      </c>
      <c r="R78" s="47">
        <f t="shared" si="27"/>
        <v>16.366309828999999</v>
      </c>
      <c r="S78" s="48">
        <v>1.1100000000000001</v>
      </c>
      <c r="T78" s="42" t="s">
        <v>171</v>
      </c>
      <c r="U78" s="49">
        <f t="shared" si="28"/>
        <v>0.2180712773</v>
      </c>
      <c r="V78" s="48">
        <v>1.1100000000000001</v>
      </c>
      <c r="W78" s="42" t="s">
        <v>171</v>
      </c>
      <c r="X78" s="49">
        <f t="shared" si="29"/>
        <v>0.2180712773</v>
      </c>
      <c r="Y78" s="50">
        <v>0</v>
      </c>
      <c r="Z78" s="30">
        <v>1230</v>
      </c>
      <c r="AA78" s="26" t="s">
        <v>171</v>
      </c>
      <c r="AB78" s="24">
        <f t="shared" si="25"/>
        <v>67.650000000000006</v>
      </c>
      <c r="AC78" s="25">
        <v>7.51</v>
      </c>
      <c r="AD78" s="26" t="s">
        <v>171</v>
      </c>
      <c r="AE78" s="27">
        <f t="shared" si="22"/>
        <v>0.73852247191999998</v>
      </c>
      <c r="AF78" s="25">
        <v>4.45</v>
      </c>
      <c r="AG78" s="26" t="s">
        <v>171</v>
      </c>
      <c r="AH78" s="28">
        <f t="shared" si="23"/>
        <v>0.69665178395000005</v>
      </c>
      <c r="AI78" s="29">
        <v>11.96</v>
      </c>
      <c r="AJ78" s="26" t="s">
        <v>171</v>
      </c>
      <c r="AK78" s="28">
        <f t="shared" si="24"/>
        <v>1.33048561016</v>
      </c>
      <c r="AL78" s="136">
        <v>1218</v>
      </c>
      <c r="AM78" s="137"/>
      <c r="AN78" s="150">
        <f>AN79-((AN79-AN81)/(H79-H81))*3.5</f>
        <v>1.1749549898508045</v>
      </c>
      <c r="AO78" s="156">
        <f t="shared" si="13"/>
        <v>9.7815002905079478</v>
      </c>
      <c r="AP78" s="94"/>
      <c r="AQ78" s="85"/>
      <c r="AR78" s="85"/>
      <c r="AS78" s="85"/>
      <c r="AT78" s="85"/>
      <c r="AU78" s="92">
        <f>'S-04-06 (2020)'!BD5</f>
        <v>30</v>
      </c>
      <c r="AV78" s="91">
        <f>'S-04-06 (2020)'!BF5</f>
        <v>207.83953838745563</v>
      </c>
      <c r="AW78" s="91">
        <f>'S-04-06 (2020)'!BG5</f>
        <v>6.9279846129151874</v>
      </c>
      <c r="AX78" s="91">
        <f>'S-04-06 (2020)'!BH5</f>
        <v>107.09849154553596</v>
      </c>
      <c r="AY78" s="91">
        <f>'S-04-06 (2020)'!BI5</f>
        <v>3.5699497181845321</v>
      </c>
    </row>
    <row r="79" spans="1:51" ht="15.95" customHeight="1" thickTop="1" thickBot="1" x14ac:dyDescent="0.3">
      <c r="A79" s="34" t="s">
        <v>194</v>
      </c>
      <c r="B79" s="39" t="s">
        <v>199</v>
      </c>
      <c r="C79" s="86" t="s">
        <v>97</v>
      </c>
      <c r="D79" s="39" t="s">
        <v>346</v>
      </c>
      <c r="E79" s="110" t="s">
        <v>70</v>
      </c>
      <c r="F79" s="112" t="s">
        <v>70</v>
      </c>
      <c r="G79" s="39" t="s">
        <v>175</v>
      </c>
      <c r="H79">
        <v>16.25</v>
      </c>
      <c r="I79">
        <f>25-7.5</f>
        <v>17.5</v>
      </c>
      <c r="J79" s="41">
        <v>4.4000000000000004</v>
      </c>
      <c r="K79" s="42" t="s">
        <v>171</v>
      </c>
      <c r="L79" s="43">
        <v>0.2</v>
      </c>
      <c r="M79" s="44">
        <v>114</v>
      </c>
      <c r="N79" s="42" t="s">
        <v>171</v>
      </c>
      <c r="O79" s="45">
        <f t="shared" si="26"/>
        <v>11.178440966</v>
      </c>
      <c r="P79" s="46">
        <v>116</v>
      </c>
      <c r="Q79" s="42" t="s">
        <v>171</v>
      </c>
      <c r="R79" s="47">
        <f t="shared" si="27"/>
        <v>9.9209974059999997</v>
      </c>
      <c r="S79" s="48">
        <v>0.79</v>
      </c>
      <c r="T79" s="42" t="s">
        <v>171</v>
      </c>
      <c r="U79" s="49">
        <f t="shared" si="28"/>
        <v>0.19398262769999999</v>
      </c>
      <c r="V79" s="48">
        <v>0.73</v>
      </c>
      <c r="W79" s="42" t="s">
        <v>171</v>
      </c>
      <c r="X79" s="49">
        <f t="shared" si="29"/>
        <v>0.18946600590000001</v>
      </c>
      <c r="Y79" s="50">
        <v>0.06</v>
      </c>
      <c r="Z79" s="30">
        <v>940</v>
      </c>
      <c r="AA79" s="26" t="s">
        <v>171</v>
      </c>
      <c r="AB79" s="24">
        <f>Z79*0.055</f>
        <v>51.7</v>
      </c>
      <c r="AC79" s="25">
        <v>3.08</v>
      </c>
      <c r="AD79" s="26" t="s">
        <v>171</v>
      </c>
      <c r="AE79" s="27">
        <f t="shared" si="22"/>
        <v>0.41929404936000003</v>
      </c>
      <c r="AF79" s="25">
        <v>5.7</v>
      </c>
      <c r="AG79" s="26" t="s">
        <v>171</v>
      </c>
      <c r="AH79" s="28">
        <f t="shared" si="23"/>
        <v>0.8718749977000001</v>
      </c>
      <c r="AI79" s="29">
        <v>8.7799999999999994</v>
      </c>
      <c r="AJ79" s="26" t="s">
        <v>171</v>
      </c>
      <c r="AK79" s="28">
        <f t="shared" si="24"/>
        <v>1.2207894558799999</v>
      </c>
      <c r="AL79" s="136">
        <v>931</v>
      </c>
      <c r="AM79" s="137"/>
      <c r="AN79" s="90">
        <f>'S-04-06 (2020)'!BB32</f>
        <v>1.2149834265387291</v>
      </c>
      <c r="AO79" s="156">
        <f t="shared" si="13"/>
        <v>15.521413274032264</v>
      </c>
      <c r="AP79" s="94"/>
      <c r="AQ79" s="85"/>
      <c r="AR79" s="85"/>
      <c r="AS79" s="85"/>
      <c r="AT79" s="85"/>
      <c r="AU79" s="92"/>
      <c r="AV79" s="91"/>
      <c r="AW79" s="91"/>
      <c r="AX79" s="91"/>
      <c r="AY79" s="91"/>
    </row>
    <row r="80" spans="1:51" ht="17.100000000000001" customHeight="1" thickTop="1" thickBot="1" x14ac:dyDescent="0.3">
      <c r="A80" s="35" t="s">
        <v>195</v>
      </c>
      <c r="B80" s="38" t="s">
        <v>199</v>
      </c>
      <c r="C80" s="86" t="s">
        <v>97</v>
      </c>
      <c r="D80" s="106" t="s">
        <v>346</v>
      </c>
      <c r="E80" s="110" t="s">
        <v>70</v>
      </c>
      <c r="F80" s="112" t="s">
        <v>70</v>
      </c>
      <c r="G80" s="38" t="s">
        <v>176</v>
      </c>
      <c r="H80">
        <v>35</v>
      </c>
      <c r="I80" s="76">
        <f>45-25</f>
        <v>20</v>
      </c>
      <c r="J80" s="41">
        <v>4.4000000000000004</v>
      </c>
      <c r="K80" s="42" t="s">
        <v>171</v>
      </c>
      <c r="L80" s="43">
        <v>0.2</v>
      </c>
      <c r="M80" s="44">
        <v>122</v>
      </c>
      <c r="N80" s="42" t="s">
        <v>171</v>
      </c>
      <c r="O80" s="45">
        <f t="shared" si="26"/>
        <v>11.841032901999998</v>
      </c>
      <c r="P80" s="46">
        <v>75</v>
      </c>
      <c r="Q80" s="42" t="s">
        <v>171</v>
      </c>
      <c r="R80" s="47">
        <f t="shared" si="27"/>
        <v>6.3010274150000001</v>
      </c>
      <c r="S80" s="48">
        <v>0.45</v>
      </c>
      <c r="T80" s="42" t="s">
        <v>171</v>
      </c>
      <c r="U80" s="49">
        <f t="shared" si="28"/>
        <v>0.16838843749999999</v>
      </c>
      <c r="V80" s="48">
        <v>0.44</v>
      </c>
      <c r="W80" s="42" t="s">
        <v>171</v>
      </c>
      <c r="X80" s="49">
        <f t="shared" si="29"/>
        <v>0.1676356672</v>
      </c>
      <c r="Y80" s="50">
        <v>0.01</v>
      </c>
      <c r="Z80" s="30">
        <v>350</v>
      </c>
      <c r="AA80" s="26" t="s">
        <v>171</v>
      </c>
      <c r="AB80" s="24">
        <f t="shared" ref="AB80:AB93" si="30">Z80*0.055</f>
        <v>19.25</v>
      </c>
      <c r="AC80" s="25">
        <v>0.72</v>
      </c>
      <c r="AD80" s="26" t="s">
        <v>171</v>
      </c>
      <c r="AE80" s="27">
        <f t="shared" si="22"/>
        <v>0.24923105224</v>
      </c>
      <c r="AF80" s="25">
        <v>4.1399999999999997</v>
      </c>
      <c r="AG80" s="26" t="s">
        <v>171</v>
      </c>
      <c r="AH80" s="28">
        <f t="shared" si="23"/>
        <v>0.65319642694000002</v>
      </c>
      <c r="AI80" s="29">
        <v>4.8600000000000003</v>
      </c>
      <c r="AJ80" s="26" t="s">
        <v>171</v>
      </c>
      <c r="AK80" s="28">
        <f t="shared" si="24"/>
        <v>1.0855665235600001</v>
      </c>
      <c r="AL80" s="136">
        <v>345</v>
      </c>
      <c r="AM80" s="137"/>
      <c r="AN80" s="151">
        <f>AN79+((AN79-AN81)/(H79-H81))*(H80-H79)</f>
        <v>1.4294214802240401</v>
      </c>
      <c r="AO80" s="156">
        <f t="shared" si="13"/>
        <v>12.578909025971555</v>
      </c>
      <c r="AP80" s="94"/>
      <c r="AQ80" s="85"/>
      <c r="AR80" s="85"/>
      <c r="AS80" s="85"/>
      <c r="AT80" s="85"/>
      <c r="AU80" s="92"/>
      <c r="AV80" s="91"/>
      <c r="AW80" s="91"/>
      <c r="AX80" s="91"/>
      <c r="AY80" s="91"/>
    </row>
    <row r="81" spans="1:51" s="164" customFormat="1" ht="17.45" customHeight="1" thickTop="1" thickBot="1" x14ac:dyDescent="0.3">
      <c r="A81" s="190" t="s">
        <v>195</v>
      </c>
      <c r="B81" s="163" t="s">
        <v>198</v>
      </c>
      <c r="C81" s="194" t="s">
        <v>97</v>
      </c>
      <c r="D81" s="163" t="s">
        <v>346</v>
      </c>
      <c r="E81" s="161" t="s">
        <v>70</v>
      </c>
      <c r="F81" s="161" t="s">
        <v>70</v>
      </c>
      <c r="G81" s="163" t="s">
        <v>21</v>
      </c>
      <c r="H81" s="164">
        <v>52.5</v>
      </c>
      <c r="I81" s="164">
        <f>'S-04-06 (2020)'!AY47-45</f>
        <v>7.7000000000000028</v>
      </c>
      <c r="J81" s="165">
        <v>4.3</v>
      </c>
      <c r="K81" s="166" t="s">
        <v>171</v>
      </c>
      <c r="L81" s="167">
        <v>0.2</v>
      </c>
      <c r="M81" s="168">
        <v>64</v>
      </c>
      <c r="N81" s="166" t="s">
        <v>171</v>
      </c>
      <c r="O81" s="169">
        <f t="shared" si="26"/>
        <v>7.0372413659999999</v>
      </c>
      <c r="P81" s="170">
        <v>80</v>
      </c>
      <c r="Q81" s="166" t="s">
        <v>171</v>
      </c>
      <c r="R81" s="171">
        <f t="shared" si="27"/>
        <v>6.7424871699999995</v>
      </c>
      <c r="S81" s="172">
        <v>0.37</v>
      </c>
      <c r="T81" s="166" t="s">
        <v>171</v>
      </c>
      <c r="U81" s="173">
        <f t="shared" si="28"/>
        <v>0.16236627510000001</v>
      </c>
      <c r="V81" s="172">
        <v>0.36</v>
      </c>
      <c r="W81" s="166" t="s">
        <v>171</v>
      </c>
      <c r="X81" s="173">
        <f t="shared" si="29"/>
        <v>0.1616135048</v>
      </c>
      <c r="Y81" s="174">
        <v>0.01</v>
      </c>
      <c r="Z81" s="175">
        <v>630</v>
      </c>
      <c r="AA81" s="176" t="s">
        <v>171</v>
      </c>
      <c r="AB81" s="177">
        <f t="shared" si="30"/>
        <v>34.65</v>
      </c>
      <c r="AC81" s="195">
        <v>1.2999999999999999E-2</v>
      </c>
      <c r="AD81" s="176" t="s">
        <v>171</v>
      </c>
      <c r="AE81" s="179">
        <f t="shared" si="22"/>
        <v>0.19828421369599999</v>
      </c>
      <c r="AF81" s="178">
        <v>1.07</v>
      </c>
      <c r="AG81" s="176" t="s">
        <v>171</v>
      </c>
      <c r="AH81" s="180">
        <f t="shared" si="23"/>
        <v>0.22284821396999999</v>
      </c>
      <c r="AI81" s="181">
        <v>1.08</v>
      </c>
      <c r="AJ81" s="176" t="s">
        <v>171</v>
      </c>
      <c r="AK81" s="180">
        <f t="shared" si="24"/>
        <v>0.95517298167999998</v>
      </c>
      <c r="AL81" s="182">
        <v>629</v>
      </c>
      <c r="AM81" s="183"/>
      <c r="AN81" s="184">
        <f>AN66</f>
        <v>1.6295636636636637</v>
      </c>
      <c r="AO81" s="185">
        <f t="shared" si="13"/>
        <v>4.5171504756756775</v>
      </c>
      <c r="AP81" s="186"/>
      <c r="AQ81" s="187"/>
      <c r="AR81" s="187"/>
      <c r="AS81" s="187"/>
      <c r="AT81" s="187"/>
      <c r="AU81" s="188"/>
      <c r="AV81" s="189"/>
      <c r="AW81" s="189"/>
      <c r="AX81" s="189"/>
      <c r="AY81" s="189"/>
    </row>
    <row r="82" spans="1:51" ht="17.45" customHeight="1" thickTop="1" thickBot="1" x14ac:dyDescent="0.3">
      <c r="A82" s="35" t="s">
        <v>195</v>
      </c>
      <c r="B82" s="38" t="s">
        <v>200</v>
      </c>
      <c r="C82" s="86" t="s">
        <v>97</v>
      </c>
      <c r="D82" s="39" t="s">
        <v>346</v>
      </c>
      <c r="E82" s="110" t="s">
        <v>70</v>
      </c>
      <c r="F82" s="112" t="s">
        <v>70</v>
      </c>
      <c r="G82" s="38" t="s">
        <v>177</v>
      </c>
      <c r="H82">
        <v>3.75</v>
      </c>
      <c r="I82">
        <v>7.5</v>
      </c>
      <c r="J82" s="41">
        <v>4.4000000000000004</v>
      </c>
      <c r="K82" s="42" t="s">
        <v>171</v>
      </c>
      <c r="L82" s="43">
        <v>0.2</v>
      </c>
      <c r="M82" s="44">
        <v>98</v>
      </c>
      <c r="N82" s="42" t="s">
        <v>171</v>
      </c>
      <c r="O82" s="45">
        <f t="shared" si="26"/>
        <v>9.8532570939999999</v>
      </c>
      <c r="P82" s="46">
        <v>174</v>
      </c>
      <c r="Q82" s="42" t="s">
        <v>171</v>
      </c>
      <c r="R82" s="47">
        <f t="shared" si="27"/>
        <v>15.041930563999999</v>
      </c>
      <c r="S82" s="48">
        <v>1.18</v>
      </c>
      <c r="T82" s="42" t="s">
        <v>171</v>
      </c>
      <c r="U82" s="49">
        <f t="shared" si="28"/>
        <v>0.2233406694</v>
      </c>
      <c r="V82" s="48">
        <v>1.1399999999999999</v>
      </c>
      <c r="W82" s="42" t="s">
        <v>171</v>
      </c>
      <c r="X82" s="49">
        <f t="shared" si="29"/>
        <v>0.22032958819999998</v>
      </c>
      <c r="Y82" s="50">
        <v>0.04</v>
      </c>
      <c r="Z82" s="30">
        <v>1180</v>
      </c>
      <c r="AA82" s="26" t="s">
        <v>171</v>
      </c>
      <c r="AB82" s="24">
        <f t="shared" si="30"/>
        <v>64.900000000000006</v>
      </c>
      <c r="AC82" s="25">
        <v>7.21</v>
      </c>
      <c r="AD82" s="26" t="s">
        <v>171</v>
      </c>
      <c r="AE82" s="27">
        <f t="shared" si="22"/>
        <v>0.71690429432000002</v>
      </c>
      <c r="AF82" s="25">
        <v>2.66</v>
      </c>
      <c r="AG82" s="26" t="s">
        <v>171</v>
      </c>
      <c r="AH82" s="28">
        <f t="shared" si="23"/>
        <v>0.44573214186000004</v>
      </c>
      <c r="AI82" s="29">
        <v>9.8699999999999992</v>
      </c>
      <c r="AJ82" s="26" t="s">
        <v>171</v>
      </c>
      <c r="AK82" s="28">
        <f t="shared" si="24"/>
        <v>1.2583897100199999</v>
      </c>
      <c r="AL82" s="136">
        <v>1170</v>
      </c>
      <c r="AM82" s="137"/>
      <c r="AN82" s="150">
        <f>AN83-((AN83-AN85)/(H83-H85))*3.5</f>
        <v>1.0287244783391845</v>
      </c>
      <c r="AO82" s="156">
        <f t="shared" si="13"/>
        <v>8.795594289800027</v>
      </c>
      <c r="AP82" s="94"/>
      <c r="AQ82" s="85"/>
      <c r="AR82" s="85"/>
      <c r="AS82" s="85"/>
      <c r="AT82" s="85"/>
      <c r="AU82" s="92">
        <f>'S-04-06 (2020)'!BQ5</f>
        <v>30</v>
      </c>
      <c r="AV82" s="91">
        <f>'S-04-06 (2020)'!BS5</f>
        <v>209.25355128881671</v>
      </c>
      <c r="AW82" s="91">
        <f>'S-04-06 (2020)'!BT5</f>
        <v>6.9751183762938904</v>
      </c>
      <c r="AX82" s="91">
        <f>'S-04-06 (2020)'!BU5</f>
        <v>107.82712407588438</v>
      </c>
      <c r="AY82" s="91">
        <f>'S-04-06 (2020)'!BV5</f>
        <v>3.5942374691961461</v>
      </c>
    </row>
    <row r="83" spans="1:51" ht="17.45" customHeight="1" thickTop="1" thickBot="1" x14ac:dyDescent="0.3">
      <c r="A83" s="40" t="s">
        <v>195</v>
      </c>
      <c r="B83" s="59" t="s">
        <v>200</v>
      </c>
      <c r="C83" s="86" t="s">
        <v>97</v>
      </c>
      <c r="D83" s="106" t="s">
        <v>346</v>
      </c>
      <c r="E83" s="110" t="s">
        <v>70</v>
      </c>
      <c r="F83" s="112" t="s">
        <v>70</v>
      </c>
      <c r="G83" s="59" t="s">
        <v>175</v>
      </c>
      <c r="H83">
        <v>16.25</v>
      </c>
      <c r="I83">
        <f>25-7.5</f>
        <v>17.5</v>
      </c>
      <c r="J83" s="41">
        <v>4.4000000000000004</v>
      </c>
      <c r="K83" s="42" t="s">
        <v>171</v>
      </c>
      <c r="L83" s="43">
        <v>0.2</v>
      </c>
      <c r="M83" s="44">
        <v>79</v>
      </c>
      <c r="N83" s="42" t="s">
        <v>171</v>
      </c>
      <c r="O83" s="45">
        <f t="shared" si="26"/>
        <v>8.2796012460000004</v>
      </c>
      <c r="P83" s="46">
        <v>108</v>
      </c>
      <c r="Q83" s="42" t="s">
        <v>171</v>
      </c>
      <c r="R83" s="47">
        <f t="shared" si="27"/>
        <v>9.2146617979999998</v>
      </c>
      <c r="S83" s="48">
        <v>0.75</v>
      </c>
      <c r="T83" s="42" t="s">
        <v>171</v>
      </c>
      <c r="U83" s="49">
        <f t="shared" si="28"/>
        <v>0.19097154650000001</v>
      </c>
      <c r="V83" s="48">
        <v>0.67</v>
      </c>
      <c r="W83" s="42" t="s">
        <v>171</v>
      </c>
      <c r="X83" s="49">
        <f t="shared" si="29"/>
        <v>0.1849493841</v>
      </c>
      <c r="Y83" s="50">
        <v>0.08</v>
      </c>
      <c r="Z83" s="30">
        <v>820</v>
      </c>
      <c r="AA83" s="26" t="s">
        <v>171</v>
      </c>
      <c r="AB83" s="24">
        <f t="shared" si="30"/>
        <v>45.1</v>
      </c>
      <c r="AC83" s="25">
        <v>2.25</v>
      </c>
      <c r="AD83" s="26" t="s">
        <v>171</v>
      </c>
      <c r="AE83" s="27">
        <f t="shared" si="22"/>
        <v>0.35948375799999999</v>
      </c>
      <c r="AF83" s="25">
        <v>1.88</v>
      </c>
      <c r="AG83" s="26" t="s">
        <v>171</v>
      </c>
      <c r="AH83" s="28">
        <f t="shared" si="23"/>
        <v>0.33639285648</v>
      </c>
      <c r="AI83" s="29">
        <v>4.13</v>
      </c>
      <c r="AJ83" s="26" t="s">
        <v>171</v>
      </c>
      <c r="AK83" s="28">
        <f t="shared" si="24"/>
        <v>1.0603847019799999</v>
      </c>
      <c r="AL83" s="136">
        <v>816</v>
      </c>
      <c r="AM83" s="137"/>
      <c r="AN83" s="90">
        <f>'S-04-06 (2020)'!BO35</f>
        <v>1.081628557550145</v>
      </c>
      <c r="AO83" s="156">
        <f t="shared" si="13"/>
        <v>12.68209483727545</v>
      </c>
      <c r="AP83" s="94"/>
      <c r="AQ83" s="85"/>
      <c r="AR83" s="85"/>
      <c r="AS83" s="85"/>
      <c r="AT83" s="85"/>
      <c r="AU83" s="92"/>
      <c r="AV83" s="91"/>
      <c r="AW83" s="91"/>
      <c r="AX83" s="91"/>
      <c r="AY83" s="91"/>
    </row>
    <row r="84" spans="1:51" ht="15.95" customHeight="1" thickTop="1" thickBot="1" x14ac:dyDescent="0.3">
      <c r="A84" s="34" t="s">
        <v>195</v>
      </c>
      <c r="B84" s="39" t="s">
        <v>200</v>
      </c>
      <c r="C84" s="86" t="s">
        <v>97</v>
      </c>
      <c r="D84" s="39" t="s">
        <v>346</v>
      </c>
      <c r="E84" s="110" t="s">
        <v>70</v>
      </c>
      <c r="F84" s="112" t="s">
        <v>70</v>
      </c>
      <c r="G84" s="39" t="s">
        <v>176</v>
      </c>
      <c r="H84">
        <v>35</v>
      </c>
      <c r="I84" s="76">
        <f>45-25</f>
        <v>20</v>
      </c>
      <c r="J84" s="41">
        <v>4.5999999999999996</v>
      </c>
      <c r="K84" s="42" t="s">
        <v>171</v>
      </c>
      <c r="L84" s="43">
        <v>0.2</v>
      </c>
      <c r="M84" s="44">
        <v>98</v>
      </c>
      <c r="N84" s="42" t="s">
        <v>171</v>
      </c>
      <c r="O84" s="45">
        <f t="shared" ref="O84:O93" si="31">M84*0.082823992+1.736505878</f>
        <v>9.8532570939999999</v>
      </c>
      <c r="P84" s="46">
        <v>68</v>
      </c>
      <c r="Q84" s="42" t="s">
        <v>171</v>
      </c>
      <c r="R84" s="47">
        <f t="shared" ref="R84:R93" si="32">P84*0.088291951-0.32086891</f>
        <v>5.6829837579999998</v>
      </c>
      <c r="S84" s="48">
        <v>0.43</v>
      </c>
      <c r="T84" s="42" t="s">
        <v>171</v>
      </c>
      <c r="U84" s="49">
        <f t="shared" ref="U84:U93" si="33">S84*0.07527703+0.134513774</f>
        <v>0.16688289689999999</v>
      </c>
      <c r="V84" s="48">
        <v>0.41</v>
      </c>
      <c r="W84" s="42" t="s">
        <v>171</v>
      </c>
      <c r="X84" s="49">
        <f t="shared" ref="X84:X93" si="34">V84*0.07527703+0.134513774</f>
        <v>0.1653773563</v>
      </c>
      <c r="Y84" s="50">
        <v>0.02</v>
      </c>
      <c r="Z84" s="30">
        <v>680</v>
      </c>
      <c r="AA84" s="26" t="s">
        <v>171</v>
      </c>
      <c r="AB84" s="24">
        <f t="shared" si="30"/>
        <v>37.4</v>
      </c>
      <c r="AC84" s="25">
        <v>0.86</v>
      </c>
      <c r="AD84" s="26" t="s">
        <v>171</v>
      </c>
      <c r="AE84" s="27">
        <f t="shared" si="22"/>
        <v>0.25931953512</v>
      </c>
      <c r="AF84" s="25">
        <v>1.1399999999999999</v>
      </c>
      <c r="AG84" s="26" t="s">
        <v>171</v>
      </c>
      <c r="AH84" s="28">
        <f t="shared" si="23"/>
        <v>0.23266071393999999</v>
      </c>
      <c r="AI84" s="29">
        <v>2</v>
      </c>
      <c r="AJ84" s="26" t="s">
        <v>171</v>
      </c>
      <c r="AK84" s="28">
        <f t="shared" si="24"/>
        <v>0.98690897599999994</v>
      </c>
      <c r="AL84" s="136">
        <v>678</v>
      </c>
      <c r="AM84" s="137"/>
      <c r="AN84" s="151">
        <f>AN83+((AN83-AN85)/(H83-H85))*(H84-H83)</f>
        <v>1.3650432676088615</v>
      </c>
      <c r="AO84" s="156">
        <f t="shared" si="13"/>
        <v>11.193354794392665</v>
      </c>
      <c r="AP84" s="94"/>
      <c r="AQ84" s="85"/>
      <c r="AR84" s="85"/>
      <c r="AS84" s="85"/>
      <c r="AT84" s="85"/>
      <c r="AU84" s="92"/>
      <c r="AV84" s="91"/>
      <c r="AW84" s="91"/>
      <c r="AX84" s="91"/>
      <c r="AY84" s="91"/>
    </row>
    <row r="85" spans="1:51" s="164" customFormat="1" ht="14.45" customHeight="1" thickTop="1" thickBot="1" x14ac:dyDescent="0.3">
      <c r="A85" s="190" t="s">
        <v>195</v>
      </c>
      <c r="B85" s="163" t="s">
        <v>200</v>
      </c>
      <c r="C85" s="194" t="s">
        <v>97</v>
      </c>
      <c r="D85" s="163" t="s">
        <v>346</v>
      </c>
      <c r="E85" s="161" t="s">
        <v>70</v>
      </c>
      <c r="F85" s="161" t="s">
        <v>70</v>
      </c>
      <c r="G85" s="163" t="s">
        <v>21</v>
      </c>
      <c r="H85" s="164">
        <v>52.5</v>
      </c>
      <c r="I85" s="164">
        <f>(5/10)*15</f>
        <v>7.5</v>
      </c>
      <c r="J85" s="165">
        <v>4.7</v>
      </c>
      <c r="K85" s="166" t="s">
        <v>171</v>
      </c>
      <c r="L85" s="167">
        <v>0.2</v>
      </c>
      <c r="M85" s="168">
        <v>75</v>
      </c>
      <c r="N85" s="166" t="s">
        <v>171</v>
      </c>
      <c r="O85" s="169">
        <f t="shared" si="31"/>
        <v>7.9483052780000003</v>
      </c>
      <c r="P85" s="170">
        <v>53</v>
      </c>
      <c r="Q85" s="166" t="s">
        <v>171</v>
      </c>
      <c r="R85" s="171">
        <f t="shared" si="32"/>
        <v>4.3586044929999996</v>
      </c>
      <c r="S85" s="172">
        <v>0.39</v>
      </c>
      <c r="T85" s="166" t="s">
        <v>171</v>
      </c>
      <c r="U85" s="173">
        <f t="shared" si="33"/>
        <v>0.16387181570000001</v>
      </c>
      <c r="V85" s="172">
        <v>0.37</v>
      </c>
      <c r="W85" s="166" t="s">
        <v>171</v>
      </c>
      <c r="X85" s="173">
        <f t="shared" si="34"/>
        <v>0.16236627510000001</v>
      </c>
      <c r="Y85" s="174">
        <v>0.02</v>
      </c>
      <c r="Z85" s="175">
        <v>770</v>
      </c>
      <c r="AA85" s="176" t="s">
        <v>171</v>
      </c>
      <c r="AB85" s="177">
        <f t="shared" si="30"/>
        <v>42.35</v>
      </c>
      <c r="AC85" s="178">
        <v>0.19</v>
      </c>
      <c r="AD85" s="176" t="s">
        <v>171</v>
      </c>
      <c r="AE85" s="179">
        <f t="shared" si="22"/>
        <v>0.21103893847999999</v>
      </c>
      <c r="AF85" s="178">
        <v>1.06</v>
      </c>
      <c r="AG85" s="176" t="s">
        <v>171</v>
      </c>
      <c r="AH85" s="180">
        <f t="shared" si="23"/>
        <v>0.22144642825999999</v>
      </c>
      <c r="AI85" s="181">
        <v>1.25</v>
      </c>
      <c r="AJ85" s="176" t="s">
        <v>171</v>
      </c>
      <c r="AK85" s="180">
        <f t="shared" si="24"/>
        <v>0.96103724149999992</v>
      </c>
      <c r="AL85" s="182">
        <v>769</v>
      </c>
      <c r="AM85" s="183"/>
      <c r="AN85" s="184">
        <f>AN66</f>
        <v>1.6295636636636637</v>
      </c>
      <c r="AO85" s="185">
        <f t="shared" si="13"/>
        <v>4.5220391666666666</v>
      </c>
      <c r="AP85" s="186"/>
      <c r="AQ85" s="187"/>
      <c r="AR85" s="187"/>
      <c r="AS85" s="187"/>
      <c r="AT85" s="187"/>
      <c r="AU85" s="188"/>
      <c r="AV85" s="189"/>
      <c r="AW85" s="189"/>
      <c r="AX85" s="189"/>
      <c r="AY85" s="189"/>
    </row>
    <row r="86" spans="1:51" ht="15.6" customHeight="1" thickTop="1" thickBot="1" x14ac:dyDescent="0.3">
      <c r="A86" s="35" t="s">
        <v>195</v>
      </c>
      <c r="B86" s="38" t="s">
        <v>98</v>
      </c>
      <c r="C86" s="112" t="s">
        <v>98</v>
      </c>
      <c r="D86" s="38" t="s">
        <v>350</v>
      </c>
      <c r="E86" s="38" t="s">
        <v>393</v>
      </c>
      <c r="F86" s="112"/>
      <c r="G86" s="38" t="s">
        <v>177</v>
      </c>
      <c r="H86">
        <v>3.75</v>
      </c>
      <c r="I86">
        <v>7.5</v>
      </c>
      <c r="J86" s="41">
        <v>5.5</v>
      </c>
      <c r="K86" s="42" t="s">
        <v>171</v>
      </c>
      <c r="L86" s="43">
        <v>0.2</v>
      </c>
      <c r="M86" s="44">
        <v>128</v>
      </c>
      <c r="N86" s="42" t="s">
        <v>171</v>
      </c>
      <c r="O86" s="45">
        <f t="shared" si="31"/>
        <v>12.337976854000001</v>
      </c>
      <c r="P86" s="46">
        <v>146</v>
      </c>
      <c r="Q86" s="42" t="s">
        <v>171</v>
      </c>
      <c r="R86" s="47">
        <f t="shared" si="32"/>
        <v>12.569755936</v>
      </c>
      <c r="S86" s="48">
        <v>2.93</v>
      </c>
      <c r="T86" s="42" t="s">
        <v>171</v>
      </c>
      <c r="U86" s="49">
        <f t="shared" si="33"/>
        <v>0.35507547189999999</v>
      </c>
      <c r="V86" s="48">
        <v>2.61</v>
      </c>
      <c r="W86" s="42" t="s">
        <v>171</v>
      </c>
      <c r="X86" s="49">
        <f t="shared" si="34"/>
        <v>0.33098682229999998</v>
      </c>
      <c r="Y86" s="50">
        <v>0.32</v>
      </c>
      <c r="Z86" s="30">
        <v>2140</v>
      </c>
      <c r="AA86" s="26" t="s">
        <v>171</v>
      </c>
      <c r="AB86" s="24">
        <f t="shared" si="30"/>
        <v>117.7</v>
      </c>
      <c r="AC86" s="25">
        <v>9.23</v>
      </c>
      <c r="AD86" s="26" t="s">
        <v>171</v>
      </c>
      <c r="AE86" s="27">
        <f t="shared" si="22"/>
        <v>0.8624666901600001</v>
      </c>
      <c r="AF86" s="25">
        <v>2.1</v>
      </c>
      <c r="AG86" s="26" t="s">
        <v>171</v>
      </c>
      <c r="AH86" s="28">
        <f t="shared" si="23"/>
        <v>0.36723214210000005</v>
      </c>
      <c r="AI86" s="29">
        <v>11.33</v>
      </c>
      <c r="AJ86" s="26" t="s">
        <v>171</v>
      </c>
      <c r="AK86" s="28">
        <f t="shared" si="24"/>
        <v>1.30875335318</v>
      </c>
      <c r="AL86" s="136">
        <v>2129</v>
      </c>
      <c r="AM86" s="137"/>
      <c r="AN86" s="150">
        <f>AN87-((AN87-AN89)/(H87-H89))*3.5</f>
        <v>1.1950031287168588</v>
      </c>
      <c r="AO86" s="156">
        <f t="shared" si="13"/>
        <v>23.392186244632509</v>
      </c>
      <c r="AP86" s="94"/>
      <c r="AQ86" s="85"/>
      <c r="AR86" s="85"/>
      <c r="AS86" s="85"/>
      <c r="AT86" s="85"/>
      <c r="AU86" s="92"/>
      <c r="AV86" s="91"/>
      <c r="AW86" s="91"/>
      <c r="AX86" s="91"/>
      <c r="AY86" s="91"/>
    </row>
    <row r="87" spans="1:51" ht="16.5" customHeight="1" thickTop="1" thickBot="1" x14ac:dyDescent="0.3">
      <c r="A87" s="34" t="s">
        <v>195</v>
      </c>
      <c r="B87" s="39" t="s">
        <v>98</v>
      </c>
      <c r="C87" s="39" t="s">
        <v>98</v>
      </c>
      <c r="D87" s="39" t="s">
        <v>350</v>
      </c>
      <c r="E87" s="39" t="s">
        <v>393</v>
      </c>
      <c r="F87" s="39"/>
      <c r="G87" s="39" t="s">
        <v>175</v>
      </c>
      <c r="H87">
        <v>16.25</v>
      </c>
      <c r="I87">
        <f>25-7.5</f>
        <v>17.5</v>
      </c>
      <c r="J87" s="41">
        <v>6.3</v>
      </c>
      <c r="K87" s="42" t="s">
        <v>171</v>
      </c>
      <c r="L87" s="43">
        <v>0.2</v>
      </c>
      <c r="M87" s="44">
        <v>82</v>
      </c>
      <c r="N87" s="42" t="s">
        <v>171</v>
      </c>
      <c r="O87" s="45">
        <f t="shared" si="31"/>
        <v>8.5280732219999997</v>
      </c>
      <c r="P87" s="46">
        <v>73</v>
      </c>
      <c r="Q87" s="42" t="s">
        <v>171</v>
      </c>
      <c r="R87" s="47">
        <f t="shared" si="32"/>
        <v>6.1244435130000001</v>
      </c>
      <c r="S87" s="48">
        <v>1.4</v>
      </c>
      <c r="T87" s="42" t="s">
        <v>171</v>
      </c>
      <c r="U87" s="49">
        <f t="shared" si="33"/>
        <v>0.23990161599999998</v>
      </c>
      <c r="V87" s="48">
        <v>1.33</v>
      </c>
      <c r="W87" s="42" t="s">
        <v>171</v>
      </c>
      <c r="X87" s="49">
        <f t="shared" si="34"/>
        <v>0.23463222389999999</v>
      </c>
      <c r="Y87" s="50">
        <v>7.0000000000000007E-2</v>
      </c>
      <c r="Z87" s="30">
        <v>1360</v>
      </c>
      <c r="AA87" s="26" t="s">
        <v>171</v>
      </c>
      <c r="AB87" s="24">
        <f t="shared" si="30"/>
        <v>74.8</v>
      </c>
      <c r="AC87" s="25">
        <v>7.51</v>
      </c>
      <c r="AD87" s="26" t="s">
        <v>171</v>
      </c>
      <c r="AE87" s="27">
        <f t="shared" si="22"/>
        <v>0.73852247191999998</v>
      </c>
      <c r="AF87" s="25">
        <v>1.43</v>
      </c>
      <c r="AG87" s="26" t="s">
        <v>171</v>
      </c>
      <c r="AH87" s="28">
        <f t="shared" si="23"/>
        <v>0.27331249952999997</v>
      </c>
      <c r="AI87" s="29">
        <v>8.94</v>
      </c>
      <c r="AJ87" s="26" t="s">
        <v>171</v>
      </c>
      <c r="AK87" s="28">
        <f t="shared" si="24"/>
        <v>1.2263087592399999</v>
      </c>
      <c r="AL87" s="136">
        <v>1351</v>
      </c>
      <c r="AM87" s="137"/>
      <c r="AN87" s="90">
        <f>'S-04-06 (2020)'!CB16</f>
        <v>1.2332663204731813</v>
      </c>
      <c r="AO87" s="156">
        <f t="shared" si="13"/>
        <v>28.704273609013295</v>
      </c>
      <c r="AP87" s="94"/>
      <c r="AQ87" s="85"/>
      <c r="AR87" s="85"/>
      <c r="AS87" s="85"/>
      <c r="AT87" s="85"/>
      <c r="AU87" s="92"/>
      <c r="AV87" s="91"/>
      <c r="AW87" s="91"/>
      <c r="AX87" s="91"/>
      <c r="AY87" s="91"/>
    </row>
    <row r="88" spans="1:51" ht="15.95" customHeight="1" thickTop="1" thickBot="1" x14ac:dyDescent="0.3">
      <c r="A88" s="35" t="s">
        <v>195</v>
      </c>
      <c r="B88" s="38" t="s">
        <v>98</v>
      </c>
      <c r="C88" s="112" t="s">
        <v>98</v>
      </c>
      <c r="D88" s="38" t="s">
        <v>350</v>
      </c>
      <c r="E88" s="38" t="s">
        <v>393</v>
      </c>
      <c r="F88" s="112"/>
      <c r="G88" s="38" t="s">
        <v>176</v>
      </c>
      <c r="H88">
        <v>35</v>
      </c>
      <c r="I88" s="76">
        <f>45-25</f>
        <v>20</v>
      </c>
      <c r="J88" s="41">
        <v>7</v>
      </c>
      <c r="K88" s="42" t="s">
        <v>171</v>
      </c>
      <c r="L88" s="43">
        <v>0.2</v>
      </c>
      <c r="M88" s="44">
        <v>173</v>
      </c>
      <c r="N88" s="42" t="s">
        <v>171</v>
      </c>
      <c r="O88" s="45">
        <f t="shared" si="31"/>
        <v>16.065056494</v>
      </c>
      <c r="P88" s="46">
        <v>65</v>
      </c>
      <c r="Q88" s="42" t="s">
        <v>171</v>
      </c>
      <c r="R88" s="47">
        <f t="shared" si="32"/>
        <v>5.4181079050000003</v>
      </c>
      <c r="S88" s="48">
        <v>0.65</v>
      </c>
      <c r="T88" s="42" t="s">
        <v>171</v>
      </c>
      <c r="U88" s="49">
        <f t="shared" si="33"/>
        <v>0.18344384350000001</v>
      </c>
      <c r="V88" s="48">
        <v>0.57999999999999996</v>
      </c>
      <c r="W88" s="42" t="s">
        <v>171</v>
      </c>
      <c r="X88" s="49">
        <f t="shared" si="34"/>
        <v>0.17817445139999999</v>
      </c>
      <c r="Y88" s="50">
        <v>7.0000000000000007E-2</v>
      </c>
      <c r="Z88" s="30">
        <v>700</v>
      </c>
      <c r="AA88" s="26" t="s">
        <v>171</v>
      </c>
      <c r="AB88" s="24">
        <f t="shared" si="30"/>
        <v>38.5</v>
      </c>
      <c r="AC88" s="25">
        <v>2.2599999999999998</v>
      </c>
      <c r="AD88" s="26" t="s">
        <v>171</v>
      </c>
      <c r="AE88" s="27">
        <f t="shared" si="22"/>
        <v>0.36020436391999999</v>
      </c>
      <c r="AF88" s="25">
        <v>1.42</v>
      </c>
      <c r="AG88" s="26" t="s">
        <v>171</v>
      </c>
      <c r="AH88" s="28">
        <f t="shared" si="23"/>
        <v>0.27191071381999998</v>
      </c>
      <c r="AI88" s="29">
        <v>3.68</v>
      </c>
      <c r="AJ88" s="26" t="s">
        <v>171</v>
      </c>
      <c r="AK88" s="28">
        <f t="shared" si="24"/>
        <v>1.0448616612799999</v>
      </c>
      <c r="AL88" s="136">
        <v>696</v>
      </c>
      <c r="AM88" s="137"/>
      <c r="AN88" s="151">
        <f>AN87+((AN87-AN89)/(H87-H89))*(H88-H87)</f>
        <v>1.4382477048820514</v>
      </c>
      <c r="AO88" s="156">
        <f t="shared" si="13"/>
        <v>16.683673376631795</v>
      </c>
      <c r="AP88" s="94"/>
      <c r="AQ88" s="85"/>
      <c r="AR88" s="85"/>
      <c r="AS88" s="85"/>
      <c r="AT88" s="85"/>
      <c r="AU88" s="92"/>
      <c r="AV88" s="91"/>
      <c r="AW88" s="91"/>
      <c r="AX88" s="91"/>
      <c r="AY88" s="91"/>
    </row>
    <row r="89" spans="1:51" s="164" customFormat="1" ht="15" customHeight="1" thickTop="1" thickBot="1" x14ac:dyDescent="0.3">
      <c r="A89" s="190" t="s">
        <v>195</v>
      </c>
      <c r="B89" s="163" t="s">
        <v>98</v>
      </c>
      <c r="C89" s="163" t="s">
        <v>98</v>
      </c>
      <c r="D89" s="163" t="s">
        <v>350</v>
      </c>
      <c r="E89" s="163" t="s">
        <v>393</v>
      </c>
      <c r="F89" s="163"/>
      <c r="G89" s="163" t="s">
        <v>21</v>
      </c>
      <c r="H89" s="164">
        <v>52.5</v>
      </c>
      <c r="I89" s="164">
        <f>'S-04-06 (2020)'!BY31-45</f>
        <v>7.7999999999999972</v>
      </c>
      <c r="J89" s="165">
        <v>7.6</v>
      </c>
      <c r="K89" s="166" t="s">
        <v>171</v>
      </c>
      <c r="L89" s="167">
        <v>0.2</v>
      </c>
      <c r="M89" s="168">
        <v>127</v>
      </c>
      <c r="N89" s="166" t="s">
        <v>171</v>
      </c>
      <c r="O89" s="169">
        <f t="shared" si="31"/>
        <v>12.255152861999999</v>
      </c>
      <c r="P89" s="170">
        <v>76</v>
      </c>
      <c r="Q89" s="166" t="s">
        <v>171</v>
      </c>
      <c r="R89" s="171">
        <f t="shared" si="32"/>
        <v>6.3893193659999996</v>
      </c>
      <c r="S89" s="172">
        <v>0.54</v>
      </c>
      <c r="T89" s="166" t="s">
        <v>171</v>
      </c>
      <c r="U89" s="173">
        <f t="shared" si="33"/>
        <v>0.1751633702</v>
      </c>
      <c r="V89" s="172">
        <v>0.45</v>
      </c>
      <c r="W89" s="166" t="s">
        <v>171</v>
      </c>
      <c r="X89" s="173">
        <f t="shared" si="34"/>
        <v>0.16838843749999999</v>
      </c>
      <c r="Y89" s="174">
        <v>0.09</v>
      </c>
      <c r="Z89" s="175">
        <v>420</v>
      </c>
      <c r="AA89" s="176" t="s">
        <v>171</v>
      </c>
      <c r="AB89" s="177">
        <f t="shared" si="30"/>
        <v>23.1</v>
      </c>
      <c r="AC89" s="178">
        <v>0.55000000000000004</v>
      </c>
      <c r="AD89" s="176" t="s">
        <v>171</v>
      </c>
      <c r="AE89" s="179">
        <f t="shared" si="22"/>
        <v>0.23698075159999998</v>
      </c>
      <c r="AF89" s="178">
        <v>1.35</v>
      </c>
      <c r="AG89" s="176" t="s">
        <v>171</v>
      </c>
      <c r="AH89" s="180">
        <f t="shared" si="23"/>
        <v>0.26209821385000004</v>
      </c>
      <c r="AI89" s="181">
        <v>1.9</v>
      </c>
      <c r="AJ89" s="176" t="s">
        <v>171</v>
      </c>
      <c r="AK89" s="180">
        <f t="shared" si="24"/>
        <v>0.98345941139999993</v>
      </c>
      <c r="AL89" s="182">
        <v>418</v>
      </c>
      <c r="AM89" s="183"/>
      <c r="AN89" s="184">
        <f>AN66</f>
        <v>1.6295636636636637</v>
      </c>
      <c r="AO89" s="185">
        <f t="shared" si="13"/>
        <v>5.7197684594594582</v>
      </c>
      <c r="AP89" s="186"/>
      <c r="AQ89" s="187"/>
      <c r="AR89" s="187"/>
      <c r="AS89" s="187"/>
      <c r="AT89" s="187"/>
      <c r="AU89" s="188"/>
      <c r="AV89" s="189"/>
      <c r="AW89" s="189"/>
      <c r="AX89" s="189"/>
      <c r="AY89" s="189"/>
    </row>
    <row r="90" spans="1:51" ht="15.6" customHeight="1" thickTop="1" thickBot="1" x14ac:dyDescent="0.3">
      <c r="A90" s="35" t="s">
        <v>195</v>
      </c>
      <c r="B90" s="38" t="s">
        <v>201</v>
      </c>
      <c r="C90" s="112" t="s">
        <v>178</v>
      </c>
      <c r="D90" s="38" t="s">
        <v>348</v>
      </c>
      <c r="E90" s="38" t="s">
        <v>400</v>
      </c>
      <c r="F90" s="112" t="s">
        <v>400</v>
      </c>
      <c r="G90" s="38" t="s">
        <v>177</v>
      </c>
      <c r="H90">
        <v>3.75</v>
      </c>
      <c r="I90">
        <v>7.5</v>
      </c>
      <c r="J90" s="41">
        <v>4.8</v>
      </c>
      <c r="K90" s="42" t="s">
        <v>171</v>
      </c>
      <c r="L90" s="43">
        <v>0.2</v>
      </c>
      <c r="M90" s="44">
        <v>178</v>
      </c>
      <c r="N90" s="42" t="s">
        <v>171</v>
      </c>
      <c r="O90" s="45">
        <f t="shared" si="31"/>
        <v>16.479176454000001</v>
      </c>
      <c r="P90" s="46">
        <v>94</v>
      </c>
      <c r="Q90" s="42" t="s">
        <v>171</v>
      </c>
      <c r="R90" s="47">
        <f t="shared" si="32"/>
        <v>7.9785744839999992</v>
      </c>
      <c r="S90" s="48">
        <v>1.78</v>
      </c>
      <c r="T90" s="42" t="s">
        <v>171</v>
      </c>
      <c r="U90" s="49">
        <f t="shared" si="33"/>
        <v>0.2685068874</v>
      </c>
      <c r="V90" s="48">
        <v>1.63</v>
      </c>
      <c r="W90" s="42" t="s">
        <v>171</v>
      </c>
      <c r="X90" s="49">
        <f t="shared" si="34"/>
        <v>0.25721533289999998</v>
      </c>
      <c r="Y90" s="50">
        <v>0.15</v>
      </c>
      <c r="Z90" s="30">
        <v>1760</v>
      </c>
      <c r="AA90" s="26" t="s">
        <v>171</v>
      </c>
      <c r="AB90" s="24">
        <f t="shared" si="30"/>
        <v>96.8</v>
      </c>
      <c r="AC90" s="25">
        <v>10.74</v>
      </c>
      <c r="AD90" s="26" t="s">
        <v>171</v>
      </c>
      <c r="AE90" s="27">
        <f t="shared" si="22"/>
        <v>0.97127818408000011</v>
      </c>
      <c r="AF90" s="25">
        <v>1.29</v>
      </c>
      <c r="AG90" s="26" t="s">
        <v>171</v>
      </c>
      <c r="AH90" s="28">
        <f t="shared" si="23"/>
        <v>0.25368749959000003</v>
      </c>
      <c r="AI90" s="29">
        <v>12.03</v>
      </c>
      <c r="AJ90" s="26" t="s">
        <v>171</v>
      </c>
      <c r="AK90" s="28">
        <f t="shared" si="24"/>
        <v>1.3329003053799999</v>
      </c>
      <c r="AL90" s="136">
        <v>1748</v>
      </c>
      <c r="AM90" s="137"/>
      <c r="AN90" s="150">
        <f>AN91-((AN91-AN93)/(H91-H93))*3.5</f>
        <v>1.2446247976602309</v>
      </c>
      <c r="AO90" s="156">
        <f t="shared" si="13"/>
        <v>15.215538151396322</v>
      </c>
      <c r="AP90" s="94"/>
      <c r="AQ90" s="85"/>
      <c r="AR90" s="85"/>
      <c r="AS90" s="85"/>
      <c r="AT90" s="85"/>
      <c r="AU90" s="92"/>
      <c r="AV90" s="91"/>
      <c r="AW90" s="91"/>
      <c r="AX90" s="91"/>
      <c r="AY90" s="91"/>
    </row>
    <row r="91" spans="1:51" ht="15.6" customHeight="1" thickTop="1" thickBot="1" x14ac:dyDescent="0.3">
      <c r="A91" s="34" t="s">
        <v>195</v>
      </c>
      <c r="B91" s="39" t="s">
        <v>202</v>
      </c>
      <c r="C91" s="39" t="s">
        <v>178</v>
      </c>
      <c r="D91" s="39" t="s">
        <v>348</v>
      </c>
      <c r="E91" s="39" t="s">
        <v>400</v>
      </c>
      <c r="F91" s="39" t="s">
        <v>400</v>
      </c>
      <c r="G91" s="39" t="s">
        <v>188</v>
      </c>
      <c r="H91">
        <v>16.25</v>
      </c>
      <c r="I91">
        <f>25-7.5</f>
        <v>17.5</v>
      </c>
      <c r="J91" s="41">
        <v>5.2</v>
      </c>
      <c r="K91" s="42" t="s">
        <v>171</v>
      </c>
      <c r="L91" s="43">
        <v>0.2</v>
      </c>
      <c r="M91" s="44">
        <v>163</v>
      </c>
      <c r="N91" s="42" t="s">
        <v>171</v>
      </c>
      <c r="O91" s="45">
        <f t="shared" si="31"/>
        <v>15.236816573999999</v>
      </c>
      <c r="P91" s="46">
        <v>68</v>
      </c>
      <c r="Q91" s="42" t="s">
        <v>171</v>
      </c>
      <c r="R91" s="47">
        <f t="shared" si="32"/>
        <v>5.6829837579999998</v>
      </c>
      <c r="S91" s="48">
        <v>1.55</v>
      </c>
      <c r="T91" s="42" t="s">
        <v>171</v>
      </c>
      <c r="U91" s="49">
        <f t="shared" si="33"/>
        <v>0.25119317050000001</v>
      </c>
      <c r="V91" s="48">
        <v>1.46</v>
      </c>
      <c r="W91" s="42" t="s">
        <v>171</v>
      </c>
      <c r="X91" s="49">
        <f t="shared" si="34"/>
        <v>0.24441823779999999</v>
      </c>
      <c r="Y91" s="50">
        <v>0.09</v>
      </c>
      <c r="Z91" s="30">
        <v>1530</v>
      </c>
      <c r="AA91" s="26" t="s">
        <v>171</v>
      </c>
      <c r="AB91" s="24">
        <f t="shared" si="30"/>
        <v>84.15</v>
      </c>
      <c r="AC91" s="25">
        <v>8.8000000000000007</v>
      </c>
      <c r="AD91" s="26" t="s">
        <v>171</v>
      </c>
      <c r="AE91" s="27">
        <f t="shared" si="22"/>
        <v>0.83148063560000007</v>
      </c>
      <c r="AF91" s="25">
        <v>1.17</v>
      </c>
      <c r="AG91" s="26" t="s">
        <v>171</v>
      </c>
      <c r="AH91" s="28">
        <f t="shared" si="23"/>
        <v>0.23686607107000002</v>
      </c>
      <c r="AI91" s="29">
        <v>9.9700000000000006</v>
      </c>
      <c r="AJ91" s="26" t="s">
        <v>171</v>
      </c>
      <c r="AK91" s="28">
        <f t="shared" si="24"/>
        <v>1.26183927462</v>
      </c>
      <c r="AL91" s="136">
        <v>1520</v>
      </c>
      <c r="AM91" s="137"/>
      <c r="AN91" s="90">
        <f>'S-04-06 (2020)'!CI16</f>
        <v>1.278518785861791</v>
      </c>
      <c r="AO91" s="156">
        <f t="shared" ref="AO91:AO154" si="35">AN91*V91*I91</f>
        <v>32.666154978768759</v>
      </c>
      <c r="AP91" s="94"/>
      <c r="AQ91" s="85"/>
      <c r="AR91" s="85"/>
      <c r="AS91" s="85"/>
      <c r="AT91" s="85"/>
      <c r="AU91" s="92"/>
      <c r="AV91" s="91"/>
      <c r="AW91" s="91"/>
      <c r="AX91" s="91"/>
      <c r="AY91" s="91"/>
    </row>
    <row r="92" spans="1:51" ht="16.5" customHeight="1" thickTop="1" thickBot="1" x14ac:dyDescent="0.3">
      <c r="A92" s="35" t="s">
        <v>195</v>
      </c>
      <c r="B92" s="38" t="s">
        <v>201</v>
      </c>
      <c r="C92" s="112" t="s">
        <v>178</v>
      </c>
      <c r="D92" s="38" t="s">
        <v>348</v>
      </c>
      <c r="E92" s="38" t="s">
        <v>400</v>
      </c>
      <c r="F92" s="112" t="s">
        <v>400</v>
      </c>
      <c r="G92" s="38" t="s">
        <v>176</v>
      </c>
      <c r="H92">
        <v>35</v>
      </c>
      <c r="I92" s="76">
        <f>45-25</f>
        <v>20</v>
      </c>
      <c r="J92" s="41">
        <v>5.0999999999999996</v>
      </c>
      <c r="K92" s="42" t="s">
        <v>171</v>
      </c>
      <c r="L92" s="43">
        <v>0.2</v>
      </c>
      <c r="M92" s="44">
        <v>101</v>
      </c>
      <c r="N92" s="42" t="s">
        <v>171</v>
      </c>
      <c r="O92" s="45">
        <f t="shared" si="31"/>
        <v>10.101729070000001</v>
      </c>
      <c r="P92" s="46">
        <v>55</v>
      </c>
      <c r="Q92" s="42" t="s">
        <v>171</v>
      </c>
      <c r="R92" s="47">
        <f t="shared" si="32"/>
        <v>4.5351883949999996</v>
      </c>
      <c r="S92" s="48">
        <v>0.74</v>
      </c>
      <c r="T92" s="42" t="s">
        <v>171</v>
      </c>
      <c r="U92" s="49">
        <f t="shared" si="33"/>
        <v>0.19021877619999999</v>
      </c>
      <c r="V92" s="48">
        <v>0.63</v>
      </c>
      <c r="W92" s="42" t="s">
        <v>171</v>
      </c>
      <c r="X92" s="49">
        <f t="shared" si="34"/>
        <v>0.18193830290000002</v>
      </c>
      <c r="Y92" s="50">
        <v>0.11</v>
      </c>
      <c r="Z92" s="30">
        <v>840</v>
      </c>
      <c r="AA92" s="26" t="s">
        <v>171</v>
      </c>
      <c r="AB92" s="24">
        <f t="shared" si="30"/>
        <v>46.2</v>
      </c>
      <c r="AC92" s="25">
        <v>3.49</v>
      </c>
      <c r="AD92" s="26" t="s">
        <v>171</v>
      </c>
      <c r="AE92" s="27">
        <f t="shared" si="22"/>
        <v>0.44883889208000005</v>
      </c>
      <c r="AF92" s="25">
        <v>0.86</v>
      </c>
      <c r="AG92" s="26" t="s">
        <v>171</v>
      </c>
      <c r="AH92" s="28">
        <f t="shared" si="23"/>
        <v>0.19341071405999999</v>
      </c>
      <c r="AI92" s="29">
        <v>4.3499999999999996</v>
      </c>
      <c r="AJ92" s="26" t="s">
        <v>171</v>
      </c>
      <c r="AK92" s="28">
        <f t="shared" si="24"/>
        <v>1.0679737440999999</v>
      </c>
      <c r="AL92" s="136">
        <v>836</v>
      </c>
      <c r="AM92" s="137"/>
      <c r="AN92" s="151">
        <f>AN91+((AN91-AN93)/(H91-H93))*(H92-H91)</f>
        <v>1.460093722655863</v>
      </c>
      <c r="AO92" s="156">
        <f t="shared" si="35"/>
        <v>18.397180905463873</v>
      </c>
      <c r="AP92" s="94"/>
      <c r="AQ92" s="85"/>
      <c r="AR92" s="85"/>
      <c r="AS92" s="85"/>
      <c r="AT92" s="85"/>
      <c r="AU92" s="92"/>
      <c r="AV92" s="91"/>
      <c r="AW92" s="91"/>
      <c r="AX92" s="91"/>
      <c r="AY92" s="91"/>
    </row>
    <row r="93" spans="1:51" s="164" customFormat="1" ht="16.5" customHeight="1" thickTop="1" thickBot="1" x14ac:dyDescent="0.3">
      <c r="A93" s="196" t="s">
        <v>195</v>
      </c>
      <c r="B93" s="197" t="s">
        <v>201</v>
      </c>
      <c r="C93" s="197" t="s">
        <v>178</v>
      </c>
      <c r="D93" s="197" t="s">
        <v>348</v>
      </c>
      <c r="E93" s="197" t="s">
        <v>400</v>
      </c>
      <c r="F93" s="197" t="s">
        <v>400</v>
      </c>
      <c r="G93" s="197" t="s">
        <v>21</v>
      </c>
      <c r="H93" s="164">
        <v>52.5</v>
      </c>
      <c r="I93" s="164">
        <f>'S-04-06 (2020)'!CF31-45</f>
        <v>3.3999999999999986</v>
      </c>
      <c r="J93" s="165">
        <v>5.3</v>
      </c>
      <c r="K93" s="166" t="s">
        <v>171</v>
      </c>
      <c r="L93" s="167">
        <v>0.2</v>
      </c>
      <c r="M93" s="168">
        <v>76</v>
      </c>
      <c r="N93" s="166" t="s">
        <v>171</v>
      </c>
      <c r="O93" s="169">
        <f t="shared" si="31"/>
        <v>8.031129270000001</v>
      </c>
      <c r="P93" s="170">
        <v>61</v>
      </c>
      <c r="Q93" s="166" t="s">
        <v>171</v>
      </c>
      <c r="R93" s="171">
        <f t="shared" si="32"/>
        <v>5.0649401009999995</v>
      </c>
      <c r="S93" s="172">
        <v>0.62</v>
      </c>
      <c r="T93" s="166" t="s">
        <v>171</v>
      </c>
      <c r="U93" s="173">
        <f t="shared" si="33"/>
        <v>0.1811855326</v>
      </c>
      <c r="V93" s="172">
        <v>0.6</v>
      </c>
      <c r="W93" s="166" t="s">
        <v>171</v>
      </c>
      <c r="X93" s="173">
        <f t="shared" si="34"/>
        <v>0.17967999200000001</v>
      </c>
      <c r="Y93" s="174">
        <v>0.02</v>
      </c>
      <c r="Z93" s="175">
        <v>720</v>
      </c>
      <c r="AA93" s="176" t="s">
        <v>171</v>
      </c>
      <c r="AB93" s="177">
        <f t="shared" si="30"/>
        <v>39.6</v>
      </c>
      <c r="AC93" s="178">
        <v>3.3</v>
      </c>
      <c r="AD93" s="176" t="s">
        <v>171</v>
      </c>
      <c r="AE93" s="179">
        <f>0.072060592*AC93+0.197347426</f>
        <v>0.43514737959999999</v>
      </c>
      <c r="AF93" s="178">
        <v>1.1200000000000001</v>
      </c>
      <c r="AG93" s="176" t="s">
        <v>171</v>
      </c>
      <c r="AH93" s="180">
        <f>0.140178571*AF93+0.072857143</f>
        <v>0.22985714252</v>
      </c>
      <c r="AI93" s="181">
        <v>4.42</v>
      </c>
      <c r="AJ93" s="176" t="s">
        <v>171</v>
      </c>
      <c r="AK93" s="180">
        <f>0.034495646*AI93+0.917917684</f>
        <v>1.0703884393199998</v>
      </c>
      <c r="AL93" s="182">
        <v>716</v>
      </c>
      <c r="AM93" s="183"/>
      <c r="AN93" s="184">
        <f>AN66</f>
        <v>1.6295636636636637</v>
      </c>
      <c r="AO93" s="185">
        <f t="shared" si="35"/>
        <v>3.3243098738738723</v>
      </c>
      <c r="AP93" s="186"/>
      <c r="AQ93" s="187"/>
      <c r="AR93" s="187"/>
      <c r="AS93" s="187"/>
      <c r="AT93" s="187"/>
      <c r="AU93" s="188"/>
      <c r="AV93" s="189"/>
      <c r="AW93" s="189"/>
      <c r="AX93" s="189"/>
      <c r="AY93" s="189"/>
    </row>
    <row r="94" spans="1:51" ht="15.6" customHeight="1" thickTop="1" thickBot="1" x14ac:dyDescent="0.3">
      <c r="A94" s="86" t="s">
        <v>396</v>
      </c>
      <c r="B94" s="86" t="s">
        <v>198</v>
      </c>
      <c r="C94" s="86" t="s">
        <v>97</v>
      </c>
      <c r="D94" s="86" t="s">
        <v>346</v>
      </c>
      <c r="E94" s="86" t="s">
        <v>401</v>
      </c>
      <c r="G94" s="62" t="s">
        <v>177</v>
      </c>
      <c r="H94">
        <v>3.75</v>
      </c>
      <c r="I94">
        <v>7.5</v>
      </c>
      <c r="J94" s="12">
        <v>4.2</v>
      </c>
      <c r="K94" s="13" t="s">
        <v>171</v>
      </c>
      <c r="L94" s="14">
        <v>0.2</v>
      </c>
      <c r="M94" s="15">
        <v>292</v>
      </c>
      <c r="N94" s="16" t="s">
        <v>171</v>
      </c>
      <c r="O94" s="17">
        <f t="shared" ref="O94:O104" si="36">M94*0.082823992+1.736505878</f>
        <v>25.921111541999998</v>
      </c>
      <c r="P94" s="18">
        <v>51</v>
      </c>
      <c r="Q94" s="16" t="s">
        <v>171</v>
      </c>
      <c r="R94" s="19">
        <f t="shared" ref="R94:R104" si="37">P94*0.088291951-0.32086891</f>
        <v>4.1820205909999997</v>
      </c>
      <c r="S94" s="20">
        <v>1.84</v>
      </c>
      <c r="T94" s="21" t="s">
        <v>171</v>
      </c>
      <c r="U94" s="22">
        <f t="shared" ref="U94:U104" si="38">S94*0.07527703+0.134513774</f>
        <v>0.27302350919999996</v>
      </c>
      <c r="V94" s="20">
        <v>1.83</v>
      </c>
      <c r="W94" s="21" t="s">
        <v>171</v>
      </c>
      <c r="X94" s="22">
        <f t="shared" ref="X94:X104" si="39">V94*0.07527703+0.134513774</f>
        <v>0.27227073889999998</v>
      </c>
      <c r="Y94" s="23">
        <f>S94-V94</f>
        <v>1.0000000000000009E-2</v>
      </c>
      <c r="Z94" s="66">
        <v>130</v>
      </c>
      <c r="AA94" s="16" t="s">
        <v>171</v>
      </c>
      <c r="AB94" s="67">
        <f>Z94*0.055</f>
        <v>7.15</v>
      </c>
      <c r="AC94" s="68">
        <v>0</v>
      </c>
      <c r="AD94" s="21" t="s">
        <v>171</v>
      </c>
      <c r="AE94" s="69">
        <f>0.072060592*AC94+0.197347426</f>
        <v>0.19734742599999999</v>
      </c>
      <c r="AF94" s="68">
        <v>4.5199999999999996</v>
      </c>
      <c r="AG94" s="21" t="s">
        <v>171</v>
      </c>
      <c r="AH94" s="22">
        <f>0.140178571*AF94+0.072857143</f>
        <v>0.70646428391999994</v>
      </c>
      <c r="AI94" s="70">
        <v>4.5199999999999996</v>
      </c>
      <c r="AJ94" s="21" t="s">
        <v>171</v>
      </c>
      <c r="AK94" s="22">
        <f>0.034495646*AI94+0.917917684</f>
        <v>1.07383800392</v>
      </c>
      <c r="AL94" s="68">
        <v>1134.52</v>
      </c>
      <c r="AM94" s="70"/>
      <c r="AN94" s="153">
        <f>AVERAGE(AN90,AN86,AN82,AN78)</f>
        <v>1.1608268486417697</v>
      </c>
      <c r="AO94" s="156">
        <f t="shared" si="35"/>
        <v>15.932348497608288</v>
      </c>
      <c r="AP94" s="94"/>
      <c r="AQ94" s="85"/>
      <c r="AR94" s="85"/>
      <c r="AS94" s="85"/>
      <c r="AT94" s="85"/>
      <c r="AU94" s="92">
        <f>'S-13-14(2020)'!H4</f>
        <v>34</v>
      </c>
      <c r="AV94" s="91">
        <f>'S-13-14(2020)'!J4</f>
        <v>348.6124065127982</v>
      </c>
      <c r="AW94" s="91">
        <f>'S-13-14(2020)'!K4</f>
        <v>10.253306073905829</v>
      </c>
      <c r="AX94" s="91">
        <f>'S-13-14(2020)'!L4</f>
        <v>179.63792241483014</v>
      </c>
      <c r="AY94" s="91">
        <f>'S-13-14(2020)'!M4</f>
        <v>5.2834683063185333</v>
      </c>
    </row>
    <row r="95" spans="1:51" ht="18" thickTop="1" thickBot="1" x14ac:dyDescent="0.3">
      <c r="A95" s="86" t="s">
        <v>396</v>
      </c>
      <c r="B95" s="86" t="s">
        <v>198</v>
      </c>
      <c r="C95" s="86" t="s">
        <v>97</v>
      </c>
      <c r="D95" s="86" t="s">
        <v>346</v>
      </c>
      <c r="E95" s="86" t="s">
        <v>401</v>
      </c>
      <c r="G95" s="63" t="s">
        <v>188</v>
      </c>
      <c r="H95">
        <v>16.25</v>
      </c>
      <c r="I95">
        <f>25-7.5</f>
        <v>17.5</v>
      </c>
      <c r="J95" s="12">
        <v>5</v>
      </c>
      <c r="K95" s="13" t="s">
        <v>171</v>
      </c>
      <c r="L95" s="14">
        <v>0.2</v>
      </c>
      <c r="M95" s="15">
        <v>473</v>
      </c>
      <c r="N95" s="16" t="s">
        <v>171</v>
      </c>
      <c r="O95" s="17">
        <f t="shared" si="36"/>
        <v>40.912254094000005</v>
      </c>
      <c r="P95" s="18">
        <v>33</v>
      </c>
      <c r="Q95" s="16" t="s">
        <v>171</v>
      </c>
      <c r="R95" s="19">
        <f t="shared" si="37"/>
        <v>2.5927654729999996</v>
      </c>
      <c r="S95" s="20">
        <v>1.37</v>
      </c>
      <c r="T95" s="21" t="s">
        <v>171</v>
      </c>
      <c r="U95" s="22">
        <f t="shared" si="38"/>
        <v>0.23764330510000001</v>
      </c>
      <c r="V95" s="20">
        <v>1.07</v>
      </c>
      <c r="W95" s="21" t="s">
        <v>171</v>
      </c>
      <c r="X95" s="22">
        <f t="shared" si="39"/>
        <v>0.21506019609999999</v>
      </c>
      <c r="Y95" s="23">
        <f t="shared" ref="Y95:Y104" si="40">S95-V95</f>
        <v>0.30000000000000004</v>
      </c>
      <c r="Z95" s="71">
        <v>920</v>
      </c>
      <c r="AA95" s="21" t="s">
        <v>171</v>
      </c>
      <c r="AB95" s="67">
        <f t="shared" ref="AB95:AB119" si="41">Z95*0.055</f>
        <v>50.6</v>
      </c>
      <c r="AC95" s="68">
        <v>0.76</v>
      </c>
      <c r="AD95" s="21" t="s">
        <v>171</v>
      </c>
      <c r="AE95" s="69">
        <f>0.072060592*AC95+0.197347426</f>
        <v>0.25211347592</v>
      </c>
      <c r="AF95" s="68">
        <v>3.17</v>
      </c>
      <c r="AG95" s="21" t="s">
        <v>171</v>
      </c>
      <c r="AH95" s="22">
        <f t="shared" ref="AH95:AH118" si="42">0.140178571*AF95+0.072857143</f>
        <v>0.51722321306999997</v>
      </c>
      <c r="AI95" s="70">
        <v>3.93</v>
      </c>
      <c r="AJ95" s="21" t="s">
        <v>171</v>
      </c>
      <c r="AK95" s="22">
        <f t="shared" ref="AK95:AK118" si="43">0.034495646*AI95+0.917917684</f>
        <v>1.0534855727799999</v>
      </c>
      <c r="AL95" s="68">
        <v>923.93</v>
      </c>
      <c r="AM95" s="70"/>
      <c r="AN95" s="90">
        <f>'S-13-14(2020)'!D40</f>
        <v>1.2244750092103647</v>
      </c>
      <c r="AO95" s="156">
        <f t="shared" si="35"/>
        <v>22.92829454746408</v>
      </c>
      <c r="AP95" s="94"/>
      <c r="AQ95" s="85"/>
      <c r="AR95" s="85"/>
      <c r="AS95" s="85"/>
      <c r="AT95" s="85"/>
      <c r="AU95" s="92"/>
      <c r="AV95" s="91"/>
      <c r="AW95" s="91"/>
      <c r="AX95" s="91"/>
      <c r="AY95" s="91"/>
    </row>
    <row r="96" spans="1:51" ht="18" thickTop="1" thickBot="1" x14ac:dyDescent="0.3">
      <c r="G96" s="112" t="s">
        <v>176</v>
      </c>
      <c r="H96">
        <v>35</v>
      </c>
      <c r="I96" s="76">
        <f>45-25</f>
        <v>20</v>
      </c>
      <c r="J96" s="12"/>
      <c r="K96" s="13"/>
      <c r="L96" s="14"/>
      <c r="M96" s="15"/>
      <c r="N96" s="16"/>
      <c r="O96" s="17"/>
      <c r="P96" s="18"/>
      <c r="Q96" s="16"/>
      <c r="R96" s="19"/>
      <c r="S96" s="20"/>
      <c r="T96" s="21"/>
      <c r="U96" s="22"/>
      <c r="V96" s="158">
        <f>AVERAGE(V100,V104,V108)</f>
        <v>0.96333333333333337</v>
      </c>
      <c r="W96" s="21"/>
      <c r="X96" s="22"/>
      <c r="Y96" s="23"/>
      <c r="Z96" s="71"/>
      <c r="AA96" s="21"/>
      <c r="AB96" s="67"/>
      <c r="AC96" s="68"/>
      <c r="AD96" s="21"/>
      <c r="AE96" s="69"/>
      <c r="AF96" s="68"/>
      <c r="AG96" s="21"/>
      <c r="AH96" s="22"/>
      <c r="AI96" s="70"/>
      <c r="AJ96" s="21"/>
      <c r="AK96" s="22"/>
      <c r="AL96" s="68"/>
      <c r="AM96" s="70"/>
      <c r="AN96" s="153">
        <f>AN104</f>
        <v>1.5369769953238119</v>
      </c>
      <c r="AO96" s="156">
        <f t="shared" si="35"/>
        <v>29.612423443238779</v>
      </c>
      <c r="AP96" s="94"/>
      <c r="AQ96" s="85"/>
      <c r="AR96" s="85"/>
      <c r="AS96" s="85"/>
      <c r="AT96" s="85"/>
      <c r="AU96" s="92"/>
      <c r="AV96" s="91"/>
      <c r="AW96" s="91"/>
      <c r="AX96" s="91"/>
      <c r="AY96" s="91"/>
    </row>
    <row r="97" spans="1:51" ht="18" thickTop="1" thickBot="1" x14ac:dyDescent="0.3">
      <c r="A97" s="86" t="s">
        <v>396</v>
      </c>
      <c r="B97" s="86" t="s">
        <v>198</v>
      </c>
      <c r="C97" s="86" t="s">
        <v>97</v>
      </c>
      <c r="D97" s="86" t="s">
        <v>346</v>
      </c>
      <c r="E97" s="86" t="s">
        <v>401</v>
      </c>
      <c r="G97" s="61" t="s">
        <v>21</v>
      </c>
      <c r="H97">
        <v>52.5</v>
      </c>
      <c r="I97">
        <f>60-45</f>
        <v>15</v>
      </c>
      <c r="J97" s="12">
        <v>4.9000000000000004</v>
      </c>
      <c r="K97" s="13" t="s">
        <v>171</v>
      </c>
      <c r="L97" s="14">
        <v>0.2</v>
      </c>
      <c r="M97" s="15">
        <v>124</v>
      </c>
      <c r="N97" s="16" t="s">
        <v>171</v>
      </c>
      <c r="O97" s="17">
        <f t="shared" si="36"/>
        <v>12.006680886000002</v>
      </c>
      <c r="P97" s="18">
        <v>24</v>
      </c>
      <c r="Q97" s="16" t="s">
        <v>171</v>
      </c>
      <c r="R97" s="19">
        <f t="shared" si="37"/>
        <v>1.798137914</v>
      </c>
      <c r="S97" s="20">
        <v>1.0900000000000001</v>
      </c>
      <c r="T97" s="21" t="s">
        <v>171</v>
      </c>
      <c r="U97" s="22">
        <f t="shared" si="38"/>
        <v>0.21656573670000001</v>
      </c>
      <c r="V97" s="20">
        <v>1</v>
      </c>
      <c r="W97" s="21" t="s">
        <v>171</v>
      </c>
      <c r="X97" s="22">
        <f t="shared" si="39"/>
        <v>0.209790804</v>
      </c>
      <c r="Y97" s="23">
        <f t="shared" si="40"/>
        <v>9.000000000000008E-2</v>
      </c>
      <c r="Z97" s="71">
        <v>980</v>
      </c>
      <c r="AA97" s="21" t="s">
        <v>171</v>
      </c>
      <c r="AB97" s="67">
        <f t="shared" si="41"/>
        <v>53.9</v>
      </c>
      <c r="AC97" s="68">
        <v>0</v>
      </c>
      <c r="AD97" s="21" t="s">
        <v>171</v>
      </c>
      <c r="AE97" s="69">
        <f>0.072060592*AC97+0.197347426</f>
        <v>0.19734742599999999</v>
      </c>
      <c r="AF97" s="68">
        <v>1.52</v>
      </c>
      <c r="AG97" s="21" t="s">
        <v>171</v>
      </c>
      <c r="AH97" s="22">
        <f t="shared" si="42"/>
        <v>0.28592857092000001</v>
      </c>
      <c r="AI97" s="70">
        <v>1.52</v>
      </c>
      <c r="AJ97" s="21" t="s">
        <v>171</v>
      </c>
      <c r="AK97" s="22">
        <f t="shared" si="43"/>
        <v>0.97035106591999998</v>
      </c>
      <c r="AL97" s="68">
        <v>981.52</v>
      </c>
      <c r="AM97" s="70"/>
      <c r="AN97" s="144">
        <f>AVERAGE(SoilAgric2000_BD!AK37,SoilAgric2000_BD!AK41,SoilWoodyCrop_BD!AJ53,SoilWoodyCrop_BD!AJ57)</f>
        <v>1.5749526097239523</v>
      </c>
      <c r="AO97" s="156">
        <f t="shared" si="35"/>
        <v>23.624289145859287</v>
      </c>
      <c r="AP97" s="94"/>
      <c r="AQ97" s="85"/>
      <c r="AR97" s="85"/>
      <c r="AS97" s="85"/>
      <c r="AT97" s="85"/>
      <c r="AU97" s="92"/>
      <c r="AV97" s="91"/>
      <c r="AW97" s="91"/>
      <c r="AX97" s="91"/>
      <c r="AY97" s="91"/>
    </row>
    <row r="98" spans="1:51" ht="18" thickTop="1" thickBot="1" x14ac:dyDescent="0.3">
      <c r="A98" s="86" t="s">
        <v>396</v>
      </c>
      <c r="B98" s="86" t="s">
        <v>98</v>
      </c>
      <c r="C98" s="86" t="s">
        <v>98</v>
      </c>
      <c r="D98" s="86" t="s">
        <v>350</v>
      </c>
      <c r="E98" s="86" t="s">
        <v>397</v>
      </c>
      <c r="F98" s="86" t="s">
        <v>397</v>
      </c>
      <c r="G98" s="60" t="s">
        <v>177</v>
      </c>
      <c r="H98">
        <v>3.75</v>
      </c>
      <c r="I98">
        <v>7.5</v>
      </c>
      <c r="J98" s="12">
        <v>4.8</v>
      </c>
      <c r="K98" s="13" t="s">
        <v>171</v>
      </c>
      <c r="L98" s="14">
        <v>0.2</v>
      </c>
      <c r="M98" s="15">
        <v>344</v>
      </c>
      <c r="N98" s="16" t="s">
        <v>171</v>
      </c>
      <c r="O98" s="17">
        <f t="shared" si="36"/>
        <v>30.227959125999998</v>
      </c>
      <c r="P98" s="18">
        <v>87</v>
      </c>
      <c r="Q98" s="16" t="s">
        <v>171</v>
      </c>
      <c r="R98" s="19">
        <f t="shared" si="37"/>
        <v>7.3605308269999998</v>
      </c>
      <c r="S98" s="20">
        <v>1.95</v>
      </c>
      <c r="T98" s="21" t="s">
        <v>171</v>
      </c>
      <c r="U98" s="22">
        <f t="shared" si="38"/>
        <v>0.28130398249999999</v>
      </c>
      <c r="V98" s="20">
        <v>1.92</v>
      </c>
      <c r="W98" s="21" t="s">
        <v>171</v>
      </c>
      <c r="X98" s="22">
        <f t="shared" si="39"/>
        <v>0.27904567159999999</v>
      </c>
      <c r="Y98" s="23">
        <f t="shared" si="40"/>
        <v>3.0000000000000027E-2</v>
      </c>
      <c r="Z98" s="71">
        <v>1120</v>
      </c>
      <c r="AA98" s="21" t="s">
        <v>171</v>
      </c>
      <c r="AB98" s="67">
        <f t="shared" si="41"/>
        <v>61.6</v>
      </c>
      <c r="AC98" s="68">
        <v>2.11</v>
      </c>
      <c r="AD98" s="21" t="s">
        <v>171</v>
      </c>
      <c r="AE98" s="69">
        <f t="shared" ref="AE98:AE118" si="44">0.072060592*AC98+0.197347426</f>
        <v>0.34939527512000002</v>
      </c>
      <c r="AF98" s="68">
        <v>7.87</v>
      </c>
      <c r="AG98" s="21" t="s">
        <v>171</v>
      </c>
      <c r="AH98" s="22">
        <f t="shared" si="42"/>
        <v>1.17606249677</v>
      </c>
      <c r="AI98" s="70">
        <v>9.98</v>
      </c>
      <c r="AJ98" s="21" t="s">
        <v>171</v>
      </c>
      <c r="AK98" s="22">
        <f t="shared" si="43"/>
        <v>1.26218423108</v>
      </c>
      <c r="AL98" s="68">
        <v>1129.98</v>
      </c>
      <c r="AM98" s="70"/>
      <c r="AN98" s="150">
        <f>AN99-((AN99-AN101)/(H99-H101))*3.5</f>
        <v>1.5006193706346047</v>
      </c>
      <c r="AO98" s="156">
        <f t="shared" si="35"/>
        <v>21.608918937138309</v>
      </c>
      <c r="AP98" s="94"/>
      <c r="AQ98" s="85"/>
      <c r="AR98" s="85"/>
      <c r="AS98" s="85"/>
      <c r="AT98" s="85"/>
      <c r="AU98" s="92"/>
      <c r="AV98" s="91"/>
      <c r="AW98" s="91"/>
      <c r="AX98" s="91"/>
      <c r="AY98" s="91"/>
    </row>
    <row r="99" spans="1:51" ht="18" thickTop="1" thickBot="1" x14ac:dyDescent="0.3">
      <c r="A99" s="86" t="s">
        <v>396</v>
      </c>
      <c r="B99" s="86" t="s">
        <v>98</v>
      </c>
      <c r="C99" s="86" t="s">
        <v>98</v>
      </c>
      <c r="D99" s="86" t="s">
        <v>350</v>
      </c>
      <c r="E99" s="86" t="s">
        <v>397</v>
      </c>
      <c r="F99" s="86" t="s">
        <v>397</v>
      </c>
      <c r="G99" s="61" t="s">
        <v>175</v>
      </c>
      <c r="H99">
        <v>16.25</v>
      </c>
      <c r="I99">
        <f>25-7.5</f>
        <v>17.5</v>
      </c>
      <c r="J99" s="12">
        <v>4.7</v>
      </c>
      <c r="K99" s="13" t="s">
        <v>171</v>
      </c>
      <c r="L99" s="14">
        <v>0.2</v>
      </c>
      <c r="M99" s="15">
        <v>514</v>
      </c>
      <c r="N99" s="16" t="s">
        <v>171</v>
      </c>
      <c r="O99" s="17">
        <f t="shared" si="36"/>
        <v>44.308037766000005</v>
      </c>
      <c r="P99" s="18">
        <v>26</v>
      </c>
      <c r="Q99" s="16" t="s">
        <v>171</v>
      </c>
      <c r="R99" s="19">
        <f t="shared" si="37"/>
        <v>1.974721816</v>
      </c>
      <c r="S99" s="20">
        <v>1.1200000000000001</v>
      </c>
      <c r="T99" s="21" t="s">
        <v>171</v>
      </c>
      <c r="U99" s="22">
        <f t="shared" si="38"/>
        <v>0.21882404760000002</v>
      </c>
      <c r="V99" s="20">
        <v>1.04</v>
      </c>
      <c r="W99" s="21" t="s">
        <v>171</v>
      </c>
      <c r="X99" s="22">
        <f t="shared" si="39"/>
        <v>0.21280188519999998</v>
      </c>
      <c r="Y99" s="23">
        <f t="shared" si="40"/>
        <v>8.0000000000000071E-2</v>
      </c>
      <c r="Z99" s="71">
        <v>740</v>
      </c>
      <c r="AA99" s="21" t="s">
        <v>171</v>
      </c>
      <c r="AB99" s="67">
        <f t="shared" si="41"/>
        <v>40.700000000000003</v>
      </c>
      <c r="AC99" s="68">
        <v>1.46</v>
      </c>
      <c r="AD99" s="21" t="s">
        <v>171</v>
      </c>
      <c r="AE99" s="69">
        <f t="shared" si="44"/>
        <v>0.30255589031999996</v>
      </c>
      <c r="AF99" s="68">
        <v>1.89</v>
      </c>
      <c r="AG99" s="21" t="s">
        <v>171</v>
      </c>
      <c r="AH99" s="22">
        <f t="shared" si="42"/>
        <v>0.33779464218999999</v>
      </c>
      <c r="AI99" s="70">
        <v>3.35</v>
      </c>
      <c r="AJ99" s="21" t="s">
        <v>171</v>
      </c>
      <c r="AK99" s="22">
        <f t="shared" si="43"/>
        <v>1.0334780981</v>
      </c>
      <c r="AL99" s="68">
        <v>743.35</v>
      </c>
      <c r="AM99" s="70"/>
      <c r="AN99" s="90">
        <f>'S-13-14(2020)'!D58</f>
        <v>1.5071644357116543</v>
      </c>
      <c r="AO99" s="156">
        <f t="shared" si="35"/>
        <v>27.430392729952107</v>
      </c>
      <c r="AP99" s="94"/>
      <c r="AQ99" s="85"/>
      <c r="AR99" s="85"/>
      <c r="AS99" s="85"/>
      <c r="AT99" s="85"/>
      <c r="AU99" s="92"/>
      <c r="AV99" s="91"/>
      <c r="AW99" s="91"/>
      <c r="AX99" s="91"/>
      <c r="AY99" s="91"/>
    </row>
    <row r="100" spans="1:51" ht="18" thickTop="1" thickBot="1" x14ac:dyDescent="0.3">
      <c r="A100" s="86" t="s">
        <v>396</v>
      </c>
      <c r="B100" s="86" t="s">
        <v>98</v>
      </c>
      <c r="C100" s="86" t="s">
        <v>98</v>
      </c>
      <c r="D100" s="86" t="s">
        <v>350</v>
      </c>
      <c r="E100" s="86" t="s">
        <v>397</v>
      </c>
      <c r="F100" s="86" t="s">
        <v>397</v>
      </c>
      <c r="G100" s="60" t="s">
        <v>176</v>
      </c>
      <c r="H100">
        <v>35</v>
      </c>
      <c r="I100" s="76">
        <f>45-25</f>
        <v>20</v>
      </c>
      <c r="J100" s="12">
        <v>5</v>
      </c>
      <c r="K100" s="13" t="s">
        <v>171</v>
      </c>
      <c r="L100" s="14">
        <v>0.2</v>
      </c>
      <c r="M100" s="15">
        <v>266</v>
      </c>
      <c r="N100" s="16" t="s">
        <v>171</v>
      </c>
      <c r="O100" s="17">
        <f t="shared" si="36"/>
        <v>23.76768775</v>
      </c>
      <c r="P100" s="18">
        <v>19</v>
      </c>
      <c r="Q100" s="16" t="s">
        <v>171</v>
      </c>
      <c r="R100" s="19">
        <f t="shared" si="37"/>
        <v>1.3566781589999999</v>
      </c>
      <c r="S100" s="20">
        <v>0.75</v>
      </c>
      <c r="T100" s="21" t="s">
        <v>171</v>
      </c>
      <c r="U100" s="22">
        <f t="shared" si="38"/>
        <v>0.19097154650000001</v>
      </c>
      <c r="V100" s="20">
        <v>0.73</v>
      </c>
      <c r="W100" s="21" t="s">
        <v>171</v>
      </c>
      <c r="X100" s="22">
        <f t="shared" si="39"/>
        <v>0.18946600590000001</v>
      </c>
      <c r="Y100" s="23">
        <f t="shared" si="40"/>
        <v>2.0000000000000018E-2</v>
      </c>
      <c r="Z100" s="71">
        <v>340</v>
      </c>
      <c r="AA100" s="21" t="s">
        <v>171</v>
      </c>
      <c r="AB100" s="67">
        <f t="shared" si="41"/>
        <v>18.7</v>
      </c>
      <c r="AC100" s="68">
        <v>0.41</v>
      </c>
      <c r="AD100" s="21" t="s">
        <v>171</v>
      </c>
      <c r="AE100" s="69">
        <f t="shared" si="44"/>
        <v>0.22689226871999998</v>
      </c>
      <c r="AF100" s="68">
        <v>1.34</v>
      </c>
      <c r="AG100" s="21" t="s">
        <v>171</v>
      </c>
      <c r="AH100" s="22">
        <f t="shared" si="42"/>
        <v>0.26069642813999999</v>
      </c>
      <c r="AI100" s="70">
        <v>1.75</v>
      </c>
      <c r="AJ100" s="21" t="s">
        <v>171</v>
      </c>
      <c r="AK100" s="22">
        <f t="shared" si="43"/>
        <v>0.97828506449999997</v>
      </c>
      <c r="AL100" s="68">
        <v>341.75</v>
      </c>
      <c r="AM100" s="70"/>
      <c r="AN100" s="151">
        <f>AN99+((AN99-AN101)/(H99-H101))*(H100-H99)</f>
        <v>1.542227284338705</v>
      </c>
      <c r="AO100" s="156">
        <f t="shared" si="35"/>
        <v>22.516518351345095</v>
      </c>
      <c r="AP100" s="94"/>
      <c r="AQ100" s="85"/>
      <c r="AR100" s="85"/>
      <c r="AS100" s="85"/>
      <c r="AT100" s="85"/>
      <c r="AU100" s="92"/>
      <c r="AV100" s="91"/>
      <c r="AW100" s="91"/>
      <c r="AX100" s="91"/>
      <c r="AY100" s="91"/>
    </row>
    <row r="101" spans="1:51" ht="18" thickTop="1" thickBot="1" x14ac:dyDescent="0.3">
      <c r="A101" s="86" t="s">
        <v>396</v>
      </c>
      <c r="B101" s="86" t="s">
        <v>98</v>
      </c>
      <c r="C101" s="86" t="s">
        <v>98</v>
      </c>
      <c r="D101" s="86" t="s">
        <v>350</v>
      </c>
      <c r="E101" s="86" t="s">
        <v>397</v>
      </c>
      <c r="F101" s="86" t="s">
        <v>397</v>
      </c>
      <c r="G101" s="61" t="s">
        <v>21</v>
      </c>
      <c r="H101">
        <v>52.5</v>
      </c>
      <c r="I101">
        <f>60-45</f>
        <v>15</v>
      </c>
      <c r="J101" s="12">
        <v>5.0999999999999996</v>
      </c>
      <c r="K101" s="13" t="s">
        <v>171</v>
      </c>
      <c r="L101" s="14">
        <v>0.2</v>
      </c>
      <c r="M101" s="15">
        <v>40</v>
      </c>
      <c r="N101" s="16" t="s">
        <v>171</v>
      </c>
      <c r="O101" s="17">
        <f t="shared" si="36"/>
        <v>5.0494655579999996</v>
      </c>
      <c r="P101" s="18">
        <v>13</v>
      </c>
      <c r="Q101" s="16" t="s">
        <v>171</v>
      </c>
      <c r="R101" s="19">
        <f t="shared" si="37"/>
        <v>0.82692645300000001</v>
      </c>
      <c r="S101" s="20">
        <v>0.66</v>
      </c>
      <c r="T101" s="21" t="s">
        <v>171</v>
      </c>
      <c r="U101" s="22">
        <f t="shared" si="38"/>
        <v>0.18419661379999999</v>
      </c>
      <c r="V101" s="20">
        <v>0.53</v>
      </c>
      <c r="W101" s="21" t="s">
        <v>171</v>
      </c>
      <c r="X101" s="22">
        <f t="shared" si="39"/>
        <v>0.17441059990000002</v>
      </c>
      <c r="Y101" s="23">
        <f t="shared" si="40"/>
        <v>0.13</v>
      </c>
      <c r="Z101" s="71">
        <v>260</v>
      </c>
      <c r="AA101" s="21" t="s">
        <v>171</v>
      </c>
      <c r="AB101" s="67">
        <f t="shared" si="41"/>
        <v>14.3</v>
      </c>
      <c r="AC101" s="68">
        <v>0</v>
      </c>
      <c r="AD101" s="21" t="s">
        <v>171</v>
      </c>
      <c r="AE101" s="69">
        <f t="shared" si="44"/>
        <v>0.19734742599999999</v>
      </c>
      <c r="AF101" s="68">
        <v>1.22</v>
      </c>
      <c r="AG101" s="21" t="s">
        <v>171</v>
      </c>
      <c r="AH101" s="22">
        <f t="shared" si="42"/>
        <v>0.24387499961999998</v>
      </c>
      <c r="AI101" s="70">
        <v>1.22</v>
      </c>
      <c r="AJ101" s="21" t="s">
        <v>171</v>
      </c>
      <c r="AK101" s="22">
        <f t="shared" si="43"/>
        <v>0.96000237211999995</v>
      </c>
      <c r="AL101" s="68">
        <v>261.22000000000003</v>
      </c>
      <c r="AM101" s="70"/>
      <c r="AN101" s="144">
        <f>AN97</f>
        <v>1.5749526097239523</v>
      </c>
      <c r="AO101" s="156">
        <f t="shared" si="35"/>
        <v>12.520873247305421</v>
      </c>
      <c r="AP101" s="94"/>
      <c r="AQ101" s="85"/>
      <c r="AR101" s="85"/>
      <c r="AS101" s="85"/>
      <c r="AT101" s="85"/>
      <c r="AU101" s="92"/>
      <c r="AV101" s="91"/>
      <c r="AW101" s="91"/>
      <c r="AX101" s="91"/>
      <c r="AY101" s="91"/>
    </row>
    <row r="102" spans="1:51" ht="18" thickTop="1" thickBot="1" x14ac:dyDescent="0.3">
      <c r="A102" s="86" t="s">
        <v>396</v>
      </c>
      <c r="B102" s="86" t="s">
        <v>197</v>
      </c>
      <c r="C102" s="86" t="s">
        <v>97</v>
      </c>
      <c r="D102" s="86" t="s">
        <v>346</v>
      </c>
      <c r="E102" s="86" t="s">
        <v>402</v>
      </c>
      <c r="F102" s="86" t="s">
        <v>402</v>
      </c>
      <c r="G102" s="60" t="s">
        <v>177</v>
      </c>
      <c r="H102">
        <v>3.75</v>
      </c>
      <c r="I102">
        <v>7.5</v>
      </c>
      <c r="J102" s="12">
        <v>4.2</v>
      </c>
      <c r="K102" s="13" t="s">
        <v>171</v>
      </c>
      <c r="L102" s="14">
        <v>0.2</v>
      </c>
      <c r="M102" s="15">
        <v>135</v>
      </c>
      <c r="N102" s="16" t="s">
        <v>171</v>
      </c>
      <c r="O102" s="17">
        <f t="shared" si="36"/>
        <v>12.917744798000001</v>
      </c>
      <c r="P102" s="18">
        <v>50</v>
      </c>
      <c r="Q102" s="16" t="s">
        <v>171</v>
      </c>
      <c r="R102" s="19">
        <f t="shared" si="37"/>
        <v>4.0937286400000001</v>
      </c>
      <c r="S102" s="21">
        <v>1.06</v>
      </c>
      <c r="T102" s="21" t="s">
        <v>171</v>
      </c>
      <c r="U102" s="22">
        <f t="shared" si="38"/>
        <v>0.21430742580000001</v>
      </c>
      <c r="V102" s="20">
        <v>0.79</v>
      </c>
      <c r="W102" s="21" t="s">
        <v>171</v>
      </c>
      <c r="X102" s="22">
        <f t="shared" si="39"/>
        <v>0.19398262769999999</v>
      </c>
      <c r="Y102" s="23">
        <f t="shared" si="40"/>
        <v>0.27</v>
      </c>
      <c r="Z102" s="71">
        <v>640</v>
      </c>
      <c r="AA102" s="21" t="s">
        <v>171</v>
      </c>
      <c r="AB102" s="67">
        <f t="shared" si="41"/>
        <v>35.200000000000003</v>
      </c>
      <c r="AC102" s="68">
        <v>0</v>
      </c>
      <c r="AD102" s="21" t="s">
        <v>171</v>
      </c>
      <c r="AE102" s="69">
        <f t="shared" si="44"/>
        <v>0.19734742599999999</v>
      </c>
      <c r="AF102" s="68">
        <v>4.46</v>
      </c>
      <c r="AG102" s="21" t="s">
        <v>171</v>
      </c>
      <c r="AH102" s="22">
        <f t="shared" si="42"/>
        <v>0.69805356965999998</v>
      </c>
      <c r="AI102" s="70">
        <v>4.46</v>
      </c>
      <c r="AJ102" s="21" t="s">
        <v>171</v>
      </c>
      <c r="AK102" s="22">
        <f t="shared" si="43"/>
        <v>1.07176826516</v>
      </c>
      <c r="AL102" s="68">
        <v>644.46</v>
      </c>
      <c r="AM102" s="70"/>
      <c r="AN102" s="150">
        <f>AN103-((AN103-AN105)/(H103-H105))*3.5</f>
        <v>1.4886937141579188</v>
      </c>
      <c r="AO102" s="156">
        <f t="shared" si="35"/>
        <v>8.8205102563856705</v>
      </c>
      <c r="AP102" s="94"/>
      <c r="AQ102" s="85"/>
      <c r="AR102" s="85"/>
      <c r="AS102" s="85"/>
      <c r="AT102" s="85"/>
      <c r="AU102" s="92">
        <f>'S-13-14(2020)'!Z4</f>
        <v>20</v>
      </c>
      <c r="AV102" s="91">
        <f>'S-13-14(2020)'!AB4</f>
        <v>191.40834380388364</v>
      </c>
      <c r="AW102" s="91">
        <f>'S-13-14(2020)'!AC4</f>
        <v>9.5704171901941812</v>
      </c>
      <c r="AX102" s="91">
        <f>'S-13-14(2020)'!AD4</f>
        <v>98.631593630707101</v>
      </c>
      <c r="AY102" s="91">
        <f>'S-13-14(2020)'!AE4</f>
        <v>4.9315796815353554</v>
      </c>
    </row>
    <row r="103" spans="1:51" ht="18" thickTop="1" thickBot="1" x14ac:dyDescent="0.3">
      <c r="A103" s="86" t="s">
        <v>396</v>
      </c>
      <c r="B103" s="86" t="s">
        <v>197</v>
      </c>
      <c r="C103" s="86" t="s">
        <v>97</v>
      </c>
      <c r="D103" s="86" t="s">
        <v>346</v>
      </c>
      <c r="E103" s="86" t="s">
        <v>402</v>
      </c>
      <c r="F103" s="86" t="s">
        <v>402</v>
      </c>
      <c r="G103" s="61" t="s">
        <v>175</v>
      </c>
      <c r="H103">
        <v>16.25</v>
      </c>
      <c r="I103">
        <f>25-7.5</f>
        <v>17.5</v>
      </c>
      <c r="J103" s="12">
        <v>4</v>
      </c>
      <c r="K103" s="13" t="s">
        <v>171</v>
      </c>
      <c r="L103" s="14">
        <v>0.2</v>
      </c>
      <c r="M103" s="15">
        <v>227</v>
      </c>
      <c r="N103" s="16" t="s">
        <v>171</v>
      </c>
      <c r="O103" s="17">
        <f t="shared" si="36"/>
        <v>20.537552062</v>
      </c>
      <c r="P103" s="18">
        <v>31</v>
      </c>
      <c r="Q103" s="16" t="s">
        <v>171</v>
      </c>
      <c r="R103" s="19">
        <f t="shared" si="37"/>
        <v>2.4161815709999996</v>
      </c>
      <c r="S103" s="21">
        <v>0.91</v>
      </c>
      <c r="T103" s="21" t="s">
        <v>171</v>
      </c>
      <c r="U103" s="22">
        <f t="shared" si="38"/>
        <v>0.20301587129999998</v>
      </c>
      <c r="V103" s="20">
        <v>0.71</v>
      </c>
      <c r="W103" s="21" t="s">
        <v>171</v>
      </c>
      <c r="X103" s="22">
        <f t="shared" si="39"/>
        <v>0.18796046529999999</v>
      </c>
      <c r="Y103" s="23">
        <f t="shared" si="40"/>
        <v>0.20000000000000007</v>
      </c>
      <c r="Z103" s="71">
        <v>450</v>
      </c>
      <c r="AA103" s="21" t="s">
        <v>171</v>
      </c>
      <c r="AB103" s="67">
        <f t="shared" si="41"/>
        <v>24.75</v>
      </c>
      <c r="AC103" s="68">
        <v>2.1000000000000001E-2</v>
      </c>
      <c r="AD103" s="21" t="s">
        <v>171</v>
      </c>
      <c r="AE103" s="69">
        <f t="shared" si="44"/>
        <v>0.19886069843199999</v>
      </c>
      <c r="AF103" s="68">
        <v>2.04</v>
      </c>
      <c r="AG103" s="21" t="s">
        <v>171</v>
      </c>
      <c r="AH103" s="22">
        <f t="shared" si="42"/>
        <v>0.35882142784000004</v>
      </c>
      <c r="AI103" s="70">
        <v>2.06</v>
      </c>
      <c r="AJ103" s="21" t="s">
        <v>171</v>
      </c>
      <c r="AK103" s="22">
        <f t="shared" si="43"/>
        <v>0.98897871475999999</v>
      </c>
      <c r="AL103" s="68">
        <v>452.06</v>
      </c>
      <c r="AM103" s="70"/>
      <c r="AN103" s="90">
        <f>'S-13-14(2020)'!V46</f>
        <v>1.496288837037947</v>
      </c>
      <c r="AO103" s="156">
        <f t="shared" si="35"/>
        <v>18.591388800196491</v>
      </c>
      <c r="AP103" s="94"/>
      <c r="AQ103" s="85"/>
      <c r="AR103" s="85"/>
      <c r="AS103" s="85"/>
      <c r="AT103" s="85"/>
      <c r="AU103" s="92"/>
      <c r="AV103" s="91"/>
      <c r="AW103" s="91"/>
      <c r="AX103" s="91"/>
      <c r="AY103" s="91"/>
    </row>
    <row r="104" spans="1:51" ht="18" thickTop="1" thickBot="1" x14ac:dyDescent="0.3">
      <c r="A104" s="86" t="s">
        <v>396</v>
      </c>
      <c r="B104" s="86" t="s">
        <v>197</v>
      </c>
      <c r="C104" s="86" t="s">
        <v>97</v>
      </c>
      <c r="D104" s="86" t="s">
        <v>346</v>
      </c>
      <c r="E104" s="86" t="s">
        <v>402</v>
      </c>
      <c r="F104" s="86" t="s">
        <v>402</v>
      </c>
      <c r="G104" s="60" t="s">
        <v>176</v>
      </c>
      <c r="H104">
        <v>35</v>
      </c>
      <c r="I104" s="76">
        <f>45-25</f>
        <v>20</v>
      </c>
      <c r="J104" s="12">
        <v>4.4000000000000004</v>
      </c>
      <c r="K104" s="13" t="s">
        <v>171</v>
      </c>
      <c r="L104" s="14">
        <v>0.2</v>
      </c>
      <c r="M104" s="15">
        <v>250</v>
      </c>
      <c r="N104" s="16" t="s">
        <v>171</v>
      </c>
      <c r="O104" s="17">
        <f t="shared" si="36"/>
        <v>22.442503878</v>
      </c>
      <c r="P104" s="18">
        <v>20</v>
      </c>
      <c r="Q104" s="16" t="s">
        <v>171</v>
      </c>
      <c r="R104" s="19">
        <f t="shared" si="37"/>
        <v>1.4449701099999999</v>
      </c>
      <c r="S104" s="21">
        <v>0.98</v>
      </c>
      <c r="T104" s="21" t="s">
        <v>171</v>
      </c>
      <c r="U104" s="22">
        <f t="shared" si="38"/>
        <v>0.20828526339999998</v>
      </c>
      <c r="V104" s="20">
        <v>0.62</v>
      </c>
      <c r="W104" s="21" t="s">
        <v>171</v>
      </c>
      <c r="X104" s="22">
        <f t="shared" si="39"/>
        <v>0.1811855326</v>
      </c>
      <c r="Y104" s="23">
        <f t="shared" si="40"/>
        <v>0.36</v>
      </c>
      <c r="Z104" s="71">
        <v>260</v>
      </c>
      <c r="AA104" s="21" t="s">
        <v>171</v>
      </c>
      <c r="AB104" s="67">
        <f t="shared" si="41"/>
        <v>14.3</v>
      </c>
      <c r="AC104" s="68">
        <v>0</v>
      </c>
      <c r="AD104" s="21" t="s">
        <v>171</v>
      </c>
      <c r="AE104" s="69">
        <f t="shared" si="44"/>
        <v>0.19734742599999999</v>
      </c>
      <c r="AF104" s="68">
        <v>1.64</v>
      </c>
      <c r="AG104" s="21" t="s">
        <v>171</v>
      </c>
      <c r="AH104" s="22">
        <f t="shared" si="42"/>
        <v>0.30274999943999997</v>
      </c>
      <c r="AI104" s="70">
        <v>1.64</v>
      </c>
      <c r="AJ104" s="21" t="s">
        <v>171</v>
      </c>
      <c r="AK104" s="22">
        <f t="shared" si="43"/>
        <v>0.97449054343999997</v>
      </c>
      <c r="AL104" s="68">
        <v>261.64</v>
      </c>
      <c r="AM104" s="70"/>
      <c r="AN104" s="151">
        <f>AN103+((AN103-AN105)/(H103-H105))*(H104-H103)</f>
        <v>1.5369769953238119</v>
      </c>
      <c r="AO104" s="156">
        <f t="shared" si="35"/>
        <v>19.058514742015266</v>
      </c>
      <c r="AP104" s="94"/>
      <c r="AQ104" s="85"/>
      <c r="AR104" s="85"/>
      <c r="AS104" s="85"/>
      <c r="AT104" s="85"/>
      <c r="AU104" s="92"/>
      <c r="AV104" s="91"/>
      <c r="AW104" s="91"/>
      <c r="AX104" s="91"/>
      <c r="AY104" s="91"/>
    </row>
    <row r="105" spans="1:51" ht="18" thickTop="1" thickBot="1" x14ac:dyDescent="0.3">
      <c r="A105" s="86" t="s">
        <v>396</v>
      </c>
      <c r="B105" s="86" t="s">
        <v>197</v>
      </c>
      <c r="C105" s="86" t="s">
        <v>97</v>
      </c>
      <c r="D105" s="86" t="s">
        <v>346</v>
      </c>
      <c r="E105" s="86" t="s">
        <v>402</v>
      </c>
      <c r="F105" s="86" t="s">
        <v>402</v>
      </c>
      <c r="G105" s="60" t="s">
        <v>21</v>
      </c>
      <c r="H105">
        <v>52.5</v>
      </c>
      <c r="I105">
        <f>60-45</f>
        <v>15</v>
      </c>
      <c r="J105" s="64">
        <v>4.7</v>
      </c>
      <c r="K105" s="13" t="s">
        <v>171</v>
      </c>
      <c r="L105" s="14">
        <v>0.2</v>
      </c>
      <c r="M105" s="15">
        <v>220</v>
      </c>
      <c r="N105" s="16" t="s">
        <v>171</v>
      </c>
      <c r="O105" s="17">
        <f t="shared" ref="O105:O137" si="45">M105*0.082823992+1.736505878</f>
        <v>19.957784117999999</v>
      </c>
      <c r="P105" s="18">
        <v>23</v>
      </c>
      <c r="Q105" s="16" t="s">
        <v>171</v>
      </c>
      <c r="R105" s="19">
        <f t="shared" ref="R105:R137" si="46">P105*0.088291951-0.32086891</f>
        <v>1.709845963</v>
      </c>
      <c r="S105" s="21">
        <v>0.8</v>
      </c>
      <c r="T105" s="21" t="s">
        <v>171</v>
      </c>
      <c r="U105" s="22">
        <f t="shared" ref="U105:U137" si="47">S105*0.07527703+0.134513774</f>
        <v>0.194735398</v>
      </c>
      <c r="V105" s="20">
        <v>0.59</v>
      </c>
      <c r="W105" s="21" t="s">
        <v>171</v>
      </c>
      <c r="X105" s="22">
        <f t="shared" ref="X105:X137" si="48">V105*0.07527703+0.134513774</f>
        <v>0.1789272217</v>
      </c>
      <c r="Y105" s="23">
        <f t="shared" ref="Y105:Y137" si="49">S105-V105</f>
        <v>0.21000000000000008</v>
      </c>
      <c r="Z105" s="71">
        <v>130</v>
      </c>
      <c r="AA105" s="21" t="s">
        <v>171</v>
      </c>
      <c r="AB105" s="67">
        <f t="shared" si="41"/>
        <v>7.15</v>
      </c>
      <c r="AC105" s="68">
        <v>0</v>
      </c>
      <c r="AD105" s="21" t="s">
        <v>171</v>
      </c>
      <c r="AE105" s="69">
        <f t="shared" si="44"/>
        <v>0.19734742599999999</v>
      </c>
      <c r="AF105" s="68">
        <v>1.1000000000000001</v>
      </c>
      <c r="AG105" s="21" t="s">
        <v>171</v>
      </c>
      <c r="AH105" s="22">
        <f t="shared" si="42"/>
        <v>0.22705357110000002</v>
      </c>
      <c r="AI105" s="70">
        <v>1.1000000000000001</v>
      </c>
      <c r="AJ105" s="21" t="s">
        <v>171</v>
      </c>
      <c r="AK105" s="22">
        <f t="shared" si="43"/>
        <v>0.95586289459999996</v>
      </c>
      <c r="AL105" s="68">
        <v>131.1</v>
      </c>
      <c r="AM105" s="70"/>
      <c r="AN105" s="144">
        <f>AN97</f>
        <v>1.5749526097239523</v>
      </c>
      <c r="AO105" s="156">
        <f t="shared" si="35"/>
        <v>13.938330596056977</v>
      </c>
      <c r="AP105" s="94"/>
      <c r="AQ105" s="85"/>
      <c r="AR105" s="85"/>
      <c r="AS105" s="85"/>
      <c r="AT105" s="85"/>
      <c r="AU105" s="92"/>
      <c r="AV105" s="91"/>
      <c r="AW105" s="91"/>
      <c r="AX105" s="91"/>
      <c r="AY105" s="91"/>
    </row>
    <row r="106" spans="1:51" ht="18" thickTop="1" thickBot="1" x14ac:dyDescent="0.3">
      <c r="A106" s="86" t="s">
        <v>396</v>
      </c>
      <c r="B106" s="86" t="s">
        <v>98</v>
      </c>
      <c r="C106" s="86" t="s">
        <v>98</v>
      </c>
      <c r="D106" s="86" t="s">
        <v>350</v>
      </c>
      <c r="E106" s="86" t="s">
        <v>401</v>
      </c>
      <c r="G106" s="65" t="s">
        <v>177</v>
      </c>
      <c r="H106">
        <v>3.75</v>
      </c>
      <c r="I106">
        <v>7.5</v>
      </c>
      <c r="J106" s="64">
        <v>4.8</v>
      </c>
      <c r="K106" s="13" t="s">
        <v>171</v>
      </c>
      <c r="L106" s="14">
        <v>0.2</v>
      </c>
      <c r="M106" s="15">
        <v>180</v>
      </c>
      <c r="N106" s="16" t="s">
        <v>171</v>
      </c>
      <c r="O106" s="17">
        <f t="shared" si="45"/>
        <v>16.644824438000001</v>
      </c>
      <c r="P106" s="18">
        <v>25</v>
      </c>
      <c r="Q106" s="16" t="s">
        <v>171</v>
      </c>
      <c r="R106" s="19">
        <f t="shared" si="46"/>
        <v>1.886429865</v>
      </c>
      <c r="S106" s="21">
        <v>1.7</v>
      </c>
      <c r="T106" s="21" t="s">
        <v>171</v>
      </c>
      <c r="U106" s="22">
        <f t="shared" si="47"/>
        <v>0.26248472499999997</v>
      </c>
      <c r="V106" s="20">
        <v>1.17</v>
      </c>
      <c r="W106" s="21" t="s">
        <v>171</v>
      </c>
      <c r="X106" s="22">
        <f t="shared" si="48"/>
        <v>0.22258789909999999</v>
      </c>
      <c r="Y106" s="23">
        <f t="shared" si="49"/>
        <v>0.53</v>
      </c>
      <c r="Z106" s="71">
        <v>1000</v>
      </c>
      <c r="AA106" s="21" t="s">
        <v>171</v>
      </c>
      <c r="AB106" s="67">
        <f t="shared" si="41"/>
        <v>55</v>
      </c>
      <c r="AC106" s="68">
        <v>5.22</v>
      </c>
      <c r="AD106" s="21" t="s">
        <v>171</v>
      </c>
      <c r="AE106" s="69">
        <f t="shared" si="44"/>
        <v>0.57350371624000007</v>
      </c>
      <c r="AF106" s="68">
        <v>2.34</v>
      </c>
      <c r="AG106" s="21" t="s">
        <v>171</v>
      </c>
      <c r="AH106" s="22">
        <f t="shared" si="42"/>
        <v>0.40087499914000002</v>
      </c>
      <c r="AI106" s="70">
        <v>7.59</v>
      </c>
      <c r="AJ106" s="21" t="s">
        <v>171</v>
      </c>
      <c r="AK106" s="22">
        <f t="shared" si="43"/>
        <v>1.17973963714</v>
      </c>
      <c r="AL106" s="68">
        <v>1007.59</v>
      </c>
      <c r="AM106" s="70"/>
      <c r="AN106" s="150">
        <f>AN107-((AN107-AN109)/(H107-H109))*3.5</f>
        <v>1.4859654643812963</v>
      </c>
      <c r="AO106" s="156">
        <f t="shared" si="35"/>
        <v>13.039346949945875</v>
      </c>
      <c r="AP106" s="94"/>
      <c r="AQ106" s="85"/>
      <c r="AR106" s="85"/>
      <c r="AS106" s="85"/>
      <c r="AT106" s="85"/>
      <c r="AU106" s="92"/>
      <c r="AV106" s="91"/>
      <c r="AW106" s="91"/>
      <c r="AX106" s="91"/>
      <c r="AY106" s="91"/>
    </row>
    <row r="107" spans="1:51" ht="18" thickTop="1" thickBot="1" x14ac:dyDescent="0.3">
      <c r="A107" s="86" t="s">
        <v>396</v>
      </c>
      <c r="B107" s="86" t="s">
        <v>98</v>
      </c>
      <c r="C107" s="86" t="s">
        <v>98</v>
      </c>
      <c r="D107" s="86" t="s">
        <v>350</v>
      </c>
      <c r="E107" s="86" t="s">
        <v>401</v>
      </c>
      <c r="G107" s="60" t="s">
        <v>175</v>
      </c>
      <c r="H107">
        <v>16.25</v>
      </c>
      <c r="I107">
        <f>25-7.5</f>
        <v>17.5</v>
      </c>
      <c r="J107" s="64">
        <v>5.0999999999999996</v>
      </c>
      <c r="K107" s="13" t="s">
        <v>171</v>
      </c>
      <c r="L107" s="14">
        <v>0.2</v>
      </c>
      <c r="M107" s="15">
        <v>217</v>
      </c>
      <c r="N107" s="16" t="s">
        <v>171</v>
      </c>
      <c r="O107" s="17">
        <f t="shared" si="45"/>
        <v>19.709312141999998</v>
      </c>
      <c r="P107" s="18">
        <v>21</v>
      </c>
      <c r="Q107" s="16" t="s">
        <v>171</v>
      </c>
      <c r="R107" s="19">
        <f t="shared" si="46"/>
        <v>1.5332620609999998</v>
      </c>
      <c r="S107" s="21">
        <v>1.1000000000000001</v>
      </c>
      <c r="T107" s="21" t="s">
        <v>171</v>
      </c>
      <c r="U107" s="22">
        <f t="shared" si="47"/>
        <v>0.21731850699999999</v>
      </c>
      <c r="V107" s="20">
        <v>1.1000000000000001</v>
      </c>
      <c r="W107" s="21" t="s">
        <v>171</v>
      </c>
      <c r="X107" s="22">
        <f t="shared" si="48"/>
        <v>0.21731850699999999</v>
      </c>
      <c r="Y107" s="23">
        <f t="shared" si="49"/>
        <v>0</v>
      </c>
      <c r="Z107" s="71">
        <v>910</v>
      </c>
      <c r="AA107" s="21" t="s">
        <v>171</v>
      </c>
      <c r="AB107" s="67">
        <f t="shared" si="41"/>
        <v>50.05</v>
      </c>
      <c r="AC107" s="68">
        <v>5.15</v>
      </c>
      <c r="AD107" s="21" t="s">
        <v>171</v>
      </c>
      <c r="AE107" s="69">
        <f t="shared" si="44"/>
        <v>0.56845947480000003</v>
      </c>
      <c r="AF107" s="68">
        <v>1.42</v>
      </c>
      <c r="AG107" s="21" t="s">
        <v>171</v>
      </c>
      <c r="AH107" s="22">
        <f t="shared" si="42"/>
        <v>0.27191071381999998</v>
      </c>
      <c r="AI107" s="70">
        <v>6.57</v>
      </c>
      <c r="AJ107" s="21" t="s">
        <v>171</v>
      </c>
      <c r="AK107" s="22">
        <f t="shared" si="43"/>
        <v>1.1445540782199999</v>
      </c>
      <c r="AL107" s="68">
        <v>916.57</v>
      </c>
      <c r="AM107" s="70"/>
      <c r="AN107" s="90">
        <f>'S-13-14(2020)'!V62</f>
        <v>1.4938008105120961</v>
      </c>
      <c r="AO107" s="156">
        <f t="shared" si="35"/>
        <v>28.755665602357855</v>
      </c>
      <c r="AP107" s="94"/>
      <c r="AQ107" s="85"/>
      <c r="AR107" s="85"/>
      <c r="AS107" s="85"/>
      <c r="AT107" s="85"/>
      <c r="AU107" s="92"/>
      <c r="AV107" s="91"/>
      <c r="AW107" s="91"/>
      <c r="AX107" s="91"/>
      <c r="AY107" s="91"/>
    </row>
    <row r="108" spans="1:51" ht="18" thickTop="1" thickBot="1" x14ac:dyDescent="0.3">
      <c r="A108" s="86" t="s">
        <v>396</v>
      </c>
      <c r="B108" s="86" t="s">
        <v>98</v>
      </c>
      <c r="C108" s="86" t="s">
        <v>98</v>
      </c>
      <c r="D108" s="86" t="s">
        <v>350</v>
      </c>
      <c r="E108" s="86" t="s">
        <v>401</v>
      </c>
      <c r="G108" s="65" t="s">
        <v>176</v>
      </c>
      <c r="H108">
        <v>35</v>
      </c>
      <c r="I108" s="76">
        <f>45-25</f>
        <v>20</v>
      </c>
      <c r="J108" s="64">
        <v>5</v>
      </c>
      <c r="K108" s="13" t="s">
        <v>171</v>
      </c>
      <c r="L108" s="14">
        <v>0.2</v>
      </c>
      <c r="M108" s="15">
        <v>168</v>
      </c>
      <c r="N108" s="16" t="s">
        <v>171</v>
      </c>
      <c r="O108" s="17">
        <f t="shared" si="45"/>
        <v>15.650936534</v>
      </c>
      <c r="P108" s="18">
        <v>16</v>
      </c>
      <c r="Q108" s="16" t="s">
        <v>171</v>
      </c>
      <c r="R108" s="19">
        <f t="shared" si="46"/>
        <v>1.0918023059999999</v>
      </c>
      <c r="S108" s="21">
        <v>1.81</v>
      </c>
      <c r="T108" s="21" t="s">
        <v>171</v>
      </c>
      <c r="U108" s="22">
        <f t="shared" si="47"/>
        <v>0.27076519830000001</v>
      </c>
      <c r="V108" s="20">
        <v>1.54</v>
      </c>
      <c r="W108" s="21" t="s">
        <v>171</v>
      </c>
      <c r="X108" s="22">
        <f t="shared" si="48"/>
        <v>0.25044040020000002</v>
      </c>
      <c r="Y108" s="23">
        <f t="shared" si="49"/>
        <v>0.27</v>
      </c>
      <c r="Z108" s="71">
        <v>1040</v>
      </c>
      <c r="AA108" s="21" t="s">
        <v>171</v>
      </c>
      <c r="AB108" s="67">
        <f t="shared" si="41"/>
        <v>57.2</v>
      </c>
      <c r="AC108" s="68">
        <v>2.91</v>
      </c>
      <c r="AD108" s="21" t="s">
        <v>171</v>
      </c>
      <c r="AE108" s="69">
        <f t="shared" si="44"/>
        <v>0.40704374872000004</v>
      </c>
      <c r="AF108" s="68">
        <v>5.29</v>
      </c>
      <c r="AG108" s="21" t="s">
        <v>171</v>
      </c>
      <c r="AH108" s="22">
        <f t="shared" si="42"/>
        <v>0.81440178359000004</v>
      </c>
      <c r="AI108" s="70">
        <v>8.1999999999999993</v>
      </c>
      <c r="AJ108" s="21" t="s">
        <v>171</v>
      </c>
      <c r="AK108" s="22">
        <f t="shared" si="43"/>
        <v>1.2007819812</v>
      </c>
      <c r="AL108" s="68">
        <v>1048.2</v>
      </c>
      <c r="AM108" s="70"/>
      <c r="AN108" s="151">
        <f>AN107+((AN107-AN109)/(H107-H109))*(H108-H107)</f>
        <v>1.5357758790699527</v>
      </c>
      <c r="AO108" s="156">
        <f t="shared" si="35"/>
        <v>47.301897075354546</v>
      </c>
      <c r="AP108" s="94"/>
      <c r="AQ108" s="85"/>
      <c r="AR108" s="85"/>
      <c r="AS108" s="85"/>
      <c r="AT108" s="85"/>
      <c r="AU108" s="92"/>
      <c r="AV108" s="91"/>
      <c r="AW108" s="91"/>
      <c r="AX108" s="91"/>
      <c r="AY108" s="91"/>
    </row>
    <row r="109" spans="1:51" ht="18" thickTop="1" thickBot="1" x14ac:dyDescent="0.3">
      <c r="A109" s="86" t="s">
        <v>396</v>
      </c>
      <c r="B109" s="86" t="s">
        <v>98</v>
      </c>
      <c r="C109" s="86" t="s">
        <v>98</v>
      </c>
      <c r="D109" s="86" t="s">
        <v>350</v>
      </c>
      <c r="E109" s="86" t="s">
        <v>401</v>
      </c>
      <c r="G109" s="60" t="s">
        <v>21</v>
      </c>
      <c r="H109">
        <v>52.5</v>
      </c>
      <c r="I109">
        <f>60-45</f>
        <v>15</v>
      </c>
      <c r="J109" s="64">
        <v>4.8</v>
      </c>
      <c r="K109" s="13" t="s">
        <v>171</v>
      </c>
      <c r="L109" s="14">
        <v>0.2</v>
      </c>
      <c r="M109" s="15">
        <v>36</v>
      </c>
      <c r="N109" s="16" t="s">
        <v>171</v>
      </c>
      <c r="O109" s="17">
        <f t="shared" si="45"/>
        <v>4.7181695900000005</v>
      </c>
      <c r="P109" s="18">
        <v>13</v>
      </c>
      <c r="Q109" s="16" t="s">
        <v>171</v>
      </c>
      <c r="R109" s="19">
        <f t="shared" si="46"/>
        <v>0.82692645300000001</v>
      </c>
      <c r="S109" s="21">
        <v>1.64</v>
      </c>
      <c r="T109" s="21" t="s">
        <v>171</v>
      </c>
      <c r="U109" s="22">
        <f t="shared" si="47"/>
        <v>0.25796810319999997</v>
      </c>
      <c r="V109" s="20">
        <v>1.59</v>
      </c>
      <c r="W109" s="21" t="s">
        <v>171</v>
      </c>
      <c r="X109" s="22">
        <f t="shared" si="48"/>
        <v>0.25420425169999999</v>
      </c>
      <c r="Y109" s="23">
        <f t="shared" si="49"/>
        <v>4.9999999999999822E-2</v>
      </c>
      <c r="Z109" s="71">
        <v>750</v>
      </c>
      <c r="AA109" s="21" t="s">
        <v>171</v>
      </c>
      <c r="AB109" s="67">
        <f t="shared" si="41"/>
        <v>41.25</v>
      </c>
      <c r="AC109" s="68">
        <v>0.57999999999999996</v>
      </c>
      <c r="AD109" s="21" t="s">
        <v>171</v>
      </c>
      <c r="AE109" s="69">
        <f t="shared" si="44"/>
        <v>0.23914256936</v>
      </c>
      <c r="AF109" s="68">
        <v>3.41</v>
      </c>
      <c r="AG109" s="21" t="s">
        <v>171</v>
      </c>
      <c r="AH109" s="22">
        <f t="shared" si="42"/>
        <v>0.55086607010999999</v>
      </c>
      <c r="AI109" s="70">
        <v>3.99</v>
      </c>
      <c r="AJ109" s="21" t="s">
        <v>171</v>
      </c>
      <c r="AK109" s="22">
        <f t="shared" si="43"/>
        <v>1.05555531154</v>
      </c>
      <c r="AL109" s="68">
        <v>753.99</v>
      </c>
      <c r="AM109" s="70"/>
      <c r="AN109" s="144">
        <f>AN97</f>
        <v>1.5749526097239523</v>
      </c>
      <c r="AO109" s="156">
        <f t="shared" si="35"/>
        <v>37.562619741916265</v>
      </c>
      <c r="AP109" s="94"/>
      <c r="AQ109" s="85"/>
      <c r="AR109" s="85"/>
      <c r="AS109" s="85"/>
      <c r="AT109" s="85"/>
      <c r="AU109" s="92"/>
      <c r="AV109" s="91"/>
      <c r="AW109" s="91"/>
      <c r="AX109" s="91"/>
      <c r="AY109" s="91"/>
    </row>
    <row r="110" spans="1:51" ht="18" thickTop="1" thickBot="1" x14ac:dyDescent="0.3">
      <c r="A110" s="86" t="s">
        <v>131</v>
      </c>
      <c r="B110" s="86" t="s">
        <v>197</v>
      </c>
      <c r="C110" s="86" t="s">
        <v>97</v>
      </c>
      <c r="D110" s="86" t="s">
        <v>346</v>
      </c>
      <c r="E110" s="86" t="s">
        <v>351</v>
      </c>
      <c r="G110" s="65" t="s">
        <v>177</v>
      </c>
      <c r="H110">
        <v>3.75</v>
      </c>
      <c r="I110">
        <v>7.5</v>
      </c>
      <c r="J110" s="64">
        <v>4.5</v>
      </c>
      <c r="K110" s="13" t="s">
        <v>171</v>
      </c>
      <c r="L110" s="14">
        <v>0.2</v>
      </c>
      <c r="M110" s="15">
        <v>37</v>
      </c>
      <c r="N110" s="16" t="s">
        <v>171</v>
      </c>
      <c r="O110" s="17">
        <f t="shared" si="45"/>
        <v>4.8009935820000003</v>
      </c>
      <c r="P110" s="18">
        <v>485</v>
      </c>
      <c r="Q110" s="16" t="s">
        <v>171</v>
      </c>
      <c r="R110" s="19">
        <f t="shared" si="46"/>
        <v>42.500727324999993</v>
      </c>
      <c r="S110" s="21">
        <v>4.3499999999999996</v>
      </c>
      <c r="T110" s="21" t="s">
        <v>171</v>
      </c>
      <c r="U110" s="22">
        <f t="shared" si="47"/>
        <v>0.46196885449999991</v>
      </c>
      <c r="V110" s="20">
        <v>4.08</v>
      </c>
      <c r="W110" s="21" t="s">
        <v>171</v>
      </c>
      <c r="X110" s="22">
        <f t="shared" si="48"/>
        <v>0.44164405640000004</v>
      </c>
      <c r="Y110" s="23">
        <f t="shared" si="49"/>
        <v>0.26999999999999957</v>
      </c>
      <c r="Z110" s="71">
        <v>4340</v>
      </c>
      <c r="AA110" s="21" t="s">
        <v>171</v>
      </c>
      <c r="AB110" s="67">
        <f t="shared" si="41"/>
        <v>238.7</v>
      </c>
      <c r="AC110" s="68">
        <v>29.37</v>
      </c>
      <c r="AD110" s="21" t="s">
        <v>171</v>
      </c>
      <c r="AE110" s="69">
        <f t="shared" si="44"/>
        <v>2.3137670130400001</v>
      </c>
      <c r="AF110" s="68">
        <v>9.84</v>
      </c>
      <c r="AG110" s="21" t="s">
        <v>171</v>
      </c>
      <c r="AH110" s="22">
        <f t="shared" si="42"/>
        <v>1.4522142816400001</v>
      </c>
      <c r="AI110" s="70">
        <v>39.21</v>
      </c>
      <c r="AJ110" s="21" t="s">
        <v>171</v>
      </c>
      <c r="AK110" s="22">
        <f t="shared" si="43"/>
        <v>2.2704919636600001</v>
      </c>
      <c r="AL110" s="68">
        <v>4379.21</v>
      </c>
      <c r="AM110" s="70"/>
      <c r="AN110" s="150">
        <f>AN111-((AN111-AN113)/(H111-H113))*3.5</f>
        <v>0.94507577469293547</v>
      </c>
      <c r="AO110" s="156">
        <f t="shared" si="35"/>
        <v>28.919318705603828</v>
      </c>
      <c r="AP110" s="94"/>
      <c r="AQ110" s="85"/>
      <c r="AR110" s="85"/>
      <c r="AS110" s="85"/>
      <c r="AT110" s="85"/>
      <c r="AU110" s="92"/>
      <c r="AV110" s="91"/>
      <c r="AW110" s="91"/>
      <c r="AX110" s="91"/>
      <c r="AY110" s="91"/>
    </row>
    <row r="111" spans="1:51" ht="18" thickTop="1" thickBot="1" x14ac:dyDescent="0.3">
      <c r="A111" s="86" t="s">
        <v>131</v>
      </c>
      <c r="B111" s="86" t="s">
        <v>197</v>
      </c>
      <c r="C111" s="86" t="s">
        <v>97</v>
      </c>
      <c r="D111" s="86" t="s">
        <v>346</v>
      </c>
      <c r="E111" s="86" t="s">
        <v>351</v>
      </c>
      <c r="G111" s="60" t="s">
        <v>175</v>
      </c>
      <c r="H111">
        <v>16.25</v>
      </c>
      <c r="I111">
        <f>25-7.5</f>
        <v>17.5</v>
      </c>
      <c r="J111" s="64">
        <v>4.2</v>
      </c>
      <c r="K111" s="13" t="s">
        <v>171</v>
      </c>
      <c r="L111" s="14">
        <v>0.2</v>
      </c>
      <c r="M111" s="15">
        <v>35</v>
      </c>
      <c r="N111" s="16" t="s">
        <v>171</v>
      </c>
      <c r="O111" s="17">
        <f t="shared" si="45"/>
        <v>4.6353455979999998</v>
      </c>
      <c r="P111" s="18">
        <v>334</v>
      </c>
      <c r="Q111" s="16" t="s">
        <v>171</v>
      </c>
      <c r="R111" s="19">
        <f t="shared" si="46"/>
        <v>29.168642723999998</v>
      </c>
      <c r="S111" s="21">
        <v>3.36</v>
      </c>
      <c r="T111" s="21" t="s">
        <v>171</v>
      </c>
      <c r="U111" s="22">
        <f t="shared" si="47"/>
        <v>0.38744459479999993</v>
      </c>
      <c r="V111" s="20">
        <v>3.19</v>
      </c>
      <c r="W111" s="21" t="s">
        <v>171</v>
      </c>
      <c r="X111" s="22">
        <f t="shared" si="48"/>
        <v>0.3746474997</v>
      </c>
      <c r="Y111" s="23">
        <f t="shared" si="49"/>
        <v>0.16999999999999993</v>
      </c>
      <c r="Z111" s="71">
        <v>3540</v>
      </c>
      <c r="AA111" s="21" t="s">
        <v>171</v>
      </c>
      <c r="AB111" s="67">
        <f t="shared" si="41"/>
        <v>194.7</v>
      </c>
      <c r="AC111" s="68">
        <v>18.98</v>
      </c>
      <c r="AD111" s="21" t="s">
        <v>171</v>
      </c>
      <c r="AE111" s="69">
        <f t="shared" si="44"/>
        <v>1.56505746216</v>
      </c>
      <c r="AF111" s="68">
        <v>4.16</v>
      </c>
      <c r="AG111" s="21" t="s">
        <v>171</v>
      </c>
      <c r="AH111" s="22">
        <f t="shared" si="42"/>
        <v>0.65599999836</v>
      </c>
      <c r="AI111" s="70">
        <v>23.14</v>
      </c>
      <c r="AJ111" s="21" t="s">
        <v>171</v>
      </c>
      <c r="AK111" s="22">
        <f t="shared" si="43"/>
        <v>1.7161469324400001</v>
      </c>
      <c r="AL111" s="68">
        <v>3563.14</v>
      </c>
      <c r="AM111" s="70"/>
      <c r="AN111" s="90">
        <f>'Bodarna(Björk)'!D60</f>
        <v>0.99430185435343255</v>
      </c>
      <c r="AO111" s="156">
        <f t="shared" si="35"/>
        <v>55.506901019280377</v>
      </c>
      <c r="AP111" s="94"/>
      <c r="AQ111" s="85"/>
      <c r="AR111" s="85"/>
      <c r="AS111" s="85"/>
      <c r="AT111" s="85"/>
      <c r="AU111" s="92"/>
      <c r="AV111" s="91"/>
      <c r="AW111" s="91"/>
      <c r="AX111" s="91"/>
      <c r="AY111" s="91"/>
    </row>
    <row r="112" spans="1:51" ht="18" thickTop="1" thickBot="1" x14ac:dyDescent="0.3">
      <c r="A112" s="86" t="s">
        <v>131</v>
      </c>
      <c r="B112" s="86" t="s">
        <v>197</v>
      </c>
      <c r="C112" s="86" t="s">
        <v>97</v>
      </c>
      <c r="D112" s="86" t="s">
        <v>346</v>
      </c>
      <c r="E112" s="86" t="s">
        <v>351</v>
      </c>
      <c r="G112" s="65" t="s">
        <v>176</v>
      </c>
      <c r="H112">
        <v>35</v>
      </c>
      <c r="I112" s="76">
        <f>45-25</f>
        <v>20</v>
      </c>
      <c r="J112" s="64">
        <v>4.3</v>
      </c>
      <c r="K112" s="13" t="s">
        <v>171</v>
      </c>
      <c r="L112" s="14">
        <v>0.2</v>
      </c>
      <c r="M112" s="15">
        <v>24</v>
      </c>
      <c r="N112" s="16" t="s">
        <v>171</v>
      </c>
      <c r="O112" s="17">
        <f t="shared" si="45"/>
        <v>3.7242816859999999</v>
      </c>
      <c r="P112" s="18">
        <v>189</v>
      </c>
      <c r="Q112" s="16" t="s">
        <v>171</v>
      </c>
      <c r="R112" s="19">
        <f t="shared" si="46"/>
        <v>16.366309828999999</v>
      </c>
      <c r="S112" s="21">
        <v>3.05</v>
      </c>
      <c r="T112" s="21" t="s">
        <v>171</v>
      </c>
      <c r="U112" s="22">
        <f t="shared" si="47"/>
        <v>0.36410871550000001</v>
      </c>
      <c r="V112" s="20">
        <v>2.98</v>
      </c>
      <c r="W112" s="21" t="s">
        <v>171</v>
      </c>
      <c r="X112" s="22">
        <f t="shared" si="48"/>
        <v>0.35883932340000002</v>
      </c>
      <c r="Y112" s="23">
        <f t="shared" si="49"/>
        <v>6.999999999999984E-2</v>
      </c>
      <c r="Z112" s="71">
        <v>3060</v>
      </c>
      <c r="AA112" s="21" t="s">
        <v>171</v>
      </c>
      <c r="AB112" s="67">
        <f t="shared" si="41"/>
        <v>168.3</v>
      </c>
      <c r="AC112" s="68">
        <v>12.77</v>
      </c>
      <c r="AD112" s="21" t="s">
        <v>171</v>
      </c>
      <c r="AE112" s="69">
        <f t="shared" si="44"/>
        <v>1.1175611858400001</v>
      </c>
      <c r="AF112" s="68">
        <v>2.12</v>
      </c>
      <c r="AG112" s="21" t="s">
        <v>171</v>
      </c>
      <c r="AH112" s="22">
        <f t="shared" si="42"/>
        <v>0.37003571352000003</v>
      </c>
      <c r="AI112" s="70">
        <v>14.89</v>
      </c>
      <c r="AJ112" s="21" t="s">
        <v>171</v>
      </c>
      <c r="AK112" s="22">
        <f t="shared" si="43"/>
        <v>1.4315578529399999</v>
      </c>
      <c r="AL112" s="68">
        <v>3074.89</v>
      </c>
      <c r="AM112" s="70"/>
      <c r="AN112" s="151">
        <f>AN111+((AN111-AN113)/(H111-H113))*(H112-H111)</f>
        <v>1.25801299539181</v>
      </c>
      <c r="AO112" s="156">
        <f t="shared" si="35"/>
        <v>74.977574525351869</v>
      </c>
      <c r="AP112" s="94"/>
      <c r="AQ112" s="85"/>
      <c r="AR112" s="85"/>
      <c r="AS112" s="85"/>
      <c r="AT112" s="85"/>
      <c r="AU112" s="92"/>
      <c r="AV112" s="91"/>
      <c r="AW112" s="91"/>
      <c r="AX112" s="91"/>
      <c r="AY112" s="91"/>
    </row>
    <row r="113" spans="1:51" ht="18" thickTop="1" thickBot="1" x14ac:dyDescent="0.3">
      <c r="A113" s="86" t="s">
        <v>131</v>
      </c>
      <c r="B113" s="86" t="s">
        <v>197</v>
      </c>
      <c r="C113" s="86" t="s">
        <v>97</v>
      </c>
      <c r="D113" s="86" t="s">
        <v>346</v>
      </c>
      <c r="E113" s="86" t="s">
        <v>351</v>
      </c>
      <c r="G113" s="60" t="s">
        <v>21</v>
      </c>
      <c r="H113">
        <v>52.5</v>
      </c>
      <c r="I113">
        <f>60-45</f>
        <v>15</v>
      </c>
      <c r="J113" s="64">
        <v>4.8</v>
      </c>
      <c r="K113" s="13" t="s">
        <v>171</v>
      </c>
      <c r="L113" s="14">
        <v>0.2</v>
      </c>
      <c r="M113" s="15">
        <v>38</v>
      </c>
      <c r="N113" s="16" t="s">
        <v>171</v>
      </c>
      <c r="O113" s="17">
        <f t="shared" si="45"/>
        <v>4.8838175740000001</v>
      </c>
      <c r="P113" s="18">
        <v>173</v>
      </c>
      <c r="Q113" s="16" t="s">
        <v>171</v>
      </c>
      <c r="R113" s="19">
        <f t="shared" si="46"/>
        <v>14.953638612999999</v>
      </c>
      <c r="S113" s="21">
        <v>2.29</v>
      </c>
      <c r="T113" s="21" t="s">
        <v>171</v>
      </c>
      <c r="U113" s="22">
        <f t="shared" si="47"/>
        <v>0.30689817269999997</v>
      </c>
      <c r="V113" s="20">
        <v>1.69</v>
      </c>
      <c r="W113" s="21" t="s">
        <v>171</v>
      </c>
      <c r="X113" s="22">
        <f t="shared" si="48"/>
        <v>0.26173195469999999</v>
      </c>
      <c r="Y113" s="23">
        <f t="shared" si="49"/>
        <v>0.60000000000000009</v>
      </c>
      <c r="Z113" s="71">
        <v>1960</v>
      </c>
      <c r="AA113" s="21" t="s">
        <v>171</v>
      </c>
      <c r="AB113" s="67">
        <f t="shared" si="41"/>
        <v>107.8</v>
      </c>
      <c r="AC113" s="68">
        <v>5.88</v>
      </c>
      <c r="AD113" s="21" t="s">
        <v>171</v>
      </c>
      <c r="AE113" s="69">
        <f t="shared" si="44"/>
        <v>0.62106370696000002</v>
      </c>
      <c r="AF113" s="68">
        <v>3.03</v>
      </c>
      <c r="AG113" s="21" t="s">
        <v>171</v>
      </c>
      <c r="AH113" s="22">
        <f t="shared" si="42"/>
        <v>0.49759821312999997</v>
      </c>
      <c r="AI113" s="70">
        <v>8.91</v>
      </c>
      <c r="AJ113" s="21" t="s">
        <v>171</v>
      </c>
      <c r="AK113" s="22">
        <f t="shared" si="43"/>
        <v>1.22527388986</v>
      </c>
      <c r="AL113" s="68">
        <v>1968.91</v>
      </c>
      <c r="AM113" s="70"/>
      <c r="AN113" s="144">
        <f>AVERAGE(SoilAgric2000_BD!AK49,SoilAgric2000_BD!AK53,SoilAgric2000_BD!AK57,SoilWoodyCrop_BD!AJ69,SoilWoodyCrop_BD!AJ73,SoilWoodyCrop_BD!AJ77,SoilWoodyCrop_BD!AJ81)</f>
        <v>1.5041433936942956</v>
      </c>
      <c r="AO113" s="156">
        <f t="shared" si="35"/>
        <v>38.130035030150388</v>
      </c>
      <c r="AP113" s="94"/>
      <c r="AQ113" s="85"/>
      <c r="AR113" s="85"/>
      <c r="AS113" s="85"/>
      <c r="AT113" s="85"/>
      <c r="AU113" s="92"/>
      <c r="AV113" s="91"/>
      <c r="AW113" s="91"/>
      <c r="AX113" s="91"/>
      <c r="AY113" s="91"/>
    </row>
    <row r="114" spans="1:51" ht="18" thickTop="1" thickBot="1" x14ac:dyDescent="0.3">
      <c r="A114" s="86" t="s">
        <v>131</v>
      </c>
      <c r="B114" s="86" t="s">
        <v>198</v>
      </c>
      <c r="C114" s="86" t="s">
        <v>97</v>
      </c>
      <c r="D114" s="86" t="s">
        <v>346</v>
      </c>
      <c r="E114" s="86" t="s">
        <v>347</v>
      </c>
      <c r="G114" s="65" t="s">
        <v>177</v>
      </c>
      <c r="H114">
        <v>3.75</v>
      </c>
      <c r="I114">
        <v>7.5</v>
      </c>
      <c r="J114" s="64">
        <v>5</v>
      </c>
      <c r="K114" s="13" t="s">
        <v>171</v>
      </c>
      <c r="L114" s="14">
        <v>0.2</v>
      </c>
      <c r="M114" s="15">
        <v>55</v>
      </c>
      <c r="N114" s="16" t="s">
        <v>171</v>
      </c>
      <c r="O114" s="17">
        <f t="shared" si="45"/>
        <v>6.291825438</v>
      </c>
      <c r="P114" s="18">
        <v>348</v>
      </c>
      <c r="Q114" s="16" t="s">
        <v>171</v>
      </c>
      <c r="R114" s="19">
        <f t="shared" si="46"/>
        <v>30.404730037999997</v>
      </c>
      <c r="S114" s="21">
        <v>3.06</v>
      </c>
      <c r="T114" s="21" t="s">
        <v>171</v>
      </c>
      <c r="U114" s="22">
        <f t="shared" si="47"/>
        <v>0.3648614858</v>
      </c>
      <c r="V114" s="20">
        <v>3.02</v>
      </c>
      <c r="W114" s="21" t="s">
        <v>171</v>
      </c>
      <c r="X114" s="22">
        <f t="shared" si="48"/>
        <v>0.36185040459999995</v>
      </c>
      <c r="Y114" s="23">
        <f t="shared" si="49"/>
        <v>4.0000000000000036E-2</v>
      </c>
      <c r="Z114" s="71">
        <v>3410</v>
      </c>
      <c r="AA114" s="21" t="s">
        <v>171</v>
      </c>
      <c r="AB114" s="67">
        <f t="shared" si="41"/>
        <v>187.55</v>
      </c>
      <c r="AC114" s="68">
        <v>20.57</v>
      </c>
      <c r="AD114" s="21" t="s">
        <v>171</v>
      </c>
      <c r="AE114" s="69">
        <f t="shared" si="44"/>
        <v>1.6796338034400002</v>
      </c>
      <c r="AF114" s="68">
        <v>1.48</v>
      </c>
      <c r="AG114" s="21" t="s">
        <v>171</v>
      </c>
      <c r="AH114" s="22">
        <f t="shared" si="42"/>
        <v>0.28032142807999999</v>
      </c>
      <c r="AI114" s="70">
        <v>22.05</v>
      </c>
      <c r="AJ114" s="21" t="s">
        <v>171</v>
      </c>
      <c r="AK114" s="22">
        <f t="shared" si="43"/>
        <v>1.6785466783</v>
      </c>
      <c r="AL114" s="68">
        <v>3462.05</v>
      </c>
      <c r="AM114" s="70"/>
      <c r="AN114" s="150">
        <f>AN115-((AN115-AN117)/(H115-H117))*3.5</f>
        <v>1.1375076074073036</v>
      </c>
      <c r="AO114" s="156">
        <f t="shared" si="35"/>
        <v>25.764547307775427</v>
      </c>
      <c r="AP114" s="94"/>
      <c r="AQ114" s="85"/>
      <c r="AR114" s="85"/>
      <c r="AS114" s="85"/>
      <c r="AT114" s="85"/>
      <c r="AU114" s="92"/>
      <c r="AV114" s="91"/>
      <c r="AW114" s="91"/>
      <c r="AX114" s="91"/>
      <c r="AY114" s="91"/>
    </row>
    <row r="115" spans="1:51" ht="18" thickTop="1" thickBot="1" x14ac:dyDescent="0.3">
      <c r="A115" s="86" t="s">
        <v>131</v>
      </c>
      <c r="B115" s="86" t="s">
        <v>198</v>
      </c>
      <c r="C115" s="86" t="s">
        <v>97</v>
      </c>
      <c r="D115" s="86" t="s">
        <v>346</v>
      </c>
      <c r="E115" s="86" t="s">
        <v>347</v>
      </c>
      <c r="G115" s="60" t="s">
        <v>175</v>
      </c>
      <c r="H115">
        <v>16.25</v>
      </c>
      <c r="I115">
        <f>25-7.5</f>
        <v>17.5</v>
      </c>
      <c r="J115" s="64">
        <v>4.9000000000000004</v>
      </c>
      <c r="K115" s="13" t="s">
        <v>171</v>
      </c>
      <c r="L115" s="14">
        <v>0.2</v>
      </c>
      <c r="M115" s="15">
        <v>48</v>
      </c>
      <c r="N115" s="16" t="s">
        <v>171</v>
      </c>
      <c r="O115" s="17">
        <f t="shared" si="45"/>
        <v>5.7120574939999997</v>
      </c>
      <c r="P115" s="18">
        <v>201</v>
      </c>
      <c r="Q115" s="16" t="s">
        <v>171</v>
      </c>
      <c r="R115" s="19">
        <f t="shared" si="46"/>
        <v>17.425813240999997</v>
      </c>
      <c r="S115" s="21">
        <v>2.56</v>
      </c>
      <c r="T115" s="21" t="s">
        <v>171</v>
      </c>
      <c r="U115" s="22">
        <f t="shared" si="47"/>
        <v>0.32722297079999996</v>
      </c>
      <c r="V115" s="20">
        <v>2.5299999999999998</v>
      </c>
      <c r="W115" s="21" t="s">
        <v>171</v>
      </c>
      <c r="X115" s="22">
        <f t="shared" si="48"/>
        <v>0.32496465990000001</v>
      </c>
      <c r="Y115" s="23">
        <f t="shared" si="49"/>
        <v>3.0000000000000249E-2</v>
      </c>
      <c r="Z115" s="71">
        <v>2910</v>
      </c>
      <c r="AA115" s="21" t="s">
        <v>171</v>
      </c>
      <c r="AB115" s="67">
        <f t="shared" si="41"/>
        <v>160.05000000000001</v>
      </c>
      <c r="AC115" s="68">
        <v>18.91</v>
      </c>
      <c r="AD115" s="21" t="s">
        <v>171</v>
      </c>
      <c r="AE115" s="69">
        <f t="shared" si="44"/>
        <v>1.5600132207200001</v>
      </c>
      <c r="AF115" s="68">
        <v>2.2599999999999998</v>
      </c>
      <c r="AG115" s="21" t="s">
        <v>171</v>
      </c>
      <c r="AH115" s="22">
        <f t="shared" si="42"/>
        <v>0.38966071345999997</v>
      </c>
      <c r="AI115" s="70">
        <v>21.17</v>
      </c>
      <c r="AJ115" s="21" t="s">
        <v>171</v>
      </c>
      <c r="AK115" s="22">
        <f t="shared" si="43"/>
        <v>1.64819050982</v>
      </c>
      <c r="AL115" s="68">
        <v>2931.17</v>
      </c>
      <c r="AM115" s="70"/>
      <c r="AN115" s="90">
        <f>'Bodarna(Björk)'!AV59</f>
        <v>1.1697900036841458</v>
      </c>
      <c r="AO115" s="156">
        <f t="shared" si="35"/>
        <v>51.792452413115555</v>
      </c>
      <c r="AP115" s="94"/>
      <c r="AQ115" s="85"/>
      <c r="AR115" s="85"/>
      <c r="AS115" s="85"/>
      <c r="AT115" s="85"/>
      <c r="AU115" s="92"/>
      <c r="AV115" s="91"/>
      <c r="AW115" s="91"/>
      <c r="AX115" s="91"/>
      <c r="AY115" s="91"/>
    </row>
    <row r="116" spans="1:51" ht="18" thickTop="1" thickBot="1" x14ac:dyDescent="0.3">
      <c r="A116" s="86" t="s">
        <v>131</v>
      </c>
      <c r="B116" s="86" t="s">
        <v>198</v>
      </c>
      <c r="C116" s="86" t="s">
        <v>97</v>
      </c>
      <c r="D116" s="86" t="s">
        <v>346</v>
      </c>
      <c r="E116" s="86" t="s">
        <v>347</v>
      </c>
      <c r="G116" s="65" t="s">
        <v>176</v>
      </c>
      <c r="H116">
        <v>35</v>
      </c>
      <c r="I116" s="76">
        <f>45-25</f>
        <v>20</v>
      </c>
      <c r="J116" s="64">
        <v>5</v>
      </c>
      <c r="K116" s="13" t="s">
        <v>171</v>
      </c>
      <c r="L116" s="14">
        <v>0.2</v>
      </c>
      <c r="M116" s="15">
        <v>82</v>
      </c>
      <c r="N116" s="16" t="s">
        <v>171</v>
      </c>
      <c r="O116" s="17">
        <f t="shared" si="45"/>
        <v>8.5280732219999997</v>
      </c>
      <c r="P116" s="18">
        <v>158</v>
      </c>
      <c r="Q116" s="16" t="s">
        <v>171</v>
      </c>
      <c r="R116" s="19">
        <f t="shared" si="46"/>
        <v>13.629259348</v>
      </c>
      <c r="S116" s="21">
        <v>2.09</v>
      </c>
      <c r="T116" s="21" t="s">
        <v>171</v>
      </c>
      <c r="U116" s="22">
        <f t="shared" si="47"/>
        <v>0.29184276669999998</v>
      </c>
      <c r="V116" s="20">
        <v>1.96</v>
      </c>
      <c r="W116" s="21" t="s">
        <v>171</v>
      </c>
      <c r="X116" s="22">
        <f t="shared" si="48"/>
        <v>0.28205675279999998</v>
      </c>
      <c r="Y116" s="23">
        <f t="shared" si="49"/>
        <v>0.12999999999999989</v>
      </c>
      <c r="Z116" s="71">
        <v>2470</v>
      </c>
      <c r="AA116" s="21" t="s">
        <v>171</v>
      </c>
      <c r="AB116" s="67">
        <f t="shared" si="41"/>
        <v>135.85</v>
      </c>
      <c r="AC116" s="68">
        <v>21.18</v>
      </c>
      <c r="AD116" s="21" t="s">
        <v>171</v>
      </c>
      <c r="AE116" s="69">
        <f t="shared" si="44"/>
        <v>1.7235907645599999</v>
      </c>
      <c r="AF116" s="68">
        <v>2.42</v>
      </c>
      <c r="AG116" s="21" t="s">
        <v>171</v>
      </c>
      <c r="AH116" s="22">
        <f t="shared" si="42"/>
        <v>0.41208928482000001</v>
      </c>
      <c r="AI116" s="70">
        <v>23.6</v>
      </c>
      <c r="AJ116" s="21" t="s">
        <v>171</v>
      </c>
      <c r="AK116" s="22">
        <f t="shared" si="43"/>
        <v>1.7320149296</v>
      </c>
      <c r="AL116" s="68">
        <v>2493.6</v>
      </c>
      <c r="AM116" s="70"/>
      <c r="AN116" s="151">
        <f>AN115+((AN115-AN117)/(H115-H117))*(H116-H115)</f>
        <v>1.3427314123100853</v>
      </c>
      <c r="AO116" s="156">
        <f t="shared" si="35"/>
        <v>52.635071362555344</v>
      </c>
      <c r="AP116" s="94"/>
      <c r="AQ116" s="85"/>
      <c r="AR116" s="85"/>
      <c r="AS116" s="85"/>
      <c r="AT116" s="85"/>
      <c r="AU116" s="92"/>
      <c r="AV116" s="91"/>
      <c r="AW116" s="91"/>
      <c r="AX116" s="91"/>
      <c r="AY116" s="91"/>
    </row>
    <row r="117" spans="1:51" ht="18" thickTop="1" thickBot="1" x14ac:dyDescent="0.3">
      <c r="A117" s="86" t="s">
        <v>131</v>
      </c>
      <c r="B117" s="86" t="s">
        <v>198</v>
      </c>
      <c r="C117" s="86" t="s">
        <v>97</v>
      </c>
      <c r="D117" s="86" t="s">
        <v>346</v>
      </c>
      <c r="E117" s="86" t="s">
        <v>347</v>
      </c>
      <c r="G117" s="60" t="s">
        <v>21</v>
      </c>
      <c r="H117">
        <v>52.5</v>
      </c>
      <c r="I117">
        <f>60-45</f>
        <v>15</v>
      </c>
      <c r="J117" s="64">
        <v>5.2</v>
      </c>
      <c r="K117" s="13" t="s">
        <v>171</v>
      </c>
      <c r="L117" s="14">
        <v>0.2</v>
      </c>
      <c r="M117" s="15">
        <v>33</v>
      </c>
      <c r="N117" s="16" t="s">
        <v>171</v>
      </c>
      <c r="O117" s="17">
        <f t="shared" si="45"/>
        <v>4.4696976139999993</v>
      </c>
      <c r="P117" s="18">
        <v>184</v>
      </c>
      <c r="Q117" s="16" t="s">
        <v>171</v>
      </c>
      <c r="R117" s="19">
        <f t="shared" si="46"/>
        <v>15.924850074</v>
      </c>
      <c r="S117" s="21">
        <v>2.38</v>
      </c>
      <c r="T117" s="21" t="s">
        <v>171</v>
      </c>
      <c r="U117" s="22">
        <f t="shared" si="47"/>
        <v>0.31367310539999999</v>
      </c>
      <c r="V117" s="20">
        <v>1.54</v>
      </c>
      <c r="W117" s="21" t="s">
        <v>171</v>
      </c>
      <c r="X117" s="22">
        <f t="shared" si="48"/>
        <v>0.25044040020000002</v>
      </c>
      <c r="Y117" s="23">
        <f t="shared" si="49"/>
        <v>0.83999999999999986</v>
      </c>
      <c r="Z117" s="71">
        <v>2130</v>
      </c>
      <c r="AA117" s="21" t="s">
        <v>171</v>
      </c>
      <c r="AB117" s="67">
        <f t="shared" si="41"/>
        <v>117.15</v>
      </c>
      <c r="AC117" s="68">
        <v>8.9</v>
      </c>
      <c r="AD117" s="21" t="s">
        <v>171</v>
      </c>
      <c r="AE117" s="69">
        <f t="shared" si="44"/>
        <v>0.83868669480000013</v>
      </c>
      <c r="AF117" s="68">
        <v>2.56</v>
      </c>
      <c r="AG117" s="21" t="s">
        <v>171</v>
      </c>
      <c r="AH117" s="22">
        <f t="shared" si="42"/>
        <v>0.43171428476000001</v>
      </c>
      <c r="AI117" s="70">
        <v>11.46</v>
      </c>
      <c r="AJ117" s="21" t="s">
        <v>171</v>
      </c>
      <c r="AK117" s="22">
        <f t="shared" si="43"/>
        <v>1.3132377871599998</v>
      </c>
      <c r="AL117" s="68">
        <v>2141.46</v>
      </c>
      <c r="AM117" s="70"/>
      <c r="AN117" s="144">
        <f>AN$113</f>
        <v>1.5041433936942956</v>
      </c>
      <c r="AO117" s="156">
        <f t="shared" si="35"/>
        <v>34.745712394338227</v>
      </c>
      <c r="AP117" s="94"/>
      <c r="AQ117" s="85"/>
      <c r="AR117" s="85"/>
      <c r="AS117" s="85"/>
      <c r="AT117" s="85"/>
      <c r="AU117" s="92"/>
      <c r="AV117" s="91"/>
      <c r="AW117" s="91"/>
      <c r="AX117" s="91"/>
      <c r="AY117" s="91"/>
    </row>
    <row r="118" spans="1:51" ht="18" thickTop="1" thickBot="1" x14ac:dyDescent="0.3">
      <c r="A118" s="86" t="s">
        <v>131</v>
      </c>
      <c r="B118" s="86" t="s">
        <v>98</v>
      </c>
      <c r="C118" s="86" t="s">
        <v>98</v>
      </c>
      <c r="D118" s="86" t="s">
        <v>350</v>
      </c>
      <c r="E118" s="86" t="s">
        <v>351</v>
      </c>
      <c r="G118" s="65" t="s">
        <v>177</v>
      </c>
      <c r="H118">
        <v>3.75</v>
      </c>
      <c r="I118">
        <v>7.5</v>
      </c>
      <c r="J118" s="64">
        <v>4.8</v>
      </c>
      <c r="K118" s="13" t="s">
        <v>171</v>
      </c>
      <c r="L118" s="14">
        <v>0.2</v>
      </c>
      <c r="M118" s="15">
        <v>62</v>
      </c>
      <c r="N118" s="16" t="s">
        <v>171</v>
      </c>
      <c r="O118" s="17">
        <f t="shared" si="45"/>
        <v>6.8715933820000004</v>
      </c>
      <c r="P118" s="18">
        <v>590</v>
      </c>
      <c r="Q118" s="16" t="s">
        <v>171</v>
      </c>
      <c r="R118" s="19">
        <f t="shared" si="46"/>
        <v>51.771382179999996</v>
      </c>
      <c r="S118" s="21">
        <v>3.96</v>
      </c>
      <c r="T118" s="21" t="s">
        <v>171</v>
      </c>
      <c r="U118" s="22">
        <f t="shared" si="47"/>
        <v>0.43261081280000002</v>
      </c>
      <c r="V118" s="20">
        <v>3.73</v>
      </c>
      <c r="W118" s="21" t="s">
        <v>171</v>
      </c>
      <c r="X118" s="22">
        <f t="shared" si="48"/>
        <v>0.41529709589999997</v>
      </c>
      <c r="Y118" s="23">
        <f t="shared" si="49"/>
        <v>0.22999999999999998</v>
      </c>
      <c r="Z118" s="71">
        <v>4180</v>
      </c>
      <c r="AA118" s="21" t="s">
        <v>171</v>
      </c>
      <c r="AB118" s="67">
        <f t="shared" si="41"/>
        <v>229.9</v>
      </c>
      <c r="AC118" s="68">
        <v>6.74</v>
      </c>
      <c r="AD118" s="21" t="s">
        <v>171</v>
      </c>
      <c r="AE118" s="69">
        <f t="shared" si="44"/>
        <v>0.68303581608000008</v>
      </c>
      <c r="AF118" s="68">
        <v>2.27</v>
      </c>
      <c r="AG118" s="21" t="s">
        <v>171</v>
      </c>
      <c r="AH118" s="22">
        <f t="shared" si="42"/>
        <v>0.39106249917000002</v>
      </c>
      <c r="AI118" s="70">
        <v>9.01</v>
      </c>
      <c r="AJ118" s="21" t="s">
        <v>171</v>
      </c>
      <c r="AK118" s="22">
        <f t="shared" si="43"/>
        <v>1.2287234544599999</v>
      </c>
      <c r="AL118" s="68">
        <v>4189.01</v>
      </c>
      <c r="AM118" s="70"/>
      <c r="AN118" s="157">
        <f>AN114</f>
        <v>1.1375076074073036</v>
      </c>
      <c r="AO118" s="156">
        <f t="shared" si="35"/>
        <v>31.82177531721932</v>
      </c>
      <c r="AP118" s="94"/>
      <c r="AQ118" s="85"/>
      <c r="AR118" s="85"/>
      <c r="AS118" s="85"/>
      <c r="AT118" s="85"/>
      <c r="AU118" s="92"/>
      <c r="AV118" s="91"/>
      <c r="AW118" s="91"/>
      <c r="AX118" s="91"/>
      <c r="AY118" s="91"/>
    </row>
    <row r="119" spans="1:51" ht="18" thickTop="1" thickBot="1" x14ac:dyDescent="0.3">
      <c r="A119" s="86" t="s">
        <v>131</v>
      </c>
      <c r="B119" s="86" t="s">
        <v>98</v>
      </c>
      <c r="C119" s="86" t="s">
        <v>98</v>
      </c>
      <c r="D119" s="86" t="s">
        <v>350</v>
      </c>
      <c r="E119" s="86" t="s">
        <v>351</v>
      </c>
      <c r="G119" s="60" t="s">
        <v>175</v>
      </c>
      <c r="H119">
        <v>16.25</v>
      </c>
      <c r="I119">
        <f>25-7.5</f>
        <v>17.5</v>
      </c>
      <c r="J119" s="64">
        <v>4.5</v>
      </c>
      <c r="K119" s="13" t="s">
        <v>171</v>
      </c>
      <c r="L119" s="14">
        <v>0.2</v>
      </c>
      <c r="M119" s="15">
        <v>39</v>
      </c>
      <c r="N119" s="16" t="s">
        <v>171</v>
      </c>
      <c r="O119" s="17">
        <f t="shared" si="45"/>
        <v>4.9666415659999998</v>
      </c>
      <c r="P119" s="18">
        <v>339</v>
      </c>
      <c r="Q119" s="16" t="s">
        <v>171</v>
      </c>
      <c r="R119" s="19">
        <f t="shared" si="46"/>
        <v>29.610102478999995</v>
      </c>
      <c r="S119" s="20">
        <v>3.28</v>
      </c>
      <c r="T119" s="21" t="s">
        <v>171</v>
      </c>
      <c r="U119" s="22">
        <f t="shared" si="47"/>
        <v>0.38142243239999996</v>
      </c>
      <c r="V119" s="20">
        <v>2.99</v>
      </c>
      <c r="W119" s="21" t="s">
        <v>171</v>
      </c>
      <c r="X119" s="22">
        <f t="shared" si="48"/>
        <v>0.3595920937</v>
      </c>
      <c r="Y119" s="23">
        <f t="shared" si="49"/>
        <v>0.28999999999999959</v>
      </c>
      <c r="Z119" s="71">
        <v>3320</v>
      </c>
      <c r="AA119" s="21" t="s">
        <v>171</v>
      </c>
      <c r="AB119" s="67">
        <f t="shared" si="41"/>
        <v>182.6</v>
      </c>
      <c r="AC119" s="68">
        <v>8.4600000000000009</v>
      </c>
      <c r="AD119" s="21" t="s">
        <v>171</v>
      </c>
      <c r="AE119" s="69">
        <f>0.072060592*AC119+0.197347426</f>
        <v>0.80698003432000009</v>
      </c>
      <c r="AF119" s="68">
        <v>4.1500000000000004</v>
      </c>
      <c r="AG119" s="21" t="s">
        <v>171</v>
      </c>
      <c r="AH119" s="22">
        <f>0.140178571*AF119+0.072857143</f>
        <v>0.65459821265000007</v>
      </c>
      <c r="AI119" s="70">
        <v>12.61</v>
      </c>
      <c r="AJ119" s="21" t="s">
        <v>171</v>
      </c>
      <c r="AK119" s="22">
        <f>0.034495646*AI119+0.917917684</f>
        <v>1.3529077800599998</v>
      </c>
      <c r="AL119" s="68">
        <v>3332.61</v>
      </c>
      <c r="AM119" s="70"/>
      <c r="AN119" s="90">
        <f>'S-20-W(2020)'!J26</f>
        <v>1.0432027508289328</v>
      </c>
      <c r="AO119" s="156">
        <f t="shared" si="35"/>
        <v>54.585583937123907</v>
      </c>
      <c r="AP119" s="94"/>
      <c r="AQ119" s="85"/>
      <c r="AR119" s="85"/>
      <c r="AS119" s="85"/>
      <c r="AT119" s="85"/>
      <c r="AU119" s="92"/>
      <c r="AV119" s="91"/>
      <c r="AW119" s="91"/>
      <c r="AX119" s="91"/>
      <c r="AY119" s="91"/>
    </row>
    <row r="120" spans="1:51" ht="18" thickTop="1" thickBot="1" x14ac:dyDescent="0.3">
      <c r="G120" s="65" t="s">
        <v>176</v>
      </c>
      <c r="H120">
        <v>35</v>
      </c>
      <c r="I120" s="76">
        <f>45-25</f>
        <v>20</v>
      </c>
      <c r="J120" s="64"/>
      <c r="K120" s="13"/>
      <c r="L120" s="14"/>
      <c r="M120" s="15"/>
      <c r="N120" s="16"/>
      <c r="O120" s="17"/>
      <c r="P120" s="18"/>
      <c r="Q120" s="16"/>
      <c r="R120" s="19"/>
      <c r="S120" s="20"/>
      <c r="T120" s="21"/>
      <c r="U120" s="22"/>
      <c r="V120" s="158">
        <f>V124</f>
        <v>2.4699999999999998</v>
      </c>
      <c r="W120" s="21"/>
      <c r="X120" s="22"/>
      <c r="Y120" s="23"/>
      <c r="Z120" s="71"/>
      <c r="AA120" s="21"/>
      <c r="AB120" s="67"/>
      <c r="AC120" s="68"/>
      <c r="AD120" s="21"/>
      <c r="AE120" s="69"/>
      <c r="AF120" s="68"/>
      <c r="AG120" s="21"/>
      <c r="AH120" s="22"/>
      <c r="AI120" s="70"/>
      <c r="AJ120" s="21"/>
      <c r="AK120" s="22"/>
      <c r="AL120" s="68"/>
      <c r="AM120" s="70"/>
      <c r="AN120" s="151">
        <f>AN119+((AN119-AN121)/(H119-H121))*(H120-H119)</f>
        <v>1.2816203247248101</v>
      </c>
      <c r="AO120" s="156">
        <f t="shared" si="35"/>
        <v>63.312044041405613</v>
      </c>
      <c r="AP120" s="94"/>
      <c r="AQ120" s="85"/>
      <c r="AR120" s="85"/>
      <c r="AS120" s="85"/>
      <c r="AT120" s="85"/>
      <c r="AU120" s="92"/>
      <c r="AV120" s="91"/>
      <c r="AW120" s="91"/>
      <c r="AX120" s="91"/>
      <c r="AY120" s="91"/>
    </row>
    <row r="121" spans="1:51" ht="15.6" customHeight="1" thickTop="1" thickBot="1" x14ac:dyDescent="0.3">
      <c r="A121" s="86" t="s">
        <v>131</v>
      </c>
      <c r="B121" s="86" t="s">
        <v>98</v>
      </c>
      <c r="C121" s="86" t="s">
        <v>98</v>
      </c>
      <c r="D121" s="86" t="s">
        <v>350</v>
      </c>
      <c r="E121" s="86" t="s">
        <v>351</v>
      </c>
      <c r="G121" s="65" t="s">
        <v>21</v>
      </c>
      <c r="H121">
        <v>52.5</v>
      </c>
      <c r="I121">
        <f>60-45</f>
        <v>15</v>
      </c>
      <c r="J121" s="64">
        <v>4.5999999999999996</v>
      </c>
      <c r="K121" s="13" t="s">
        <v>171</v>
      </c>
      <c r="L121" s="14">
        <v>0.2</v>
      </c>
      <c r="M121" s="15">
        <v>14</v>
      </c>
      <c r="N121" s="16" t="s">
        <v>171</v>
      </c>
      <c r="O121" s="17">
        <f t="shared" si="45"/>
        <v>2.8960417659999997</v>
      </c>
      <c r="P121" s="18">
        <v>211</v>
      </c>
      <c r="Q121" s="16" t="s">
        <v>171</v>
      </c>
      <c r="R121" s="19">
        <f t="shared" si="46"/>
        <v>18.308732750999997</v>
      </c>
      <c r="S121" s="20">
        <v>1.54</v>
      </c>
      <c r="T121" s="21" t="s">
        <v>171</v>
      </c>
      <c r="U121" s="22">
        <f t="shared" si="47"/>
        <v>0.25044040020000002</v>
      </c>
      <c r="V121" s="20">
        <v>1.52</v>
      </c>
      <c r="W121" s="21" t="s">
        <v>171</v>
      </c>
      <c r="X121" s="22">
        <f t="shared" si="48"/>
        <v>0.2489348596</v>
      </c>
      <c r="Y121" s="23">
        <f t="shared" si="49"/>
        <v>2.0000000000000018E-2</v>
      </c>
      <c r="Z121" s="71">
        <v>2040</v>
      </c>
      <c r="AA121" s="21" t="s">
        <v>171</v>
      </c>
      <c r="AB121" s="67">
        <f>Z121*0.055</f>
        <v>112.2</v>
      </c>
      <c r="AC121" s="68">
        <v>2.2000000000000002</v>
      </c>
      <c r="AD121" s="21" t="s">
        <v>171</v>
      </c>
      <c r="AE121" s="69">
        <f t="shared" ref="AE121:AE137" si="50">0.072060592*AC121+0.197347426</f>
        <v>0.35588072840000001</v>
      </c>
      <c r="AF121" s="68">
        <v>2.9</v>
      </c>
      <c r="AG121" s="21" t="s">
        <v>171</v>
      </c>
      <c r="AH121" s="22">
        <f t="shared" ref="AH121:AH137" si="51">0.140178571*AF121+0.072857143</f>
        <v>0.47937499890000002</v>
      </c>
      <c r="AI121" s="70">
        <v>5.0999999999999996</v>
      </c>
      <c r="AJ121" s="21" t="s">
        <v>171</v>
      </c>
      <c r="AK121" s="22">
        <f t="shared" ref="AK121:AK137" si="52">0.034495646*AI121+0.917917684</f>
        <v>1.0938454786</v>
      </c>
      <c r="AL121" s="68">
        <v>2045.1</v>
      </c>
      <c r="AM121" s="70"/>
      <c r="AN121" s="144">
        <f>AN117</f>
        <v>1.5041433936942956</v>
      </c>
      <c r="AO121" s="156">
        <f t="shared" si="35"/>
        <v>34.294469376229941</v>
      </c>
      <c r="AP121" s="94"/>
      <c r="AQ121" s="85"/>
      <c r="AR121" s="85"/>
      <c r="AS121" s="85"/>
      <c r="AT121" s="85"/>
      <c r="AU121" s="92"/>
      <c r="AV121" s="91"/>
      <c r="AW121" s="91"/>
      <c r="AX121" s="91"/>
      <c r="AY121" s="91"/>
    </row>
    <row r="122" spans="1:51" ht="18" thickTop="1" thickBot="1" x14ac:dyDescent="0.3">
      <c r="A122" s="86" t="s">
        <v>131</v>
      </c>
      <c r="B122" s="86" t="s">
        <v>178</v>
      </c>
      <c r="C122" s="86" t="s">
        <v>178</v>
      </c>
      <c r="D122" s="86" t="s">
        <v>348</v>
      </c>
      <c r="E122" s="86" t="s">
        <v>79</v>
      </c>
      <c r="F122" s="86" t="s">
        <v>79</v>
      </c>
      <c r="G122" s="60" t="s">
        <v>177</v>
      </c>
      <c r="H122">
        <v>3.75</v>
      </c>
      <c r="I122">
        <v>7.5</v>
      </c>
      <c r="J122" s="64">
        <v>4.3</v>
      </c>
      <c r="K122" s="13" t="s">
        <v>171</v>
      </c>
      <c r="L122" s="14">
        <v>0.2</v>
      </c>
      <c r="M122" s="15">
        <v>200</v>
      </c>
      <c r="N122" s="16" t="s">
        <v>171</v>
      </c>
      <c r="O122" s="17">
        <f t="shared" si="45"/>
        <v>18.301304278</v>
      </c>
      <c r="P122" s="18">
        <v>390</v>
      </c>
      <c r="Q122" s="16" t="s">
        <v>171</v>
      </c>
      <c r="R122" s="19">
        <f t="shared" si="46"/>
        <v>34.112991979999997</v>
      </c>
      <c r="S122" s="20">
        <v>3.55</v>
      </c>
      <c r="T122" s="21" t="s">
        <v>171</v>
      </c>
      <c r="U122" s="22">
        <f t="shared" si="47"/>
        <v>0.40174723049999994</v>
      </c>
      <c r="V122" s="20">
        <v>3.26</v>
      </c>
      <c r="W122" s="21" t="s">
        <v>171</v>
      </c>
      <c r="X122" s="22">
        <f t="shared" si="48"/>
        <v>0.37991689179999999</v>
      </c>
      <c r="Y122" s="23">
        <f t="shared" si="49"/>
        <v>0.29000000000000004</v>
      </c>
      <c r="Z122" s="71">
        <v>4010</v>
      </c>
      <c r="AA122" s="21" t="s">
        <v>171</v>
      </c>
      <c r="AB122" s="67">
        <f t="shared" ref="AB122:AB150" si="53">Z122*0.055</f>
        <v>220.55</v>
      </c>
      <c r="AC122" s="68">
        <v>77.31</v>
      </c>
      <c r="AD122" s="21" t="s">
        <v>171</v>
      </c>
      <c r="AE122" s="69">
        <f t="shared" si="50"/>
        <v>5.7683517935200008</v>
      </c>
      <c r="AF122" s="68">
        <v>11.28</v>
      </c>
      <c r="AG122" s="21" t="s">
        <v>171</v>
      </c>
      <c r="AH122" s="22">
        <f t="shared" si="51"/>
        <v>1.6540714238799998</v>
      </c>
      <c r="AI122" s="70">
        <v>88.59</v>
      </c>
      <c r="AJ122" s="21" t="s">
        <v>171</v>
      </c>
      <c r="AK122" s="22">
        <f t="shared" si="52"/>
        <v>3.9738869631399996</v>
      </c>
      <c r="AL122" s="68">
        <v>4098.59</v>
      </c>
      <c r="AM122" s="70"/>
      <c r="AN122" s="150">
        <f>AN123-((AN123-AN125)/(H123-H125))*3.5</f>
        <v>0.91940921953873045</v>
      </c>
      <c r="AO122" s="156">
        <f t="shared" si="35"/>
        <v>22.479555417721958</v>
      </c>
      <c r="AP122" s="94"/>
      <c r="AQ122" s="85"/>
      <c r="AR122" s="85"/>
      <c r="AS122" s="85"/>
      <c r="AT122" s="85"/>
      <c r="AU122" s="92"/>
      <c r="AV122" s="91"/>
      <c r="AW122" s="91"/>
      <c r="AX122" s="91"/>
      <c r="AY122" s="91"/>
    </row>
    <row r="123" spans="1:51" ht="18" thickTop="1" thickBot="1" x14ac:dyDescent="0.3">
      <c r="A123" s="86" t="s">
        <v>131</v>
      </c>
      <c r="B123" s="86" t="s">
        <v>178</v>
      </c>
      <c r="C123" s="86" t="s">
        <v>178</v>
      </c>
      <c r="D123" s="86" t="s">
        <v>348</v>
      </c>
      <c r="E123" s="86" t="s">
        <v>79</v>
      </c>
      <c r="F123" s="86" t="s">
        <v>79</v>
      </c>
      <c r="G123" s="65" t="s">
        <v>175</v>
      </c>
      <c r="H123">
        <v>16.25</v>
      </c>
      <c r="I123">
        <f>25-7.5</f>
        <v>17.5</v>
      </c>
      <c r="J123" s="64">
        <v>4.3</v>
      </c>
      <c r="K123" s="13" t="s">
        <v>171</v>
      </c>
      <c r="L123" s="14">
        <v>0.2</v>
      </c>
      <c r="M123" s="15">
        <v>117</v>
      </c>
      <c r="N123" s="16" t="s">
        <v>171</v>
      </c>
      <c r="O123" s="17">
        <f t="shared" si="45"/>
        <v>11.426912942000001</v>
      </c>
      <c r="P123" s="18">
        <v>282</v>
      </c>
      <c r="Q123" s="16" t="s">
        <v>171</v>
      </c>
      <c r="R123" s="19">
        <f t="shared" si="46"/>
        <v>24.577461271999997</v>
      </c>
      <c r="S123" s="20">
        <v>3.72</v>
      </c>
      <c r="T123" s="21" t="s">
        <v>171</v>
      </c>
      <c r="U123" s="22">
        <f t="shared" si="47"/>
        <v>0.41454432559999999</v>
      </c>
      <c r="V123" s="20">
        <v>3.25</v>
      </c>
      <c r="W123" s="21" t="s">
        <v>171</v>
      </c>
      <c r="X123" s="22">
        <f t="shared" si="48"/>
        <v>0.37916412150000001</v>
      </c>
      <c r="Y123" s="23">
        <f t="shared" si="49"/>
        <v>0.4700000000000002</v>
      </c>
      <c r="Z123" s="71">
        <v>3800</v>
      </c>
      <c r="AA123" s="21" t="s">
        <v>171</v>
      </c>
      <c r="AB123" s="67">
        <f t="shared" si="53"/>
        <v>209</v>
      </c>
      <c r="AC123" s="68">
        <v>53.56</v>
      </c>
      <c r="AD123" s="21" t="s">
        <v>171</v>
      </c>
      <c r="AE123" s="69">
        <f t="shared" si="50"/>
        <v>4.0569127335200008</v>
      </c>
      <c r="AF123" s="68">
        <v>2.94</v>
      </c>
      <c r="AG123" s="21" t="s">
        <v>171</v>
      </c>
      <c r="AH123" s="22">
        <f t="shared" si="51"/>
        <v>0.48498214173999998</v>
      </c>
      <c r="AI123" s="70">
        <v>56.5</v>
      </c>
      <c r="AJ123" s="21" t="s">
        <v>171</v>
      </c>
      <c r="AK123" s="22">
        <f t="shared" si="52"/>
        <v>2.8669216829999997</v>
      </c>
      <c r="AL123" s="68">
        <v>3856.5</v>
      </c>
      <c r="AM123" s="70"/>
      <c r="AN123" s="90">
        <f>'S-20-W(2020)'!Q26</f>
        <v>0.97089524745179911</v>
      </c>
      <c r="AO123" s="156">
        <f t="shared" si="35"/>
        <v>55.219667198821078</v>
      </c>
      <c r="AP123" s="94"/>
      <c r="AQ123" s="85"/>
      <c r="AR123" s="85"/>
      <c r="AS123" s="85"/>
      <c r="AT123" s="85"/>
      <c r="AU123" s="92"/>
      <c r="AV123" s="91"/>
      <c r="AW123" s="91"/>
      <c r="AX123" s="91"/>
      <c r="AY123" s="91"/>
    </row>
    <row r="124" spans="1:51" ht="18" thickTop="1" thickBot="1" x14ac:dyDescent="0.3">
      <c r="G124" s="65" t="s">
        <v>176</v>
      </c>
      <c r="H124">
        <v>35</v>
      </c>
      <c r="I124" s="76">
        <f>45-25</f>
        <v>20</v>
      </c>
      <c r="J124" s="64"/>
      <c r="K124" s="13"/>
      <c r="L124" s="14"/>
      <c r="M124" s="15"/>
      <c r="N124" s="16"/>
      <c r="O124" s="17"/>
      <c r="P124" s="18"/>
      <c r="Q124" s="16"/>
      <c r="R124" s="19"/>
      <c r="S124" s="20"/>
      <c r="T124" s="21"/>
      <c r="U124" s="22"/>
      <c r="V124" s="158">
        <f>V128</f>
        <v>2.4699999999999998</v>
      </c>
      <c r="W124" s="21"/>
      <c r="X124" s="22"/>
      <c r="Y124" s="23"/>
      <c r="Z124" s="71"/>
      <c r="AA124" s="21"/>
      <c r="AB124" s="67"/>
      <c r="AC124" s="68"/>
      <c r="AD124" s="21"/>
      <c r="AE124" s="69"/>
      <c r="AF124" s="68"/>
      <c r="AG124" s="21"/>
      <c r="AH124" s="22"/>
      <c r="AI124" s="70"/>
      <c r="AJ124" s="21"/>
      <c r="AK124" s="22"/>
      <c r="AL124" s="68"/>
      <c r="AM124" s="70"/>
      <c r="AN124" s="151">
        <f>AN123+((AN123-AN125)/(H123-H125))*(H124-H123)</f>
        <v>1.2467132541289525</v>
      </c>
      <c r="AO124" s="156">
        <f t="shared" si="35"/>
        <v>61.587634753970242</v>
      </c>
      <c r="AP124" s="94"/>
      <c r="AQ124" s="85"/>
      <c r="AR124" s="85"/>
      <c r="AS124" s="85"/>
      <c r="AT124" s="85"/>
      <c r="AU124" s="92"/>
      <c r="AV124" s="91"/>
      <c r="AW124" s="91"/>
      <c r="AX124" s="91"/>
      <c r="AY124" s="91"/>
    </row>
    <row r="125" spans="1:51" ht="18" thickTop="1" thickBot="1" x14ac:dyDescent="0.3">
      <c r="A125" s="86" t="s">
        <v>131</v>
      </c>
      <c r="B125" s="86" t="s">
        <v>178</v>
      </c>
      <c r="C125" s="86" t="s">
        <v>178</v>
      </c>
      <c r="D125" s="86" t="s">
        <v>348</v>
      </c>
      <c r="E125" s="86" t="s">
        <v>79</v>
      </c>
      <c r="F125" s="86" t="s">
        <v>79</v>
      </c>
      <c r="G125" s="60" t="s">
        <v>21</v>
      </c>
      <c r="H125">
        <v>52.5</v>
      </c>
      <c r="I125">
        <f>60-45</f>
        <v>15</v>
      </c>
      <c r="J125" s="64">
        <v>4.0999999999999996</v>
      </c>
      <c r="K125" s="13" t="s">
        <v>171</v>
      </c>
      <c r="L125" s="14">
        <v>0.2</v>
      </c>
      <c r="M125" s="15">
        <v>31</v>
      </c>
      <c r="N125" s="16" t="s">
        <v>171</v>
      </c>
      <c r="O125" s="17">
        <f t="shared" si="45"/>
        <v>4.3040496299999997</v>
      </c>
      <c r="P125" s="18">
        <v>193</v>
      </c>
      <c r="Q125" s="16" t="s">
        <v>171</v>
      </c>
      <c r="R125" s="19">
        <f t="shared" si="46"/>
        <v>16.719477632999997</v>
      </c>
      <c r="S125" s="20">
        <v>2.67</v>
      </c>
      <c r="T125" s="21" t="s">
        <v>171</v>
      </c>
      <c r="U125" s="22">
        <f t="shared" si="47"/>
        <v>0.33550344409999999</v>
      </c>
      <c r="V125" s="20">
        <v>2.3199999999999998</v>
      </c>
      <c r="W125" s="21" t="s">
        <v>171</v>
      </c>
      <c r="X125" s="22">
        <f t="shared" si="48"/>
        <v>0.30915648359999998</v>
      </c>
      <c r="Y125" s="23">
        <f t="shared" si="49"/>
        <v>0.35000000000000009</v>
      </c>
      <c r="Z125" s="71">
        <v>2410</v>
      </c>
      <c r="AA125" s="21" t="s">
        <v>171</v>
      </c>
      <c r="AB125" s="67">
        <f t="shared" si="53"/>
        <v>132.55000000000001</v>
      </c>
      <c r="AC125" s="68">
        <v>16.72</v>
      </c>
      <c r="AD125" s="21" t="s">
        <v>171</v>
      </c>
      <c r="AE125" s="69">
        <f t="shared" si="50"/>
        <v>1.40220052424</v>
      </c>
      <c r="AF125" s="68">
        <v>2.83</v>
      </c>
      <c r="AG125" s="21" t="s">
        <v>171</v>
      </c>
      <c r="AH125" s="22">
        <f t="shared" si="51"/>
        <v>0.46956249893000002</v>
      </c>
      <c r="AI125" s="70">
        <v>19.55</v>
      </c>
      <c r="AJ125" s="21" t="s">
        <v>171</v>
      </c>
      <c r="AK125" s="22">
        <f t="shared" si="52"/>
        <v>1.5923075632999999</v>
      </c>
      <c r="AL125" s="68">
        <v>2429.5500000000002</v>
      </c>
      <c r="AM125" s="70"/>
      <c r="AN125" s="144">
        <f>AN$113</f>
        <v>1.5041433936942956</v>
      </c>
      <c r="AO125" s="156">
        <f t="shared" si="35"/>
        <v>52.344190100561484</v>
      </c>
      <c r="AP125" s="94"/>
      <c r="AQ125" s="85"/>
      <c r="AR125" s="85"/>
      <c r="AS125" s="85"/>
      <c r="AT125" s="85"/>
      <c r="AU125" s="92"/>
      <c r="AV125" s="91"/>
      <c r="AW125" s="91"/>
      <c r="AX125" s="91"/>
      <c r="AY125" s="91"/>
    </row>
    <row r="126" spans="1:51" ht="18" thickTop="1" thickBot="1" x14ac:dyDescent="0.3">
      <c r="A126" s="86" t="s">
        <v>131</v>
      </c>
      <c r="B126" s="86" t="s">
        <v>203</v>
      </c>
      <c r="C126" s="86" t="s">
        <v>81</v>
      </c>
      <c r="D126" s="86" t="s">
        <v>346</v>
      </c>
      <c r="E126" s="86" t="s">
        <v>38</v>
      </c>
      <c r="F126" s="86" t="s">
        <v>38</v>
      </c>
      <c r="G126" s="65" t="s">
        <v>177</v>
      </c>
      <c r="H126">
        <v>3.75</v>
      </c>
      <c r="I126">
        <v>7.5</v>
      </c>
      <c r="J126" s="64">
        <v>5.2</v>
      </c>
      <c r="K126" s="13" t="s">
        <v>171</v>
      </c>
      <c r="L126" s="14">
        <v>0.2</v>
      </c>
      <c r="M126" s="15">
        <v>75</v>
      </c>
      <c r="N126" s="16" t="s">
        <v>171</v>
      </c>
      <c r="O126" s="17">
        <f t="shared" si="45"/>
        <v>7.9483052780000003</v>
      </c>
      <c r="P126" s="18">
        <v>462</v>
      </c>
      <c r="Q126" s="16" t="s">
        <v>171</v>
      </c>
      <c r="R126" s="19">
        <f t="shared" si="46"/>
        <v>40.470012451999999</v>
      </c>
      <c r="S126" s="20">
        <v>5.18</v>
      </c>
      <c r="T126" s="21" t="s">
        <v>171</v>
      </c>
      <c r="U126" s="22">
        <f t="shared" si="47"/>
        <v>0.52444878939999995</v>
      </c>
      <c r="V126" s="20">
        <v>4.84</v>
      </c>
      <c r="W126" s="21" t="s">
        <v>171</v>
      </c>
      <c r="X126" s="22">
        <f t="shared" si="48"/>
        <v>0.49885459919999997</v>
      </c>
      <c r="Y126" s="23">
        <f t="shared" si="49"/>
        <v>0.33999999999999986</v>
      </c>
      <c r="Z126" s="71">
        <v>4920</v>
      </c>
      <c r="AA126" s="21" t="s">
        <v>171</v>
      </c>
      <c r="AB126" s="67">
        <f t="shared" si="53"/>
        <v>270.60000000000002</v>
      </c>
      <c r="AC126" s="68">
        <v>42.36</v>
      </c>
      <c r="AD126" s="21" t="s">
        <v>171</v>
      </c>
      <c r="AE126" s="69">
        <f t="shared" si="50"/>
        <v>3.24983410312</v>
      </c>
      <c r="AF126" s="68">
        <v>2.63</v>
      </c>
      <c r="AG126" s="21" t="s">
        <v>171</v>
      </c>
      <c r="AH126" s="22">
        <f t="shared" si="51"/>
        <v>0.44152678473000001</v>
      </c>
      <c r="AI126" s="70">
        <v>44.99</v>
      </c>
      <c r="AJ126" s="21" t="s">
        <v>171</v>
      </c>
      <c r="AK126" s="22">
        <f t="shared" si="52"/>
        <v>2.46987679754</v>
      </c>
      <c r="AL126" s="68">
        <v>4964.99</v>
      </c>
      <c r="AM126" s="70"/>
      <c r="AN126" s="150">
        <f>AN127-((AN127-AN129)/(H127-H129))*3.5</f>
        <v>0.96888399584332041</v>
      </c>
      <c r="AO126" s="156">
        <f t="shared" si="35"/>
        <v>35.170489049112533</v>
      </c>
      <c r="AP126" s="94">
        <f>'PoplarPlots(2000)'!E132</f>
        <v>9.5</v>
      </c>
      <c r="AQ126" s="85">
        <f>'PoplarPlots(2000)'!L132</f>
        <v>182.8311188530509</v>
      </c>
      <c r="AR126" s="85">
        <f>'S-17-W(2020)'!Q2</f>
        <v>12.58835833598487</v>
      </c>
      <c r="AS126" s="85">
        <f>'S-17-W(2020)'!R2</f>
        <v>63.91012693653856</v>
      </c>
      <c r="AT126" s="85">
        <f>'S-17-W(2020)'!S2</f>
        <v>5.3258439113782137</v>
      </c>
      <c r="AU126" s="92">
        <v>12</v>
      </c>
      <c r="AV126" s="91">
        <f>'S-17-W(2020)'!P2</f>
        <v>151.06030003181843</v>
      </c>
      <c r="AW126" s="91">
        <f>'S-17-W(2020)'!Q2</f>
        <v>12.58835833598487</v>
      </c>
      <c r="AX126" s="91">
        <f>'S-17-W(2020)'!R2</f>
        <v>63.91012693653856</v>
      </c>
      <c r="AY126" s="91">
        <f>'S-17-W(2020)'!S2</f>
        <v>5.3258439113782137</v>
      </c>
    </row>
    <row r="127" spans="1:51" ht="18" thickTop="1" thickBot="1" x14ac:dyDescent="0.3">
      <c r="A127" s="86" t="s">
        <v>131</v>
      </c>
      <c r="B127" s="86" t="s">
        <v>203</v>
      </c>
      <c r="C127" s="86" t="s">
        <v>81</v>
      </c>
      <c r="D127" s="86" t="s">
        <v>346</v>
      </c>
      <c r="E127" s="86" t="s">
        <v>38</v>
      </c>
      <c r="F127" s="86" t="s">
        <v>38</v>
      </c>
      <c r="G127" s="60" t="s">
        <v>175</v>
      </c>
      <c r="H127">
        <v>16.25</v>
      </c>
      <c r="I127">
        <f>25-7.5</f>
        <v>17.5</v>
      </c>
      <c r="J127" s="64">
        <v>4.8</v>
      </c>
      <c r="K127" s="13" t="s">
        <v>171</v>
      </c>
      <c r="L127" s="14">
        <v>0.2</v>
      </c>
      <c r="M127" s="15">
        <v>57</v>
      </c>
      <c r="N127" s="16" t="s">
        <v>171</v>
      </c>
      <c r="O127" s="17">
        <f t="shared" si="45"/>
        <v>6.4574734219999996</v>
      </c>
      <c r="P127" s="18">
        <v>284</v>
      </c>
      <c r="Q127" s="16" t="s">
        <v>171</v>
      </c>
      <c r="R127" s="19">
        <f t="shared" si="46"/>
        <v>24.754045173999998</v>
      </c>
      <c r="S127" s="20">
        <v>3.53</v>
      </c>
      <c r="T127" s="21" t="s">
        <v>171</v>
      </c>
      <c r="U127" s="22">
        <f t="shared" si="47"/>
        <v>0.40024168989999998</v>
      </c>
      <c r="V127" s="20">
        <v>3.48</v>
      </c>
      <c r="W127" s="21" t="s">
        <v>171</v>
      </c>
      <c r="X127" s="22">
        <f t="shared" si="48"/>
        <v>0.39647783839999995</v>
      </c>
      <c r="Y127" s="23">
        <f t="shared" si="49"/>
        <v>4.9999999999999822E-2</v>
      </c>
      <c r="Z127" s="71">
        <v>3660</v>
      </c>
      <c r="AA127" s="21" t="s">
        <v>171</v>
      </c>
      <c r="AB127" s="67">
        <f t="shared" si="53"/>
        <v>201.3</v>
      </c>
      <c r="AC127" s="68">
        <v>15.73</v>
      </c>
      <c r="AD127" s="21" t="s">
        <v>171</v>
      </c>
      <c r="AE127" s="69">
        <f t="shared" si="50"/>
        <v>1.3308605381600001</v>
      </c>
      <c r="AF127" s="68">
        <v>1.4</v>
      </c>
      <c r="AG127" s="21" t="s">
        <v>171</v>
      </c>
      <c r="AH127" s="22">
        <f t="shared" si="51"/>
        <v>0.2691071424</v>
      </c>
      <c r="AI127" s="70">
        <v>17.13</v>
      </c>
      <c r="AJ127" s="21" t="s">
        <v>171</v>
      </c>
      <c r="AK127" s="22">
        <f t="shared" si="52"/>
        <v>1.5088280999799999</v>
      </c>
      <c r="AL127" s="68">
        <v>3677.13</v>
      </c>
      <c r="AM127" s="70"/>
      <c r="AN127" s="90">
        <f>'S-17-W(2020)'!D32</f>
        <v>1.0160137541446641</v>
      </c>
      <c r="AO127" s="156">
        <f t="shared" si="35"/>
        <v>61.875237627410044</v>
      </c>
      <c r="AP127" s="94"/>
      <c r="AQ127" s="85"/>
      <c r="AR127" s="85"/>
      <c r="AS127" s="85"/>
      <c r="AT127" s="85"/>
      <c r="AU127" s="92"/>
      <c r="AV127" s="91"/>
      <c r="AW127" s="91"/>
      <c r="AX127" s="91"/>
      <c r="AY127" s="91"/>
    </row>
    <row r="128" spans="1:51" ht="18" thickTop="1" thickBot="1" x14ac:dyDescent="0.3">
      <c r="G128" s="65" t="s">
        <v>176</v>
      </c>
      <c r="H128">
        <v>35</v>
      </c>
      <c r="I128" s="76">
        <f>45-25</f>
        <v>20</v>
      </c>
      <c r="J128" s="64"/>
      <c r="K128" s="13"/>
      <c r="L128" s="14"/>
      <c r="M128" s="15"/>
      <c r="N128" s="16"/>
      <c r="O128" s="17"/>
      <c r="P128" s="18"/>
      <c r="Q128" s="16"/>
      <c r="R128" s="19"/>
      <c r="S128" s="20"/>
      <c r="T128" s="21"/>
      <c r="U128" s="22"/>
      <c r="V128" s="158">
        <f>V132</f>
        <v>2.4699999999999998</v>
      </c>
      <c r="W128" s="21"/>
      <c r="X128" s="22"/>
      <c r="Y128" s="23"/>
      <c r="Z128" s="71"/>
      <c r="AA128" s="21"/>
      <c r="AB128" s="67"/>
      <c r="AC128" s="68"/>
      <c r="AD128" s="21"/>
      <c r="AE128" s="69"/>
      <c r="AF128" s="68"/>
      <c r="AG128" s="21"/>
      <c r="AH128" s="22"/>
      <c r="AI128" s="70"/>
      <c r="AJ128" s="21"/>
      <c r="AK128" s="22"/>
      <c r="AL128" s="68"/>
      <c r="AM128" s="70"/>
      <c r="AN128" s="151">
        <f>AN127+((AN127-AN129)/(H127-H129))*(H128-H127)</f>
        <v>1.2684946021875769</v>
      </c>
      <c r="AO128" s="156">
        <f t="shared" si="35"/>
        <v>62.663633348066298</v>
      </c>
      <c r="AP128" s="94"/>
      <c r="AQ128" s="85"/>
      <c r="AR128" s="85"/>
      <c r="AS128" s="85"/>
      <c r="AT128" s="85"/>
      <c r="AU128" s="92"/>
      <c r="AV128" s="91"/>
      <c r="AW128" s="91"/>
      <c r="AX128" s="91"/>
      <c r="AY128" s="91"/>
    </row>
    <row r="129" spans="1:51" ht="18" thickTop="1" thickBot="1" x14ac:dyDescent="0.3">
      <c r="A129" s="86" t="s">
        <v>131</v>
      </c>
      <c r="B129" s="86" t="s">
        <v>203</v>
      </c>
      <c r="C129" s="86" t="s">
        <v>81</v>
      </c>
      <c r="D129" s="86" t="s">
        <v>346</v>
      </c>
      <c r="E129" s="86" t="s">
        <v>38</v>
      </c>
      <c r="F129" s="86" t="s">
        <v>38</v>
      </c>
      <c r="G129" s="65" t="s">
        <v>21</v>
      </c>
      <c r="H129">
        <v>52.5</v>
      </c>
      <c r="I129">
        <f>60-45</f>
        <v>15</v>
      </c>
      <c r="J129" s="64">
        <v>4.9000000000000004</v>
      </c>
      <c r="K129" s="13" t="s">
        <v>171</v>
      </c>
      <c r="L129" s="14">
        <v>0.2</v>
      </c>
      <c r="M129" s="15">
        <v>44</v>
      </c>
      <c r="N129" s="16" t="s">
        <v>171</v>
      </c>
      <c r="O129" s="17">
        <f t="shared" si="45"/>
        <v>5.3807615260000006</v>
      </c>
      <c r="P129" s="18">
        <v>205</v>
      </c>
      <c r="Q129" s="16" t="s">
        <v>171</v>
      </c>
      <c r="R129" s="19">
        <f t="shared" si="46"/>
        <v>17.778981044999998</v>
      </c>
      <c r="S129" s="20">
        <v>2.17</v>
      </c>
      <c r="T129" s="21" t="s">
        <v>171</v>
      </c>
      <c r="U129" s="22">
        <f t="shared" si="47"/>
        <v>0.29786492909999995</v>
      </c>
      <c r="V129" s="20">
        <v>2.15</v>
      </c>
      <c r="W129" s="21" t="s">
        <v>171</v>
      </c>
      <c r="X129" s="22">
        <f t="shared" si="48"/>
        <v>0.29635938849999999</v>
      </c>
      <c r="Y129" s="23">
        <f t="shared" si="49"/>
        <v>2.0000000000000018E-2</v>
      </c>
      <c r="Z129" s="71">
        <v>2240</v>
      </c>
      <c r="AA129" s="21" t="s">
        <v>171</v>
      </c>
      <c r="AB129" s="67">
        <f t="shared" si="53"/>
        <v>123.2</v>
      </c>
      <c r="AC129" s="68">
        <v>8.85</v>
      </c>
      <c r="AD129" s="21" t="s">
        <v>171</v>
      </c>
      <c r="AE129" s="69">
        <f t="shared" si="50"/>
        <v>0.83508366519999999</v>
      </c>
      <c r="AF129" s="68">
        <v>2.0299999999999998</v>
      </c>
      <c r="AG129" s="21" t="s">
        <v>171</v>
      </c>
      <c r="AH129" s="22">
        <f t="shared" si="51"/>
        <v>0.35741964212999999</v>
      </c>
      <c r="AI129" s="70">
        <v>10.88</v>
      </c>
      <c r="AJ129" s="21" t="s">
        <v>171</v>
      </c>
      <c r="AK129" s="22">
        <f t="shared" si="52"/>
        <v>1.29323031248</v>
      </c>
      <c r="AL129" s="68">
        <v>2250.88</v>
      </c>
      <c r="AM129" s="70"/>
      <c r="AN129" s="144">
        <f>AN$113</f>
        <v>1.5041433936942956</v>
      </c>
      <c r="AO129" s="156">
        <f t="shared" si="35"/>
        <v>48.508624446641029</v>
      </c>
      <c r="AP129" s="94"/>
      <c r="AQ129" s="85"/>
      <c r="AR129" s="85"/>
      <c r="AS129" s="85"/>
      <c r="AT129" s="85"/>
      <c r="AU129" s="92"/>
      <c r="AV129" s="91"/>
      <c r="AW129" s="91"/>
      <c r="AX129" s="91"/>
      <c r="AY129" s="91"/>
    </row>
    <row r="130" spans="1:51" ht="18" thickTop="1" thickBot="1" x14ac:dyDescent="0.3">
      <c r="A130" s="86" t="s">
        <v>131</v>
      </c>
      <c r="B130" s="114" t="s">
        <v>204</v>
      </c>
      <c r="C130" s="114" t="s">
        <v>409</v>
      </c>
      <c r="D130" s="86" t="s">
        <v>346</v>
      </c>
      <c r="E130" s="86" t="s">
        <v>39</v>
      </c>
      <c r="F130" s="86" t="s">
        <v>39</v>
      </c>
      <c r="G130" s="60" t="s">
        <v>177</v>
      </c>
      <c r="H130">
        <v>3.75</v>
      </c>
      <c r="I130">
        <v>7.5</v>
      </c>
      <c r="J130" s="64">
        <v>4.9000000000000004</v>
      </c>
      <c r="K130" s="13" t="s">
        <v>171</v>
      </c>
      <c r="L130" s="14">
        <v>0.2</v>
      </c>
      <c r="M130" s="15">
        <v>74</v>
      </c>
      <c r="N130" s="16" t="s">
        <v>171</v>
      </c>
      <c r="O130" s="17">
        <f t="shared" si="45"/>
        <v>7.8654812859999996</v>
      </c>
      <c r="P130" s="18">
        <v>390</v>
      </c>
      <c r="Q130" s="16" t="s">
        <v>171</v>
      </c>
      <c r="R130" s="19">
        <f t="shared" si="46"/>
        <v>34.112991979999997</v>
      </c>
      <c r="S130" s="20">
        <v>5.12</v>
      </c>
      <c r="T130" s="21" t="s">
        <v>171</v>
      </c>
      <c r="U130" s="22">
        <f t="shared" si="47"/>
        <v>0.51993216759999994</v>
      </c>
      <c r="V130" s="20">
        <v>4.99</v>
      </c>
      <c r="W130" s="21" t="s">
        <v>171</v>
      </c>
      <c r="X130" s="22">
        <f t="shared" si="48"/>
        <v>0.51014615369999994</v>
      </c>
      <c r="Y130" s="23">
        <f t="shared" si="49"/>
        <v>0.12999999999999989</v>
      </c>
      <c r="Z130" s="72">
        <v>4800</v>
      </c>
      <c r="AA130" s="21" t="s">
        <v>171</v>
      </c>
      <c r="AB130" s="67">
        <f t="shared" si="53"/>
        <v>264</v>
      </c>
      <c r="AC130" s="68">
        <v>22.74</v>
      </c>
      <c r="AD130" s="21" t="s">
        <v>171</v>
      </c>
      <c r="AE130" s="69">
        <f t="shared" si="50"/>
        <v>1.83600528808</v>
      </c>
      <c r="AF130" s="68">
        <v>3.26</v>
      </c>
      <c r="AG130" s="21" t="s">
        <v>171</v>
      </c>
      <c r="AH130" s="22">
        <f t="shared" si="51"/>
        <v>0.52983928445999995</v>
      </c>
      <c r="AI130" s="70">
        <v>26</v>
      </c>
      <c r="AJ130" s="21" t="s">
        <v>171</v>
      </c>
      <c r="AK130" s="22">
        <f t="shared" si="52"/>
        <v>1.8148044799999998</v>
      </c>
      <c r="AL130" s="68">
        <v>4826</v>
      </c>
      <c r="AM130" s="70"/>
      <c r="AN130" s="150">
        <f>AN131-((AN131-AN133)/(H131-H133))*3.5</f>
        <v>0.90125679753040522</v>
      </c>
      <c r="AO130" s="156">
        <f t="shared" si="35"/>
        <v>33.729535647575418</v>
      </c>
      <c r="AP130" s="94">
        <v>9.5</v>
      </c>
      <c r="AQ130" s="85">
        <f>'PoplarPlots(2000)'!L142</f>
        <v>168.50257780003568</v>
      </c>
      <c r="AR130" s="85">
        <f>'PoplarPlots(2000)'!M142</f>
        <v>17.737113452635334</v>
      </c>
      <c r="AS130" s="85">
        <f>'PoplarPlots(2000)'!N142</f>
        <v>69.50731334251472</v>
      </c>
      <c r="AT130" s="85">
        <f>'PoplarPlots(2000)'!O142</f>
        <v>7.3165592992120763</v>
      </c>
      <c r="AU130" s="92">
        <f>'S-18-W(2020)'!F2</f>
        <v>12</v>
      </c>
      <c r="AV130" s="91">
        <f>'S-18-W(2020)'!P2</f>
        <v>186.21083834775862</v>
      </c>
      <c r="AW130" s="91">
        <f>'S-18-W(2020)'!Q2</f>
        <v>15.517569862313218</v>
      </c>
      <c r="AX130" s="91">
        <f>'S-18-W(2020)'!R2</f>
        <v>76.811970818450433</v>
      </c>
      <c r="AY130" s="91">
        <f>'S-18-W(2020)'!S2</f>
        <v>6.4009975682042031</v>
      </c>
    </row>
    <row r="131" spans="1:51" ht="18" thickTop="1" thickBot="1" x14ac:dyDescent="0.3">
      <c r="A131" s="86" t="s">
        <v>131</v>
      </c>
      <c r="B131" s="114" t="s">
        <v>204</v>
      </c>
      <c r="C131" s="114" t="s">
        <v>409</v>
      </c>
      <c r="D131" s="86" t="s">
        <v>346</v>
      </c>
      <c r="E131" s="86" t="s">
        <v>39</v>
      </c>
      <c r="F131" s="86" t="s">
        <v>39</v>
      </c>
      <c r="G131" s="65" t="s">
        <v>175</v>
      </c>
      <c r="H131">
        <v>16.25</v>
      </c>
      <c r="I131">
        <f>25-7.5</f>
        <v>17.5</v>
      </c>
      <c r="J131" s="64">
        <v>4.3</v>
      </c>
      <c r="K131" s="13" t="s">
        <v>171</v>
      </c>
      <c r="L131" s="14">
        <v>0.2</v>
      </c>
      <c r="M131" s="15">
        <v>53</v>
      </c>
      <c r="N131" s="16" t="s">
        <v>171</v>
      </c>
      <c r="O131" s="17">
        <f t="shared" si="45"/>
        <v>6.1261774539999996</v>
      </c>
      <c r="P131" s="18">
        <v>270</v>
      </c>
      <c r="Q131" s="16" t="s">
        <v>171</v>
      </c>
      <c r="R131" s="19">
        <f t="shared" si="46"/>
        <v>23.517957859999996</v>
      </c>
      <c r="S131" s="20">
        <v>3.64</v>
      </c>
      <c r="T131" s="21" t="s">
        <v>171</v>
      </c>
      <c r="U131" s="22">
        <f t="shared" si="47"/>
        <v>0.40852216320000001</v>
      </c>
      <c r="V131" s="20">
        <v>3.53</v>
      </c>
      <c r="W131" s="21" t="s">
        <v>171</v>
      </c>
      <c r="X131" s="22">
        <f t="shared" si="48"/>
        <v>0.40024168989999998</v>
      </c>
      <c r="Y131" s="23">
        <f t="shared" si="49"/>
        <v>0.11000000000000032</v>
      </c>
      <c r="Z131" s="71">
        <v>3980</v>
      </c>
      <c r="AA131" s="21" t="s">
        <v>171</v>
      </c>
      <c r="AB131" s="67">
        <f t="shared" si="53"/>
        <v>218.9</v>
      </c>
      <c r="AC131" s="68">
        <v>16.38</v>
      </c>
      <c r="AD131" s="21" t="s">
        <v>171</v>
      </c>
      <c r="AE131" s="69">
        <f t="shared" si="50"/>
        <v>1.3776999229600002</v>
      </c>
      <c r="AF131" s="68">
        <v>2.97</v>
      </c>
      <c r="AG131" s="21" t="s">
        <v>171</v>
      </c>
      <c r="AH131" s="22">
        <f t="shared" si="51"/>
        <v>0.48918749887000007</v>
      </c>
      <c r="AI131" s="70">
        <v>19.350000000000001</v>
      </c>
      <c r="AJ131" s="21" t="s">
        <v>171</v>
      </c>
      <c r="AK131" s="22">
        <f t="shared" si="52"/>
        <v>1.5854084341000001</v>
      </c>
      <c r="AL131" s="68">
        <v>3999.25</v>
      </c>
      <c r="AM131" s="70"/>
      <c r="AN131" s="90">
        <f>'S-18-W(2020)'!D51</f>
        <v>0.95434115190961566</v>
      </c>
      <c r="AO131" s="156">
        <f t="shared" si="35"/>
        <v>58.954424659216507</v>
      </c>
      <c r="AP131" s="94"/>
      <c r="AQ131" s="85"/>
      <c r="AR131" s="85"/>
      <c r="AS131" s="85"/>
      <c r="AT131" s="85"/>
      <c r="AU131" s="92"/>
      <c r="AV131" s="91"/>
      <c r="AW131" s="91"/>
      <c r="AX131" s="91"/>
      <c r="AY131" s="91"/>
    </row>
    <row r="132" spans="1:51" ht="18" thickTop="1" thickBot="1" x14ac:dyDescent="0.3">
      <c r="B132" s="114"/>
      <c r="C132" s="114"/>
      <c r="G132" s="65" t="s">
        <v>176</v>
      </c>
      <c r="H132">
        <v>35</v>
      </c>
      <c r="I132" s="76">
        <f>45-25</f>
        <v>20</v>
      </c>
      <c r="J132" s="64"/>
      <c r="K132" s="13"/>
      <c r="L132" s="14"/>
      <c r="M132" s="15"/>
      <c r="N132" s="16"/>
      <c r="O132" s="17"/>
      <c r="P132" s="18"/>
      <c r="Q132" s="16"/>
      <c r="R132" s="19"/>
      <c r="S132" s="20"/>
      <c r="T132" s="21"/>
      <c r="U132" s="22"/>
      <c r="V132" s="158">
        <f>V136</f>
        <v>2.4699999999999998</v>
      </c>
      <c r="W132" s="21"/>
      <c r="X132" s="22"/>
      <c r="Y132" s="23"/>
      <c r="Z132" s="71"/>
      <c r="AA132" s="21"/>
      <c r="AB132" s="67"/>
      <c r="AC132" s="68"/>
      <c r="AD132" s="21"/>
      <c r="AE132" s="69"/>
      <c r="AF132" s="68"/>
      <c r="AG132" s="21"/>
      <c r="AH132" s="22"/>
      <c r="AI132" s="70"/>
      <c r="AJ132" s="21"/>
      <c r="AK132" s="22"/>
      <c r="AL132" s="68"/>
      <c r="AM132" s="70"/>
      <c r="AN132" s="151">
        <f>AN131+((AN131-AN133)/(H131-H133))*(H132-H131)</f>
        <v>1.2387216217982433</v>
      </c>
      <c r="AO132" s="156">
        <f t="shared" si="35"/>
        <v>61.192848116833211</v>
      </c>
      <c r="AP132" s="94"/>
      <c r="AQ132" s="85"/>
      <c r="AR132" s="85"/>
      <c r="AS132" s="85"/>
      <c r="AT132" s="85"/>
      <c r="AU132" s="92"/>
      <c r="AV132" s="91"/>
      <c r="AW132" s="91"/>
      <c r="AX132" s="91"/>
      <c r="AY132" s="91"/>
    </row>
    <row r="133" spans="1:51" ht="18" thickTop="1" thickBot="1" x14ac:dyDescent="0.3">
      <c r="A133" s="86" t="s">
        <v>131</v>
      </c>
      <c r="B133" s="114" t="s">
        <v>204</v>
      </c>
      <c r="C133" s="114" t="s">
        <v>409</v>
      </c>
      <c r="D133" s="86" t="s">
        <v>346</v>
      </c>
      <c r="E133" s="86" t="s">
        <v>39</v>
      </c>
      <c r="F133" s="86" t="s">
        <v>39</v>
      </c>
      <c r="G133" s="60" t="s">
        <v>21</v>
      </c>
      <c r="H133">
        <v>52.5</v>
      </c>
      <c r="I133">
        <f>60-45</f>
        <v>15</v>
      </c>
      <c r="J133" s="64">
        <v>4.5</v>
      </c>
      <c r="K133" s="13" t="s">
        <v>171</v>
      </c>
      <c r="L133" s="14">
        <v>0.2</v>
      </c>
      <c r="M133" s="15">
        <v>27</v>
      </c>
      <c r="N133" s="16" t="s">
        <v>171</v>
      </c>
      <c r="O133" s="17">
        <f t="shared" si="45"/>
        <v>3.9727536620000001</v>
      </c>
      <c r="P133" s="18">
        <v>197</v>
      </c>
      <c r="Q133" s="16" t="s">
        <v>171</v>
      </c>
      <c r="R133" s="19">
        <f t="shared" si="46"/>
        <v>17.072645436999998</v>
      </c>
      <c r="S133" s="20">
        <v>2.0499999999999998</v>
      </c>
      <c r="T133" s="21" t="s">
        <v>171</v>
      </c>
      <c r="U133" s="22">
        <f t="shared" si="47"/>
        <v>0.28883168549999999</v>
      </c>
      <c r="V133" s="20">
        <v>1.83</v>
      </c>
      <c r="W133" s="21" t="s">
        <v>171</v>
      </c>
      <c r="X133" s="22">
        <f t="shared" si="48"/>
        <v>0.27227073889999998</v>
      </c>
      <c r="Y133" s="23">
        <f t="shared" si="49"/>
        <v>0.21999999999999975</v>
      </c>
      <c r="Z133" s="71">
        <v>2360</v>
      </c>
      <c r="AA133" s="21" t="s">
        <v>171</v>
      </c>
      <c r="AB133" s="67">
        <f t="shared" si="53"/>
        <v>129.80000000000001</v>
      </c>
      <c r="AC133" s="68">
        <v>5.79</v>
      </c>
      <c r="AD133" s="21" t="s">
        <v>171</v>
      </c>
      <c r="AE133" s="69">
        <f t="shared" si="50"/>
        <v>0.61457825367999996</v>
      </c>
      <c r="AF133" s="68">
        <v>3.63</v>
      </c>
      <c r="AG133" s="21" t="s">
        <v>171</v>
      </c>
      <c r="AH133" s="22">
        <f t="shared" si="51"/>
        <v>0.58170535573000004</v>
      </c>
      <c r="AI133" s="70">
        <v>9.42</v>
      </c>
      <c r="AJ133" s="21" t="s">
        <v>171</v>
      </c>
      <c r="AK133" s="22">
        <f t="shared" si="52"/>
        <v>1.2428666693199999</v>
      </c>
      <c r="AL133" s="68">
        <v>2369.42</v>
      </c>
      <c r="AM133" s="70"/>
      <c r="AN133" s="144">
        <f>AN$113</f>
        <v>1.5041433936942956</v>
      </c>
      <c r="AO133" s="156">
        <f t="shared" si="35"/>
        <v>41.288736156908413</v>
      </c>
      <c r="AP133" s="94"/>
      <c r="AQ133" s="85"/>
      <c r="AR133" s="85"/>
      <c r="AS133" s="85"/>
      <c r="AT133" s="85"/>
      <c r="AU133" s="92"/>
      <c r="AV133" s="91"/>
      <c r="AW133" s="91"/>
      <c r="AX133" s="91"/>
      <c r="AY133" s="91"/>
    </row>
    <row r="134" spans="1:51" ht="18" thickTop="1" thickBot="1" x14ac:dyDescent="0.3">
      <c r="A134" s="86" t="s">
        <v>131</v>
      </c>
      <c r="B134" s="114" t="s">
        <v>205</v>
      </c>
      <c r="C134" s="114" t="s">
        <v>409</v>
      </c>
      <c r="D134" s="86" t="s">
        <v>346</v>
      </c>
      <c r="E134" s="86" t="s">
        <v>404</v>
      </c>
      <c r="F134" s="86" t="s">
        <v>404</v>
      </c>
      <c r="G134" s="65" t="s">
        <v>177</v>
      </c>
      <c r="H134">
        <v>3.75</v>
      </c>
      <c r="I134">
        <v>7.5</v>
      </c>
      <c r="J134" s="64">
        <v>4.5999999999999996</v>
      </c>
      <c r="K134" s="13" t="s">
        <v>171</v>
      </c>
      <c r="L134" s="14">
        <v>0.2</v>
      </c>
      <c r="M134" s="15">
        <v>37</v>
      </c>
      <c r="N134" s="16" t="s">
        <v>171</v>
      </c>
      <c r="O134" s="17">
        <f t="shared" si="45"/>
        <v>4.8009935820000003</v>
      </c>
      <c r="P134" s="18">
        <v>354</v>
      </c>
      <c r="Q134" s="16" t="s">
        <v>171</v>
      </c>
      <c r="R134" s="19">
        <f t="shared" si="46"/>
        <v>30.934481743999996</v>
      </c>
      <c r="S134" s="20">
        <v>4.2699999999999996</v>
      </c>
      <c r="T134" s="21" t="s">
        <v>171</v>
      </c>
      <c r="U134" s="22">
        <f t="shared" si="47"/>
        <v>0.45594669209999994</v>
      </c>
      <c r="V134" s="20">
        <v>4.05</v>
      </c>
      <c r="W134" s="21" t="s">
        <v>171</v>
      </c>
      <c r="X134" s="22">
        <f t="shared" si="48"/>
        <v>0.43938574549999998</v>
      </c>
      <c r="Y134" s="23">
        <f t="shared" si="49"/>
        <v>0.21999999999999975</v>
      </c>
      <c r="Z134" s="71">
        <v>4630</v>
      </c>
      <c r="AA134" s="21" t="s">
        <v>171</v>
      </c>
      <c r="AB134" s="67">
        <f t="shared" si="53"/>
        <v>254.65</v>
      </c>
      <c r="AC134" s="68">
        <v>17.32</v>
      </c>
      <c r="AD134" s="21" t="s">
        <v>171</v>
      </c>
      <c r="AE134" s="69">
        <f t="shared" si="50"/>
        <v>1.4454368794400003</v>
      </c>
      <c r="AF134" s="68">
        <v>5.15</v>
      </c>
      <c r="AG134" s="21" t="s">
        <v>171</v>
      </c>
      <c r="AH134" s="22">
        <f t="shared" si="51"/>
        <v>0.79477678365000004</v>
      </c>
      <c r="AI134" s="70">
        <v>22.47</v>
      </c>
      <c r="AJ134" s="21" t="s">
        <v>171</v>
      </c>
      <c r="AK134" s="22">
        <f t="shared" si="52"/>
        <v>1.6930348496199998</v>
      </c>
      <c r="AL134" s="68">
        <v>4652.47</v>
      </c>
      <c r="AM134" s="70"/>
      <c r="AN134" s="150">
        <f>AN135-((AN135-AN137)/(H135-H137))*3.5</f>
        <v>0.91811646544911663</v>
      </c>
      <c r="AO134" s="156">
        <f t="shared" si="35"/>
        <v>27.887787638016917</v>
      </c>
      <c r="AP134" s="94"/>
      <c r="AQ134" s="85"/>
      <c r="AR134" s="85"/>
      <c r="AS134" s="85"/>
      <c r="AT134" s="85"/>
      <c r="AU134" s="92"/>
      <c r="AV134" s="91"/>
      <c r="AW134" s="91"/>
      <c r="AX134" s="91"/>
      <c r="AY134" s="91"/>
    </row>
    <row r="135" spans="1:51" ht="18" thickTop="1" thickBot="1" x14ac:dyDescent="0.3">
      <c r="A135" s="86" t="s">
        <v>131</v>
      </c>
      <c r="B135" s="114" t="s">
        <v>205</v>
      </c>
      <c r="C135" s="114" t="s">
        <v>409</v>
      </c>
      <c r="D135" s="86" t="s">
        <v>346</v>
      </c>
      <c r="E135" s="86" t="s">
        <v>404</v>
      </c>
      <c r="F135" s="86" t="s">
        <v>404</v>
      </c>
      <c r="G135" s="60" t="s">
        <v>175</v>
      </c>
      <c r="H135">
        <v>16.25</v>
      </c>
      <c r="I135">
        <f>25-7.5</f>
        <v>17.5</v>
      </c>
      <c r="J135" s="64">
        <v>4.2</v>
      </c>
      <c r="K135" s="13" t="s">
        <v>171</v>
      </c>
      <c r="L135" s="14">
        <v>0.2</v>
      </c>
      <c r="M135" s="15">
        <v>30</v>
      </c>
      <c r="N135" s="16" t="s">
        <v>171</v>
      </c>
      <c r="O135" s="17">
        <f t="shared" si="45"/>
        <v>4.2212256379999999</v>
      </c>
      <c r="P135" s="18">
        <v>214</v>
      </c>
      <c r="Q135" s="16" t="s">
        <v>171</v>
      </c>
      <c r="R135" s="19">
        <f t="shared" si="46"/>
        <v>18.573608603999997</v>
      </c>
      <c r="S135" s="20">
        <v>3.26</v>
      </c>
      <c r="T135" s="21" t="s">
        <v>171</v>
      </c>
      <c r="U135" s="22">
        <f t="shared" si="47"/>
        <v>0.37991689179999999</v>
      </c>
      <c r="V135" s="20">
        <v>3.17</v>
      </c>
      <c r="W135" s="21" t="s">
        <v>171</v>
      </c>
      <c r="X135" s="22">
        <f t="shared" si="48"/>
        <v>0.37314195909999998</v>
      </c>
      <c r="Y135" s="23">
        <f t="shared" si="49"/>
        <v>8.9999999999999858E-2</v>
      </c>
      <c r="Z135" s="71">
        <v>3430</v>
      </c>
      <c r="AA135" s="21" t="s">
        <v>171</v>
      </c>
      <c r="AB135" s="67">
        <f t="shared" si="53"/>
        <v>188.65</v>
      </c>
      <c r="AC135" s="68">
        <v>10.44</v>
      </c>
      <c r="AD135" s="21" t="s">
        <v>171</v>
      </c>
      <c r="AE135" s="69">
        <f t="shared" si="50"/>
        <v>0.94966000648000004</v>
      </c>
      <c r="AF135" s="68">
        <v>2.54</v>
      </c>
      <c r="AG135" s="21" t="s">
        <v>171</v>
      </c>
      <c r="AH135" s="22">
        <f t="shared" si="51"/>
        <v>0.42891071334000003</v>
      </c>
      <c r="AI135" s="70">
        <v>12.98</v>
      </c>
      <c r="AJ135" s="21" t="s">
        <v>171</v>
      </c>
      <c r="AK135" s="22">
        <f t="shared" si="52"/>
        <v>1.3656711690800001</v>
      </c>
      <c r="AL135" s="68">
        <v>3442.98</v>
      </c>
      <c r="AM135" s="70"/>
      <c r="AN135" s="90">
        <f>'S-19-W(2020)'!D43</f>
        <v>0.96971632076630221</v>
      </c>
      <c r="AO135" s="156">
        <f t="shared" si="35"/>
        <v>53.795012894510613</v>
      </c>
      <c r="AP135" s="94"/>
      <c r="AQ135" s="85"/>
      <c r="AR135" s="85"/>
      <c r="AS135" s="85"/>
      <c r="AT135" s="85"/>
      <c r="AU135" s="92"/>
      <c r="AV135" s="91"/>
      <c r="AW135" s="91"/>
      <c r="AX135" s="91"/>
      <c r="AY135" s="91"/>
    </row>
    <row r="136" spans="1:51" ht="18" thickTop="1" thickBot="1" x14ac:dyDescent="0.3">
      <c r="B136" s="114"/>
      <c r="C136" s="114"/>
      <c r="G136" s="65" t="s">
        <v>176</v>
      </c>
      <c r="H136">
        <v>35</v>
      </c>
      <c r="I136" s="76">
        <f>45-25</f>
        <v>20</v>
      </c>
      <c r="J136" s="64"/>
      <c r="K136" s="13"/>
      <c r="L136" s="14"/>
      <c r="M136" s="15"/>
      <c r="N136" s="16"/>
      <c r="O136" s="17"/>
      <c r="P136" s="18"/>
      <c r="Q136" s="16"/>
      <c r="R136" s="19"/>
      <c r="S136" s="20"/>
      <c r="T136" s="21"/>
      <c r="U136" s="22"/>
      <c r="V136" s="158">
        <f>V140</f>
        <v>2.4699999999999998</v>
      </c>
      <c r="W136" s="21"/>
      <c r="X136" s="22"/>
      <c r="Y136" s="23"/>
      <c r="Z136" s="71"/>
      <c r="AA136" s="21"/>
      <c r="AB136" s="67"/>
      <c r="AC136" s="68"/>
      <c r="AD136" s="21"/>
      <c r="AE136" s="69"/>
      <c r="AF136" s="68"/>
      <c r="AG136" s="21"/>
      <c r="AH136" s="22"/>
      <c r="AI136" s="70"/>
      <c r="AJ136" s="21"/>
      <c r="AK136" s="22"/>
      <c r="AL136" s="68"/>
      <c r="AM136" s="70"/>
      <c r="AN136" s="151">
        <f>AN135+((AN135-AN137)/(H135-H137))*(H136-H135)</f>
        <v>1.2461441171083678</v>
      </c>
      <c r="AO136" s="156">
        <f t="shared" si="35"/>
        <v>61.559519385153365</v>
      </c>
      <c r="AP136" s="94"/>
      <c r="AQ136" s="85"/>
      <c r="AR136" s="85"/>
      <c r="AS136" s="85"/>
      <c r="AT136" s="85"/>
      <c r="AU136" s="92"/>
      <c r="AV136" s="91"/>
      <c r="AW136" s="91"/>
      <c r="AX136" s="91"/>
      <c r="AY136" s="91"/>
    </row>
    <row r="137" spans="1:51" ht="18" thickTop="1" thickBot="1" x14ac:dyDescent="0.3">
      <c r="A137" s="86" t="s">
        <v>131</v>
      </c>
      <c r="B137" s="114" t="s">
        <v>205</v>
      </c>
      <c r="C137" s="114" t="s">
        <v>409</v>
      </c>
      <c r="D137" s="86" t="s">
        <v>346</v>
      </c>
      <c r="E137" s="86" t="s">
        <v>404</v>
      </c>
      <c r="F137" s="86" t="s">
        <v>404</v>
      </c>
      <c r="G137" s="60" t="s">
        <v>21</v>
      </c>
      <c r="H137">
        <v>52.5</v>
      </c>
      <c r="I137">
        <f>60-45</f>
        <v>15</v>
      </c>
      <c r="J137" s="64">
        <v>4.5999999999999996</v>
      </c>
      <c r="K137" s="13" t="s">
        <v>171</v>
      </c>
      <c r="L137" s="14">
        <v>0.2</v>
      </c>
      <c r="M137" s="15">
        <v>25</v>
      </c>
      <c r="N137" s="16" t="s">
        <v>171</v>
      </c>
      <c r="O137" s="17">
        <f t="shared" si="45"/>
        <v>3.8071056780000001</v>
      </c>
      <c r="P137" s="18">
        <v>190</v>
      </c>
      <c r="Q137" s="16" t="s">
        <v>171</v>
      </c>
      <c r="R137" s="19">
        <f t="shared" si="46"/>
        <v>16.454601779999997</v>
      </c>
      <c r="S137" s="20">
        <v>2.59</v>
      </c>
      <c r="T137" s="21" t="s">
        <v>171</v>
      </c>
      <c r="U137" s="22">
        <f t="shared" si="47"/>
        <v>0.32948128170000002</v>
      </c>
      <c r="V137" s="20">
        <v>2.38</v>
      </c>
      <c r="W137" s="21" t="s">
        <v>171</v>
      </c>
      <c r="X137" s="22">
        <f t="shared" si="48"/>
        <v>0.31367310539999999</v>
      </c>
      <c r="Y137" s="23">
        <f t="shared" si="49"/>
        <v>0.20999999999999996</v>
      </c>
      <c r="Z137" s="71">
        <v>2540</v>
      </c>
      <c r="AA137" s="21" t="s">
        <v>171</v>
      </c>
      <c r="AB137" s="67">
        <f t="shared" si="53"/>
        <v>139.69999999999999</v>
      </c>
      <c r="AC137" s="68">
        <v>6.1</v>
      </c>
      <c r="AD137" s="21" t="s">
        <v>171</v>
      </c>
      <c r="AE137" s="69">
        <f t="shared" si="50"/>
        <v>0.63691703719999992</v>
      </c>
      <c r="AF137" s="68">
        <v>2.69</v>
      </c>
      <c r="AG137" s="21" t="s">
        <v>171</v>
      </c>
      <c r="AH137" s="22">
        <f t="shared" si="51"/>
        <v>0.44993749899000002</v>
      </c>
      <c r="AI137" s="70">
        <v>8.7899999999999991</v>
      </c>
      <c r="AJ137" s="21" t="s">
        <v>171</v>
      </c>
      <c r="AK137" s="22">
        <f t="shared" si="52"/>
        <v>1.2211344123399999</v>
      </c>
      <c r="AL137" s="68">
        <v>2548.79</v>
      </c>
      <c r="AM137" s="70"/>
      <c r="AN137" s="144">
        <f>AN$113</f>
        <v>1.5041433936942956</v>
      </c>
      <c r="AO137" s="156">
        <f t="shared" si="35"/>
        <v>53.69791915488635</v>
      </c>
      <c r="AP137" s="94"/>
      <c r="AQ137" s="85"/>
      <c r="AR137" s="85"/>
      <c r="AS137" s="85"/>
      <c r="AT137" s="85"/>
      <c r="AU137" s="92"/>
      <c r="AV137" s="91"/>
      <c r="AW137" s="91"/>
      <c r="AX137" s="91"/>
      <c r="AY137" s="91"/>
    </row>
    <row r="138" spans="1:51" ht="18" thickTop="1" thickBot="1" x14ac:dyDescent="0.3">
      <c r="A138" s="86" t="s">
        <v>207</v>
      </c>
      <c r="B138" s="114" t="s">
        <v>206</v>
      </c>
      <c r="C138" s="114" t="s">
        <v>409</v>
      </c>
      <c r="D138" s="86" t="s">
        <v>346</v>
      </c>
      <c r="E138" s="86" t="s">
        <v>405</v>
      </c>
      <c r="F138" s="86" t="s">
        <v>405</v>
      </c>
      <c r="G138" s="60" t="s">
        <v>177</v>
      </c>
      <c r="H138">
        <v>3.75</v>
      </c>
      <c r="I138">
        <v>7.5</v>
      </c>
      <c r="J138" s="64">
        <v>5.3</v>
      </c>
      <c r="K138" s="13" t="s">
        <v>171</v>
      </c>
      <c r="L138" s="14">
        <v>0.2</v>
      </c>
      <c r="M138" s="15">
        <v>43</v>
      </c>
      <c r="N138" s="16" t="s">
        <v>171</v>
      </c>
      <c r="O138" s="17">
        <f t="shared" ref="O138:O165" si="54">M138*0.082823992+1.736505878</f>
        <v>5.2979375339999999</v>
      </c>
      <c r="P138" s="18">
        <v>316</v>
      </c>
      <c r="Q138" s="16" t="s">
        <v>171</v>
      </c>
      <c r="R138" s="19">
        <f t="shared" ref="R138:R165" si="55">P138*0.088291951-0.32086891</f>
        <v>27.579387605999997</v>
      </c>
      <c r="S138" s="20">
        <v>4.21</v>
      </c>
      <c r="T138" s="21" t="s">
        <v>171</v>
      </c>
      <c r="U138" s="22">
        <f t="shared" ref="U138:U165" si="56">S138*0.07527703+0.134513774</f>
        <v>0.45143007029999993</v>
      </c>
      <c r="V138" s="20">
        <v>3.91</v>
      </c>
      <c r="W138" s="21" t="s">
        <v>171</v>
      </c>
      <c r="X138" s="22">
        <f t="shared" ref="X138:X165" si="57">V138*0.07527703+0.134513774</f>
        <v>0.4288469613</v>
      </c>
      <c r="Y138" s="23">
        <f t="shared" ref="Y138:Y165" si="58">S138-V138</f>
        <v>0.29999999999999982</v>
      </c>
      <c r="Z138" s="71">
        <v>4080</v>
      </c>
      <c r="AA138" s="21" t="s">
        <v>171</v>
      </c>
      <c r="AB138" s="67">
        <f t="shared" si="53"/>
        <v>224.4</v>
      </c>
      <c r="AC138" s="68">
        <v>18.52</v>
      </c>
      <c r="AD138" s="21" t="s">
        <v>171</v>
      </c>
      <c r="AE138" s="69">
        <f>0.072060592*AC138+0.197347426</f>
        <v>1.5319095898400001</v>
      </c>
      <c r="AF138" s="68">
        <v>2.48</v>
      </c>
      <c r="AG138" s="21" t="s">
        <v>171</v>
      </c>
      <c r="AH138" s="22">
        <f>0.140178571*AF138+0.072857143</f>
        <v>0.42049999908000002</v>
      </c>
      <c r="AI138" s="70">
        <v>21</v>
      </c>
      <c r="AJ138" s="21" t="s">
        <v>171</v>
      </c>
      <c r="AK138" s="22">
        <f>0.034495646*AI138+0.917917684</f>
        <v>1.64232625</v>
      </c>
      <c r="AL138" s="68">
        <v>4101</v>
      </c>
      <c r="AM138" s="70"/>
      <c r="AN138" s="150">
        <f>AN139-((AN139-AN141)/(H139-H141))*3.5</f>
        <v>1.0471764153955483</v>
      </c>
      <c r="AO138" s="156">
        <f t="shared" si="35"/>
        <v>30.708448381474458</v>
      </c>
      <c r="AP138" s="94"/>
      <c r="AQ138" s="85"/>
      <c r="AR138" s="85"/>
      <c r="AS138" s="85"/>
      <c r="AT138" s="85"/>
      <c r="AU138" s="92">
        <f>'S-20-W(2020)'!D2</f>
        <v>30</v>
      </c>
      <c r="AV138" s="91">
        <f>'S-20-W(2020)'!N2</f>
        <v>491.12356966371823</v>
      </c>
      <c r="AW138" s="91">
        <f>'S-20-W(2020)'!O2</f>
        <v>16.370785655457276</v>
      </c>
      <c r="AX138" s="91">
        <f>'S-20-W(2020)'!P2</f>
        <v>207.78304870388078</v>
      </c>
      <c r="AY138" s="91">
        <f>'S-20-W(2020)'!Q2</f>
        <v>6.9261016234626931</v>
      </c>
    </row>
    <row r="139" spans="1:51" ht="18" thickTop="1" thickBot="1" x14ac:dyDescent="0.3">
      <c r="A139" s="86" t="s">
        <v>207</v>
      </c>
      <c r="B139" s="114" t="s">
        <v>208</v>
      </c>
      <c r="C139" s="114" t="s">
        <v>409</v>
      </c>
      <c r="D139" s="86" t="s">
        <v>346</v>
      </c>
      <c r="E139" s="86" t="s">
        <v>405</v>
      </c>
      <c r="F139" s="86" t="s">
        <v>405</v>
      </c>
      <c r="G139" s="65" t="s">
        <v>175</v>
      </c>
      <c r="H139">
        <v>16.25</v>
      </c>
      <c r="I139">
        <f>25-7.5</f>
        <v>17.5</v>
      </c>
      <c r="J139" s="64">
        <v>4.5</v>
      </c>
      <c r="K139" s="13" t="s">
        <v>171</v>
      </c>
      <c r="L139" s="14">
        <v>0.2</v>
      </c>
      <c r="M139" s="15">
        <v>39</v>
      </c>
      <c r="N139" s="16" t="s">
        <v>171</v>
      </c>
      <c r="O139" s="17">
        <f t="shared" si="54"/>
        <v>4.9666415659999998</v>
      </c>
      <c r="P139" s="18">
        <v>181</v>
      </c>
      <c r="Q139" s="16" t="s">
        <v>171</v>
      </c>
      <c r="R139" s="19">
        <f t="shared" si="55"/>
        <v>15.659974220999999</v>
      </c>
      <c r="S139" s="20">
        <v>2.8</v>
      </c>
      <c r="T139" s="21" t="s">
        <v>171</v>
      </c>
      <c r="U139" s="22">
        <f t="shared" si="56"/>
        <v>0.34528945799999999</v>
      </c>
      <c r="V139" s="20">
        <v>2.77</v>
      </c>
      <c r="W139" s="21" t="s">
        <v>171</v>
      </c>
      <c r="X139" s="22">
        <f t="shared" si="57"/>
        <v>0.34303114709999999</v>
      </c>
      <c r="Y139" s="23">
        <f t="shared" si="58"/>
        <v>2.9999999999999805E-2</v>
      </c>
      <c r="Z139" s="71">
        <v>2960</v>
      </c>
      <c r="AA139" s="21" t="s">
        <v>171</v>
      </c>
      <c r="AB139" s="67">
        <f t="shared" si="53"/>
        <v>162.80000000000001</v>
      </c>
      <c r="AC139" s="68">
        <v>11.16</v>
      </c>
      <c r="AD139" s="21" t="s">
        <v>171</v>
      </c>
      <c r="AE139" s="69">
        <f>0.072060592*AC139+0.197347426</f>
        <v>1.0015436327200002</v>
      </c>
      <c r="AF139" s="68">
        <v>3.2</v>
      </c>
      <c r="AG139" s="21" t="s">
        <v>171</v>
      </c>
      <c r="AH139" s="22">
        <f>0.140178571*AF139+0.072857143</f>
        <v>0.5214285702</v>
      </c>
      <c r="AI139" s="70">
        <v>14.36</v>
      </c>
      <c r="AJ139" s="21" t="s">
        <v>171</v>
      </c>
      <c r="AK139" s="22">
        <f>0.034495646*AI139+0.917917684</f>
        <v>1.41327516056</v>
      </c>
      <c r="AL139" s="68">
        <v>2794.36</v>
      </c>
      <c r="AM139" s="70"/>
      <c r="AN139" s="90">
        <f>'S-20-W(2020)'!D26</f>
        <v>1.0874125015350606</v>
      </c>
      <c r="AO139" s="156">
        <f t="shared" si="35"/>
        <v>52.71232101191206</v>
      </c>
      <c r="AP139" s="94"/>
      <c r="AQ139" s="85"/>
      <c r="AR139" s="85"/>
      <c r="AS139" s="85"/>
      <c r="AT139" s="85"/>
      <c r="AU139" s="92"/>
      <c r="AV139" s="91"/>
      <c r="AW139" s="91"/>
      <c r="AX139" s="91"/>
      <c r="AY139" s="91"/>
    </row>
    <row r="140" spans="1:51" ht="18" thickTop="1" thickBot="1" x14ac:dyDescent="0.3">
      <c r="B140" s="114"/>
      <c r="C140" s="114"/>
      <c r="G140" s="65" t="s">
        <v>176</v>
      </c>
      <c r="H140">
        <v>35</v>
      </c>
      <c r="I140" s="76">
        <f>45-25</f>
        <v>20</v>
      </c>
      <c r="J140" s="64"/>
      <c r="K140" s="13"/>
      <c r="L140" s="14"/>
      <c r="M140" s="15"/>
      <c r="N140" s="16"/>
      <c r="O140" s="17"/>
      <c r="P140" s="18"/>
      <c r="Q140" s="16"/>
      <c r="R140" s="19"/>
      <c r="S140" s="20"/>
      <c r="T140" s="21"/>
      <c r="U140" s="22"/>
      <c r="V140" s="158">
        <f>AVERAGE(V116,V112)</f>
        <v>2.4699999999999998</v>
      </c>
      <c r="W140" s="21"/>
      <c r="X140" s="22"/>
      <c r="Y140" s="23"/>
      <c r="Z140" s="71"/>
      <c r="AA140" s="21"/>
      <c r="AB140" s="67"/>
      <c r="AC140" s="68"/>
      <c r="AD140" s="21"/>
      <c r="AE140" s="69"/>
      <c r="AF140" s="68"/>
      <c r="AG140" s="21"/>
      <c r="AH140" s="22"/>
      <c r="AI140" s="70"/>
      <c r="AJ140" s="21"/>
      <c r="AK140" s="22"/>
      <c r="AL140" s="68"/>
      <c r="AM140" s="70"/>
      <c r="AN140" s="151">
        <f>AN139+((AN139-AN141)/(H139-H141))*(H140-H139)</f>
        <v>1.3029629629967339</v>
      </c>
      <c r="AO140" s="156">
        <f t="shared" si="35"/>
        <v>64.366370372038645</v>
      </c>
      <c r="AP140" s="94"/>
      <c r="AQ140" s="85"/>
      <c r="AR140" s="85"/>
      <c r="AS140" s="85"/>
      <c r="AT140" s="85"/>
      <c r="AU140" s="92"/>
      <c r="AV140" s="91"/>
      <c r="AW140" s="91"/>
      <c r="AX140" s="91"/>
      <c r="AY140" s="91"/>
    </row>
    <row r="141" spans="1:51" ht="18" thickTop="1" thickBot="1" x14ac:dyDescent="0.3">
      <c r="A141" s="86" t="s">
        <v>207</v>
      </c>
      <c r="B141" s="114" t="s">
        <v>208</v>
      </c>
      <c r="C141" s="114" t="s">
        <v>409</v>
      </c>
      <c r="D141" s="86" t="s">
        <v>346</v>
      </c>
      <c r="E141" s="86" t="s">
        <v>405</v>
      </c>
      <c r="F141" s="86" t="s">
        <v>405</v>
      </c>
      <c r="G141" s="60" t="s">
        <v>21</v>
      </c>
      <c r="H141">
        <v>52.5</v>
      </c>
      <c r="I141">
        <f>60-45</f>
        <v>15</v>
      </c>
      <c r="J141" s="64">
        <v>5</v>
      </c>
      <c r="K141" s="13" t="s">
        <v>171</v>
      </c>
      <c r="L141" s="14">
        <v>0.2</v>
      </c>
      <c r="M141" s="15">
        <v>39</v>
      </c>
      <c r="N141" s="16" t="s">
        <v>171</v>
      </c>
      <c r="O141" s="17">
        <f t="shared" si="54"/>
        <v>4.9666415659999998</v>
      </c>
      <c r="P141" s="18">
        <v>156</v>
      </c>
      <c r="Q141" s="16" t="s">
        <v>171</v>
      </c>
      <c r="R141" s="19">
        <f t="shared" si="55"/>
        <v>13.452675445999999</v>
      </c>
      <c r="S141" s="20">
        <v>2.0299999999999998</v>
      </c>
      <c r="T141" s="21" t="s">
        <v>171</v>
      </c>
      <c r="U141" s="22">
        <f t="shared" si="56"/>
        <v>0.28732614489999997</v>
      </c>
      <c r="V141" s="20">
        <v>1.92</v>
      </c>
      <c r="W141" s="21" t="s">
        <v>171</v>
      </c>
      <c r="X141" s="22">
        <f t="shared" si="57"/>
        <v>0.27904567159999999</v>
      </c>
      <c r="Y141" s="23">
        <f t="shared" si="58"/>
        <v>0.10999999999999988</v>
      </c>
      <c r="Z141" s="71">
        <v>1850</v>
      </c>
      <c r="AA141" s="21" t="s">
        <v>171</v>
      </c>
      <c r="AB141" s="67">
        <f t="shared" si="53"/>
        <v>101.75</v>
      </c>
      <c r="AC141" s="68">
        <v>5.65</v>
      </c>
      <c r="AD141" s="21" t="s">
        <v>171</v>
      </c>
      <c r="AE141" s="69">
        <f>0.072060592*AC141+0.197347426</f>
        <v>0.6044897708000001</v>
      </c>
      <c r="AF141" s="68">
        <v>2.4900000000000002</v>
      </c>
      <c r="AG141" s="21" t="s">
        <v>171</v>
      </c>
      <c r="AH141" s="22">
        <f>0.140178571*AF141+0.072857143</f>
        <v>0.42190178479000007</v>
      </c>
      <c r="AI141" s="70">
        <v>8.14</v>
      </c>
      <c r="AJ141" s="21" t="s">
        <v>171</v>
      </c>
      <c r="AK141" s="22">
        <f>0.034495646*AI141+0.917917684</f>
        <v>1.1987122424400001</v>
      </c>
      <c r="AL141" s="68">
        <v>1858.14</v>
      </c>
      <c r="AM141" s="70"/>
      <c r="AN141" s="144">
        <f>AN$113</f>
        <v>1.5041433936942956</v>
      </c>
      <c r="AO141" s="156">
        <f t="shared" si="35"/>
        <v>43.319329738395716</v>
      </c>
      <c r="AP141" s="94"/>
      <c r="AQ141" s="85"/>
      <c r="AR141" s="85"/>
      <c r="AS141" s="85"/>
      <c r="AT141" s="85"/>
      <c r="AU141" s="92"/>
      <c r="AV141" s="91"/>
      <c r="AW141" s="91"/>
      <c r="AX141" s="91"/>
      <c r="AY141" s="91"/>
    </row>
    <row r="142" spans="1:51" ht="18" thickTop="1" thickBot="1" x14ac:dyDescent="0.3">
      <c r="A142" s="86" t="s">
        <v>210</v>
      </c>
      <c r="B142" s="114" t="s">
        <v>209</v>
      </c>
      <c r="C142" s="114" t="s">
        <v>409</v>
      </c>
      <c r="D142" s="86" t="s">
        <v>346</v>
      </c>
      <c r="E142" s="86" t="s">
        <v>37</v>
      </c>
      <c r="F142" s="86" t="s">
        <v>37</v>
      </c>
      <c r="G142" s="65" t="s">
        <v>177</v>
      </c>
      <c r="H142">
        <v>3.75</v>
      </c>
      <c r="I142">
        <v>7.5</v>
      </c>
      <c r="J142" s="64">
        <v>5.5</v>
      </c>
      <c r="K142" s="13" t="s">
        <v>171</v>
      </c>
      <c r="L142" s="14">
        <v>0.2</v>
      </c>
      <c r="M142" s="15">
        <v>174</v>
      </c>
      <c r="N142" s="16" t="s">
        <v>171</v>
      </c>
      <c r="O142" s="17">
        <f t="shared" si="54"/>
        <v>16.147880485999998</v>
      </c>
      <c r="P142" s="18">
        <v>700</v>
      </c>
      <c r="Q142" s="16" t="s">
        <v>171</v>
      </c>
      <c r="R142" s="19">
        <f t="shared" si="55"/>
        <v>61.483496789999997</v>
      </c>
      <c r="S142" s="20">
        <v>4.08</v>
      </c>
      <c r="T142" s="21" t="s">
        <v>171</v>
      </c>
      <c r="U142" s="22">
        <f t="shared" si="56"/>
        <v>0.44164405640000004</v>
      </c>
      <c r="V142" s="20">
        <v>3.75</v>
      </c>
      <c r="W142" s="21" t="s">
        <v>171</v>
      </c>
      <c r="X142" s="22">
        <f t="shared" si="57"/>
        <v>0.41680263649999993</v>
      </c>
      <c r="Y142" s="23">
        <f t="shared" si="58"/>
        <v>0.33000000000000007</v>
      </c>
      <c r="Z142" s="71">
        <v>3700</v>
      </c>
      <c r="AA142" s="21" t="s">
        <v>171</v>
      </c>
      <c r="AB142" s="67">
        <f t="shared" si="53"/>
        <v>203.5</v>
      </c>
      <c r="AC142" s="68">
        <v>26.37</v>
      </c>
      <c r="AD142" s="21" t="s">
        <v>171</v>
      </c>
      <c r="AE142" s="69">
        <f>0.072060592*AC142+0.197347426</f>
        <v>2.0975852370400001</v>
      </c>
      <c r="AF142" s="68">
        <v>3.87</v>
      </c>
      <c r="AG142" s="21" t="s">
        <v>171</v>
      </c>
      <c r="AH142" s="22">
        <f>0.140178571*AF142+0.072857143</f>
        <v>0.61534821277000007</v>
      </c>
      <c r="AI142" s="70">
        <v>30.24</v>
      </c>
      <c r="AJ142" s="21" t="s">
        <v>171</v>
      </c>
      <c r="AK142" s="22">
        <f>0.034495646*AI142+0.917917684</f>
        <v>1.96106601904</v>
      </c>
      <c r="AL142" s="68">
        <v>3730.24</v>
      </c>
      <c r="AM142" s="70"/>
      <c r="AN142" s="150">
        <f>AN143-((AN143-AN145)/(H143-H145))*3.5</f>
        <v>0.96104667417503731</v>
      </c>
      <c r="AO142" s="156">
        <f t="shared" si="35"/>
        <v>27.029437711172925</v>
      </c>
      <c r="AP142" s="94"/>
      <c r="AQ142" s="85"/>
      <c r="AR142" s="85"/>
      <c r="AS142" s="85"/>
      <c r="AT142" s="85"/>
      <c r="AU142" s="92">
        <f>'S-16-W(2020)'!D3</f>
        <v>34</v>
      </c>
      <c r="AV142" s="91">
        <f>'S-16-W(2020)'!N3</f>
        <v>842.69727383555335</v>
      </c>
      <c r="AW142" s="91">
        <f>'S-16-W(2020)'!O3</f>
        <v>24.785213936339805</v>
      </c>
      <c r="AX142" s="91">
        <f>'S-16-W(2020)'!P3</f>
        <v>356.52576969965719</v>
      </c>
      <c r="AY142" s="91">
        <f>'S-16-W(2020)'!Q3</f>
        <v>10.486052049989917</v>
      </c>
    </row>
    <row r="143" spans="1:51" ht="18" thickTop="1" thickBot="1" x14ac:dyDescent="0.3">
      <c r="A143" s="86" t="s">
        <v>210</v>
      </c>
      <c r="B143" s="114" t="s">
        <v>172</v>
      </c>
      <c r="C143" s="114" t="s">
        <v>409</v>
      </c>
      <c r="D143" s="86" t="s">
        <v>346</v>
      </c>
      <c r="E143" s="86" t="s">
        <v>37</v>
      </c>
      <c r="F143" s="86" t="s">
        <v>37</v>
      </c>
      <c r="G143" s="60" t="s">
        <v>175</v>
      </c>
      <c r="H143">
        <v>16.25</v>
      </c>
      <c r="I143">
        <f>25-7.5</f>
        <v>17.5</v>
      </c>
      <c r="J143" s="64">
        <v>5.0999999999999996</v>
      </c>
      <c r="K143" s="13" t="s">
        <v>171</v>
      </c>
      <c r="L143" s="14">
        <v>0.2</v>
      </c>
      <c r="M143" s="15">
        <v>113</v>
      </c>
      <c r="N143" s="16" t="s">
        <v>171</v>
      </c>
      <c r="O143" s="17">
        <f t="shared" si="54"/>
        <v>11.095616973999999</v>
      </c>
      <c r="P143" s="18">
        <v>560</v>
      </c>
      <c r="Q143" s="16" t="s">
        <v>171</v>
      </c>
      <c r="R143" s="19">
        <f t="shared" si="55"/>
        <v>49.122623649999994</v>
      </c>
      <c r="S143" s="20">
        <v>2.7</v>
      </c>
      <c r="T143" s="21" t="s">
        <v>171</v>
      </c>
      <c r="U143" s="22">
        <f t="shared" si="56"/>
        <v>0.337761755</v>
      </c>
      <c r="V143" s="20">
        <v>2.33</v>
      </c>
      <c r="W143" s="21" t="s">
        <v>171</v>
      </c>
      <c r="X143" s="22">
        <f t="shared" si="57"/>
        <v>0.30990925390000001</v>
      </c>
      <c r="Y143" s="23">
        <f t="shared" si="58"/>
        <v>0.37000000000000011</v>
      </c>
      <c r="Z143" s="71">
        <v>2290</v>
      </c>
      <c r="AA143" s="21" t="s">
        <v>171</v>
      </c>
      <c r="AB143" s="67">
        <f t="shared" si="53"/>
        <v>125.95</v>
      </c>
      <c r="AC143" s="68">
        <v>11.2</v>
      </c>
      <c r="AD143" s="21" t="s">
        <v>171</v>
      </c>
      <c r="AE143" s="69">
        <f>0.072060592*AC143+0.197347426</f>
        <v>1.0044260564</v>
      </c>
      <c r="AF143" s="68">
        <v>4.2300000000000004</v>
      </c>
      <c r="AG143" s="21" t="s">
        <v>171</v>
      </c>
      <c r="AH143" s="22">
        <f>0.140178571*AF143+0.072857143</f>
        <v>0.66581249833000011</v>
      </c>
      <c r="AI143" s="70">
        <v>15.43</v>
      </c>
      <c r="AJ143" s="21" t="s">
        <v>171</v>
      </c>
      <c r="AK143" s="22">
        <f>0.034495646*AI143+0.917917684</f>
        <v>1.4501855017800001</v>
      </c>
      <c r="AL143" s="68">
        <v>2305.4299999999998</v>
      </c>
      <c r="AM143" s="70"/>
      <c r="AN143" s="90">
        <f>'S-16-W(2020)'!D32</f>
        <v>1.00886651111384</v>
      </c>
      <c r="AO143" s="156">
        <f t="shared" si="35"/>
        <v>41.136531990666825</v>
      </c>
      <c r="AP143" s="94"/>
      <c r="AQ143" s="85"/>
      <c r="AR143" s="85"/>
      <c r="AS143" s="85"/>
      <c r="AT143" s="85"/>
      <c r="AU143" s="92"/>
      <c r="AV143" s="91"/>
      <c r="AW143" s="91"/>
      <c r="AX143" s="91"/>
      <c r="AY143" s="91"/>
    </row>
    <row r="144" spans="1:51" ht="18" thickTop="1" thickBot="1" x14ac:dyDescent="0.3">
      <c r="A144" s="86" t="s">
        <v>210</v>
      </c>
      <c r="B144" s="114" t="s">
        <v>172</v>
      </c>
      <c r="C144" s="114" t="s">
        <v>409</v>
      </c>
      <c r="D144" s="86" t="s">
        <v>346</v>
      </c>
      <c r="E144" s="86" t="s">
        <v>37</v>
      </c>
      <c r="F144" s="86" t="s">
        <v>37</v>
      </c>
      <c r="G144" s="65" t="s">
        <v>176</v>
      </c>
      <c r="H144">
        <v>35</v>
      </c>
      <c r="I144" s="76">
        <f>45-25</f>
        <v>20</v>
      </c>
      <c r="J144" s="64">
        <v>4</v>
      </c>
      <c r="K144" s="13" t="s">
        <v>171</v>
      </c>
      <c r="L144" s="14">
        <v>0.2</v>
      </c>
      <c r="M144" s="15">
        <v>85</v>
      </c>
      <c r="N144" s="16" t="s">
        <v>171</v>
      </c>
      <c r="O144" s="17">
        <f t="shared" si="54"/>
        <v>8.7765451980000009</v>
      </c>
      <c r="P144" s="18">
        <v>485</v>
      </c>
      <c r="Q144" s="16" t="s">
        <v>171</v>
      </c>
      <c r="R144" s="19">
        <f t="shared" si="55"/>
        <v>42.500727324999993</v>
      </c>
      <c r="S144" s="20">
        <v>2.2000000000000002</v>
      </c>
      <c r="T144" s="21" t="s">
        <v>171</v>
      </c>
      <c r="U144" s="22">
        <f t="shared" si="56"/>
        <v>0.30012324000000001</v>
      </c>
      <c r="V144" s="20">
        <v>2.0699999999999998</v>
      </c>
      <c r="W144" s="21" t="s">
        <v>171</v>
      </c>
      <c r="X144" s="22">
        <f t="shared" si="57"/>
        <v>0.29033722610000001</v>
      </c>
      <c r="Y144" s="23">
        <f t="shared" si="58"/>
        <v>0.13000000000000034</v>
      </c>
      <c r="Z144" s="71">
        <v>1760</v>
      </c>
      <c r="AA144" s="21" t="s">
        <v>171</v>
      </c>
      <c r="AB144" s="67">
        <f t="shared" si="53"/>
        <v>96.8</v>
      </c>
      <c r="AC144" s="68">
        <v>2.9</v>
      </c>
      <c r="AD144" s="21" t="s">
        <v>171</v>
      </c>
      <c r="AE144" s="69">
        <f t="shared" ref="AE144:AE150" si="59">0.072060592*AC144+0.197347426</f>
        <v>0.40632314280000004</v>
      </c>
      <c r="AF144" s="68">
        <v>7.31</v>
      </c>
      <c r="AG144" s="21" t="s">
        <v>171</v>
      </c>
      <c r="AH144" s="22">
        <f t="shared" ref="AH144:AH150" si="60">0.140178571*AF144+0.072857143</f>
        <v>1.09756249701</v>
      </c>
      <c r="AI144" s="70">
        <v>10.210000000000001</v>
      </c>
      <c r="AJ144" s="21" t="s">
        <v>171</v>
      </c>
      <c r="AK144" s="22">
        <f t="shared" ref="AK144:AK150" si="61">0.034495646*AI144+0.917917684</f>
        <v>1.27011822966</v>
      </c>
      <c r="AL144" s="68">
        <v>1770.21</v>
      </c>
      <c r="AM144" s="70"/>
      <c r="AN144" s="151">
        <f>AN143+((AN143-AN145)/(H143-H145))*(H144-H143)</f>
        <v>1.2650442090002825</v>
      </c>
      <c r="AO144" s="156">
        <f t="shared" si="35"/>
        <v>52.372830252611692</v>
      </c>
      <c r="AP144" s="94"/>
      <c r="AQ144" s="85"/>
      <c r="AR144" s="85"/>
      <c r="AS144" s="85"/>
      <c r="AT144" s="85"/>
      <c r="AU144" s="92"/>
      <c r="AV144" s="91"/>
      <c r="AW144" s="91"/>
      <c r="AX144" s="91"/>
      <c r="AY144" s="91"/>
    </row>
    <row r="145" spans="1:51" ht="18" thickTop="1" thickBot="1" x14ac:dyDescent="0.3">
      <c r="A145" s="86" t="s">
        <v>210</v>
      </c>
      <c r="B145" s="114" t="s">
        <v>209</v>
      </c>
      <c r="C145" s="114" t="s">
        <v>409</v>
      </c>
      <c r="D145" s="86" t="s">
        <v>346</v>
      </c>
      <c r="E145" s="86" t="s">
        <v>37</v>
      </c>
      <c r="F145" s="86" t="s">
        <v>37</v>
      </c>
      <c r="G145" s="60" t="s">
        <v>21</v>
      </c>
      <c r="H145">
        <v>52.5</v>
      </c>
      <c r="I145">
        <f>60-45</f>
        <v>15</v>
      </c>
      <c r="J145" s="64">
        <v>3.9</v>
      </c>
      <c r="K145" s="13" t="s">
        <v>171</v>
      </c>
      <c r="L145" s="14">
        <v>0.2</v>
      </c>
      <c r="M145" s="15">
        <v>71</v>
      </c>
      <c r="N145" s="16" t="s">
        <v>171</v>
      </c>
      <c r="O145" s="17">
        <f t="shared" si="54"/>
        <v>7.6170093100000003</v>
      </c>
      <c r="P145" s="18">
        <v>360</v>
      </c>
      <c r="Q145" s="16" t="s">
        <v>171</v>
      </c>
      <c r="R145" s="19">
        <f t="shared" si="55"/>
        <v>31.464233449999995</v>
      </c>
      <c r="S145" s="20">
        <v>1.86</v>
      </c>
      <c r="T145" s="21" t="s">
        <v>171</v>
      </c>
      <c r="U145" s="22">
        <f t="shared" si="56"/>
        <v>0.27452904980000004</v>
      </c>
      <c r="V145" s="20">
        <v>1.57</v>
      </c>
      <c r="W145" s="21" t="s">
        <v>171</v>
      </c>
      <c r="X145" s="22">
        <f t="shared" si="57"/>
        <v>0.25269871109999997</v>
      </c>
      <c r="Y145" s="23">
        <f t="shared" si="58"/>
        <v>0.29000000000000004</v>
      </c>
      <c r="Z145" s="71">
        <v>1500</v>
      </c>
      <c r="AA145" s="21" t="s">
        <v>171</v>
      </c>
      <c r="AB145" s="67">
        <f t="shared" si="53"/>
        <v>82.5</v>
      </c>
      <c r="AC145" s="68">
        <v>1.31</v>
      </c>
      <c r="AD145" s="21" t="s">
        <v>171</v>
      </c>
      <c r="AE145" s="69">
        <f t="shared" si="59"/>
        <v>0.29174680151999999</v>
      </c>
      <c r="AF145" s="68">
        <v>9.01</v>
      </c>
      <c r="AG145" s="21" t="s">
        <v>171</v>
      </c>
      <c r="AH145" s="22">
        <f t="shared" si="60"/>
        <v>1.33586606771</v>
      </c>
      <c r="AI145" s="70">
        <v>10.32</v>
      </c>
      <c r="AJ145" s="21" t="s">
        <v>171</v>
      </c>
      <c r="AK145" s="22">
        <f t="shared" si="61"/>
        <v>1.2739127507199999</v>
      </c>
      <c r="AL145" s="68">
        <v>1510.32</v>
      </c>
      <c r="AM145" s="70"/>
      <c r="AN145" s="144">
        <f>AN$113</f>
        <v>1.5041433936942956</v>
      </c>
      <c r="AO145" s="156">
        <f t="shared" si="35"/>
        <v>35.422576921500664</v>
      </c>
      <c r="AP145" s="94"/>
      <c r="AQ145" s="85"/>
      <c r="AR145" s="85"/>
      <c r="AS145" s="85"/>
      <c r="AT145" s="85"/>
      <c r="AU145" s="92"/>
      <c r="AV145" s="91"/>
      <c r="AW145" s="91"/>
      <c r="AX145" s="91"/>
      <c r="AY145" s="91"/>
    </row>
    <row r="146" spans="1:51" ht="18" thickTop="1" thickBot="1" x14ac:dyDescent="0.3">
      <c r="A146" s="86" t="s">
        <v>210</v>
      </c>
      <c r="B146" s="114" t="s">
        <v>98</v>
      </c>
      <c r="C146" s="114" t="s">
        <v>98</v>
      </c>
      <c r="D146" s="86" t="s">
        <v>350</v>
      </c>
      <c r="E146" s="86" t="s">
        <v>349</v>
      </c>
      <c r="G146" s="65" t="s">
        <v>177</v>
      </c>
      <c r="H146">
        <v>3.75</v>
      </c>
      <c r="I146">
        <v>7.5</v>
      </c>
      <c r="J146" s="64">
        <v>5.2</v>
      </c>
      <c r="K146" s="13" t="s">
        <v>171</v>
      </c>
      <c r="L146" s="14">
        <v>0.2</v>
      </c>
      <c r="M146" s="15">
        <v>157</v>
      </c>
      <c r="N146" s="16" t="s">
        <v>171</v>
      </c>
      <c r="O146" s="17">
        <f t="shared" si="54"/>
        <v>14.739872622</v>
      </c>
      <c r="P146" s="18">
        <v>575</v>
      </c>
      <c r="Q146" s="16" t="s">
        <v>171</v>
      </c>
      <c r="R146" s="19">
        <f t="shared" si="55"/>
        <v>50.447002914999992</v>
      </c>
      <c r="S146" s="20">
        <v>2.67</v>
      </c>
      <c r="T146" s="21" t="s">
        <v>171</v>
      </c>
      <c r="U146" s="22">
        <f t="shared" si="56"/>
        <v>0.33550344409999999</v>
      </c>
      <c r="V146" s="20">
        <v>2.3199999999999998</v>
      </c>
      <c r="W146" s="21" t="s">
        <v>171</v>
      </c>
      <c r="X146" s="22">
        <f t="shared" si="57"/>
        <v>0.30915648359999998</v>
      </c>
      <c r="Y146" s="23">
        <f t="shared" si="58"/>
        <v>0.35000000000000009</v>
      </c>
      <c r="Z146" s="71">
        <v>2230</v>
      </c>
      <c r="AA146" s="21" t="s">
        <v>171</v>
      </c>
      <c r="AB146" s="67">
        <f t="shared" si="53"/>
        <v>122.65</v>
      </c>
      <c r="AC146" s="68">
        <v>8.39</v>
      </c>
      <c r="AD146" s="21" t="s">
        <v>171</v>
      </c>
      <c r="AE146" s="69">
        <f t="shared" si="59"/>
        <v>0.80193579288000005</v>
      </c>
      <c r="AF146" s="68">
        <v>4.58</v>
      </c>
      <c r="AG146" s="21" t="s">
        <v>171</v>
      </c>
      <c r="AH146" s="22">
        <f t="shared" si="60"/>
        <v>0.71487499818</v>
      </c>
      <c r="AI146" s="70">
        <v>12.97</v>
      </c>
      <c r="AJ146" s="21" t="s">
        <v>171</v>
      </c>
      <c r="AK146" s="22">
        <f t="shared" si="61"/>
        <v>1.3653262126199999</v>
      </c>
      <c r="AL146" s="68">
        <v>2242.9699999999998</v>
      </c>
      <c r="AM146" s="70"/>
      <c r="AN146" s="150">
        <f>AN147-((AN147-AN149)/(H147-H149))*3.5</f>
        <v>1.1486964719268766</v>
      </c>
      <c r="AO146" s="156">
        <f t="shared" si="35"/>
        <v>19.987318611527652</v>
      </c>
      <c r="AP146" s="94"/>
      <c r="AQ146" s="85"/>
      <c r="AR146" s="85"/>
      <c r="AS146" s="85"/>
      <c r="AT146" s="85"/>
      <c r="AU146" s="92"/>
      <c r="AV146" s="91"/>
      <c r="AW146" s="91"/>
      <c r="AX146" s="91"/>
      <c r="AY146" s="91"/>
    </row>
    <row r="147" spans="1:51" ht="18" thickTop="1" thickBot="1" x14ac:dyDescent="0.3">
      <c r="A147" s="86" t="s">
        <v>210</v>
      </c>
      <c r="B147" s="86" t="s">
        <v>98</v>
      </c>
      <c r="C147" s="86" t="s">
        <v>98</v>
      </c>
      <c r="D147" s="86" t="s">
        <v>350</v>
      </c>
      <c r="E147" s="86" t="s">
        <v>349</v>
      </c>
      <c r="G147" s="60" t="s">
        <v>175</v>
      </c>
      <c r="H147">
        <v>16.25</v>
      </c>
      <c r="I147">
        <f>25-7.5</f>
        <v>17.5</v>
      </c>
      <c r="J147" s="64">
        <v>5.2</v>
      </c>
      <c r="K147" s="13" t="s">
        <v>171</v>
      </c>
      <c r="L147" s="14">
        <v>0.2</v>
      </c>
      <c r="M147" s="15">
        <v>106</v>
      </c>
      <c r="N147" s="16" t="s">
        <v>171</v>
      </c>
      <c r="O147" s="17">
        <f t="shared" si="54"/>
        <v>10.515849029999998</v>
      </c>
      <c r="P147" s="18">
        <v>459</v>
      </c>
      <c r="Q147" s="16" t="s">
        <v>171</v>
      </c>
      <c r="R147" s="19">
        <f t="shared" si="55"/>
        <v>40.205136598999992</v>
      </c>
      <c r="S147" s="20">
        <v>2.56</v>
      </c>
      <c r="T147" s="21" t="s">
        <v>171</v>
      </c>
      <c r="U147" s="22">
        <f t="shared" si="56"/>
        <v>0.32722297079999996</v>
      </c>
      <c r="V147" s="20">
        <v>1.61</v>
      </c>
      <c r="W147" s="21" t="s">
        <v>171</v>
      </c>
      <c r="X147" s="22">
        <f t="shared" si="57"/>
        <v>0.25570979230000002</v>
      </c>
      <c r="Y147" s="23">
        <f t="shared" si="58"/>
        <v>0.95</v>
      </c>
      <c r="Z147" s="71">
        <v>1730</v>
      </c>
      <c r="AA147" s="21" t="s">
        <v>171</v>
      </c>
      <c r="AB147" s="67">
        <f t="shared" si="53"/>
        <v>95.15</v>
      </c>
      <c r="AC147" s="68">
        <v>5.92</v>
      </c>
      <c r="AD147" s="21" t="s">
        <v>171</v>
      </c>
      <c r="AE147" s="69">
        <f t="shared" si="59"/>
        <v>0.62394613064000004</v>
      </c>
      <c r="AF147" s="68">
        <v>2.85</v>
      </c>
      <c r="AG147" s="21" t="s">
        <v>171</v>
      </c>
      <c r="AH147" s="22">
        <f t="shared" si="60"/>
        <v>0.47236607035000006</v>
      </c>
      <c r="AI147" s="70">
        <v>8.77</v>
      </c>
      <c r="AJ147" s="21" t="s">
        <v>171</v>
      </c>
      <c r="AK147" s="22">
        <f t="shared" si="61"/>
        <v>1.2204444994199999</v>
      </c>
      <c r="AL147" s="68">
        <v>1738.77</v>
      </c>
      <c r="AM147" s="70"/>
      <c r="AN147" s="90">
        <f>'S-15-W(2020)'!P39</f>
        <v>1.1726636374800443</v>
      </c>
      <c r="AO147" s="156">
        <f t="shared" si="35"/>
        <v>33.039797986000252</v>
      </c>
      <c r="AP147" s="94"/>
      <c r="AQ147" s="85"/>
      <c r="AR147" s="85"/>
      <c r="AS147" s="85"/>
      <c r="AT147" s="85"/>
      <c r="AU147" s="92"/>
      <c r="AV147" s="91"/>
      <c r="AW147" s="91"/>
      <c r="AX147" s="91"/>
      <c r="AY147" s="91"/>
    </row>
    <row r="148" spans="1:51" ht="18" thickTop="1" thickBot="1" x14ac:dyDescent="0.3">
      <c r="A148" s="86" t="s">
        <v>210</v>
      </c>
      <c r="B148" s="86" t="s">
        <v>98</v>
      </c>
      <c r="C148" s="86" t="s">
        <v>98</v>
      </c>
      <c r="D148" s="86" t="s">
        <v>350</v>
      </c>
      <c r="E148" s="86" t="s">
        <v>349</v>
      </c>
      <c r="G148" s="65" t="s">
        <v>176</v>
      </c>
      <c r="H148">
        <v>35</v>
      </c>
      <c r="I148" s="76">
        <f>45-25</f>
        <v>20</v>
      </c>
      <c r="J148" s="64">
        <v>5</v>
      </c>
      <c r="K148" s="13" t="s">
        <v>171</v>
      </c>
      <c r="L148" s="14">
        <v>0.2</v>
      </c>
      <c r="M148" s="15">
        <v>70</v>
      </c>
      <c r="N148" s="16" t="s">
        <v>171</v>
      </c>
      <c r="O148" s="17">
        <f t="shared" si="54"/>
        <v>7.5341853179999996</v>
      </c>
      <c r="P148" s="18">
        <v>312</v>
      </c>
      <c r="Q148" s="16" t="s">
        <v>171</v>
      </c>
      <c r="R148" s="19">
        <f t="shared" si="55"/>
        <v>27.226219801999996</v>
      </c>
      <c r="S148" s="20">
        <v>1.59</v>
      </c>
      <c r="T148" s="21" t="s">
        <v>171</v>
      </c>
      <c r="U148" s="22">
        <f t="shared" si="56"/>
        <v>0.25420425169999999</v>
      </c>
      <c r="V148" s="20">
        <v>1.44</v>
      </c>
      <c r="W148" s="21" t="s">
        <v>171</v>
      </c>
      <c r="X148" s="22">
        <f t="shared" si="57"/>
        <v>0.24291269719999997</v>
      </c>
      <c r="Y148" s="23">
        <f t="shared" si="58"/>
        <v>0.15000000000000013</v>
      </c>
      <c r="Z148" s="71">
        <v>1480</v>
      </c>
      <c r="AA148" s="21" t="s">
        <v>171</v>
      </c>
      <c r="AB148" s="67">
        <f t="shared" si="53"/>
        <v>81.400000000000006</v>
      </c>
      <c r="AC148" s="68">
        <v>3.85</v>
      </c>
      <c r="AD148" s="21" t="s">
        <v>171</v>
      </c>
      <c r="AE148" s="69">
        <f t="shared" si="59"/>
        <v>0.47478070520000004</v>
      </c>
      <c r="AF148" s="68">
        <v>2.62</v>
      </c>
      <c r="AG148" s="21" t="s">
        <v>171</v>
      </c>
      <c r="AH148" s="22">
        <f t="shared" si="60"/>
        <v>0.44012499902000002</v>
      </c>
      <c r="AI148" s="70">
        <v>6.47</v>
      </c>
      <c r="AJ148" s="21" t="s">
        <v>171</v>
      </c>
      <c r="AK148" s="22">
        <f t="shared" si="61"/>
        <v>1.14110451362</v>
      </c>
      <c r="AL148" s="68">
        <v>1486.47</v>
      </c>
      <c r="AM148" s="70"/>
      <c r="AN148" s="151">
        <f>AN147+((AN147-AN149)/(H147-H149))*(H148-H147)</f>
        <v>1.3010591672291567</v>
      </c>
      <c r="AO148" s="156">
        <f t="shared" si="35"/>
        <v>37.470504016199712</v>
      </c>
      <c r="AP148" s="94"/>
      <c r="AQ148" s="85"/>
      <c r="AR148" s="85"/>
      <c r="AS148" s="85"/>
      <c r="AT148" s="85"/>
      <c r="AU148" s="92"/>
      <c r="AV148" s="91"/>
      <c r="AW148" s="91"/>
      <c r="AX148" s="91"/>
      <c r="AY148" s="91"/>
    </row>
    <row r="149" spans="1:51" ht="18" thickTop="1" thickBot="1" x14ac:dyDescent="0.3">
      <c r="A149" s="86" t="s">
        <v>210</v>
      </c>
      <c r="B149" s="86" t="s">
        <v>98</v>
      </c>
      <c r="C149" s="86" t="s">
        <v>98</v>
      </c>
      <c r="D149" s="86" t="s">
        <v>350</v>
      </c>
      <c r="E149" s="86" t="s">
        <v>349</v>
      </c>
      <c r="G149" s="60" t="s">
        <v>21</v>
      </c>
      <c r="H149">
        <v>52.5</v>
      </c>
      <c r="I149">
        <f>60-45</f>
        <v>15</v>
      </c>
      <c r="J149" s="64">
        <v>5.2</v>
      </c>
      <c r="K149" s="13" t="s">
        <v>171</v>
      </c>
      <c r="L149" s="14">
        <v>0.2</v>
      </c>
      <c r="M149" s="15">
        <v>125</v>
      </c>
      <c r="N149" s="16" t="s">
        <v>171</v>
      </c>
      <c r="O149" s="17">
        <f t="shared" si="54"/>
        <v>12.089504878</v>
      </c>
      <c r="P149" s="18">
        <v>336</v>
      </c>
      <c r="Q149" s="16" t="s">
        <v>171</v>
      </c>
      <c r="R149" s="19">
        <f t="shared" si="55"/>
        <v>29.345226625999995</v>
      </c>
      <c r="S149" s="20">
        <v>1.75</v>
      </c>
      <c r="T149" s="21" t="s">
        <v>171</v>
      </c>
      <c r="U149" s="22">
        <f t="shared" si="56"/>
        <v>0.2662485765</v>
      </c>
      <c r="V149" s="20">
        <v>1.35</v>
      </c>
      <c r="W149" s="21" t="s">
        <v>171</v>
      </c>
      <c r="X149" s="22">
        <f t="shared" si="57"/>
        <v>0.23613776450000001</v>
      </c>
      <c r="Y149" s="23">
        <f t="shared" si="58"/>
        <v>0.39999999999999991</v>
      </c>
      <c r="Z149" s="71">
        <v>1090</v>
      </c>
      <c r="AA149" s="21" t="s">
        <v>171</v>
      </c>
      <c r="AB149" s="67">
        <f t="shared" si="53"/>
        <v>59.95</v>
      </c>
      <c r="AC149" s="68">
        <v>1.1299999999999999</v>
      </c>
      <c r="AD149" s="21" t="s">
        <v>171</v>
      </c>
      <c r="AE149" s="69">
        <f t="shared" si="59"/>
        <v>0.27877589495999999</v>
      </c>
      <c r="AF149" s="68">
        <v>3.01</v>
      </c>
      <c r="AG149" s="21" t="s">
        <v>171</v>
      </c>
      <c r="AH149" s="22">
        <f t="shared" si="60"/>
        <v>0.49479464170999998</v>
      </c>
      <c r="AI149" s="70">
        <v>4.1399999999999997</v>
      </c>
      <c r="AJ149" s="21" t="s">
        <v>171</v>
      </c>
      <c r="AK149" s="22">
        <f t="shared" si="61"/>
        <v>1.0607296584399999</v>
      </c>
      <c r="AL149" s="68">
        <v>1094.1400000000001</v>
      </c>
      <c r="AM149" s="70"/>
      <c r="AN149" s="144">
        <f>AVERAGE(SoilAgric2000_BD!AK45,SoilWoodyCrop_BD!AJ61,SoilWoodyCrop_BD!AJ65)</f>
        <v>1.4208949949949952</v>
      </c>
      <c r="AO149" s="156">
        <f t="shared" si="35"/>
        <v>28.773123648648657</v>
      </c>
      <c r="AP149" s="94"/>
      <c r="AQ149" s="85"/>
      <c r="AR149" s="85"/>
      <c r="AS149" s="85"/>
      <c r="AT149" s="85"/>
      <c r="AU149" s="92"/>
      <c r="AV149" s="91"/>
      <c r="AW149" s="91"/>
      <c r="AX149" s="91"/>
      <c r="AY149" s="91"/>
    </row>
    <row r="150" spans="1:51" ht="18" thickTop="1" thickBot="1" x14ac:dyDescent="0.3">
      <c r="A150" s="86" t="s">
        <v>210</v>
      </c>
      <c r="B150" s="86" t="s">
        <v>197</v>
      </c>
      <c r="C150" s="86" t="s">
        <v>97</v>
      </c>
      <c r="D150" s="86" t="s">
        <v>346</v>
      </c>
      <c r="E150" s="86" t="s">
        <v>349</v>
      </c>
      <c r="G150" s="65" t="s">
        <v>177</v>
      </c>
      <c r="H150">
        <v>3.75</v>
      </c>
      <c r="I150">
        <v>7.5</v>
      </c>
      <c r="J150" s="64">
        <v>4.5999999999999996</v>
      </c>
      <c r="K150" s="13" t="s">
        <v>171</v>
      </c>
      <c r="L150" s="14">
        <v>0.2</v>
      </c>
      <c r="M150" s="15">
        <v>122</v>
      </c>
      <c r="N150" s="16" t="s">
        <v>171</v>
      </c>
      <c r="O150" s="17">
        <f t="shared" si="54"/>
        <v>11.841032901999998</v>
      </c>
      <c r="P150" s="18">
        <v>605</v>
      </c>
      <c r="Q150" s="16" t="s">
        <v>171</v>
      </c>
      <c r="R150" s="19">
        <f t="shared" si="55"/>
        <v>53.095761444999994</v>
      </c>
      <c r="S150" s="20">
        <v>2.77</v>
      </c>
      <c r="T150" s="21" t="s">
        <v>171</v>
      </c>
      <c r="U150" s="22">
        <f t="shared" si="56"/>
        <v>0.34303114709999999</v>
      </c>
      <c r="V150" s="20">
        <v>2.62</v>
      </c>
      <c r="W150" s="21" t="s">
        <v>171</v>
      </c>
      <c r="X150" s="22">
        <f t="shared" si="57"/>
        <v>0.33173959259999997</v>
      </c>
      <c r="Y150" s="23">
        <f t="shared" si="58"/>
        <v>0.14999999999999991</v>
      </c>
      <c r="Z150" s="71">
        <v>2710</v>
      </c>
      <c r="AA150" s="21" t="s">
        <v>171</v>
      </c>
      <c r="AB150" s="67">
        <f t="shared" si="53"/>
        <v>149.05000000000001</v>
      </c>
      <c r="AC150" s="68">
        <v>11.99</v>
      </c>
      <c r="AD150" s="21" t="s">
        <v>171</v>
      </c>
      <c r="AE150" s="69">
        <f t="shared" si="59"/>
        <v>1.0613539240800001</v>
      </c>
      <c r="AF150" s="68">
        <v>3.23</v>
      </c>
      <c r="AG150" s="21" t="s">
        <v>171</v>
      </c>
      <c r="AH150" s="22">
        <f t="shared" si="60"/>
        <v>0.52563392733000003</v>
      </c>
      <c r="AI150" s="70">
        <v>15.22</v>
      </c>
      <c r="AJ150" s="21" t="s">
        <v>171</v>
      </c>
      <c r="AK150" s="22">
        <f t="shared" si="61"/>
        <v>1.44294141612</v>
      </c>
      <c r="AL150" s="68">
        <v>2725.22</v>
      </c>
      <c r="AM150" s="70"/>
      <c r="AN150" s="150">
        <f>AN151-((AN151-AN153)/(H151-H153))*3.5</f>
        <v>0.83652329166204153</v>
      </c>
      <c r="AO150" s="156">
        <f t="shared" si="35"/>
        <v>16.437682681159117</v>
      </c>
      <c r="AP150" s="94"/>
      <c r="AQ150" s="85"/>
      <c r="AR150" s="85"/>
      <c r="AS150" s="85"/>
      <c r="AT150" s="85"/>
      <c r="AU150" s="92">
        <f>'Malmön(Björk2A)'!D3</f>
        <v>34</v>
      </c>
      <c r="AV150" s="91">
        <f>'Malmön(Björk2A)'!N3</f>
        <v>356.11135119095059</v>
      </c>
      <c r="AW150" s="91">
        <f>'Malmön(Björk2A)'!O3</f>
        <v>10.473863270322076</v>
      </c>
      <c r="AX150" s="91">
        <f>'Malmön(Björk2A)'!P3</f>
        <v>183.50208449604278</v>
      </c>
      <c r="AY150" s="91">
        <f>'Malmön(Björk2A)'!Q3</f>
        <v>5.3971201322365525</v>
      </c>
    </row>
    <row r="151" spans="1:51" ht="15.6" customHeight="1" thickTop="1" thickBot="1" x14ac:dyDescent="0.3">
      <c r="A151" s="86" t="s">
        <v>210</v>
      </c>
      <c r="B151" s="86" t="s">
        <v>197</v>
      </c>
      <c r="C151" s="86" t="s">
        <v>97</v>
      </c>
      <c r="D151" s="86" t="s">
        <v>346</v>
      </c>
      <c r="E151" s="86" t="s">
        <v>349</v>
      </c>
      <c r="G151" s="60" t="s">
        <v>175</v>
      </c>
      <c r="H151">
        <v>16.25</v>
      </c>
      <c r="I151">
        <f>25-7.5</f>
        <v>17.5</v>
      </c>
      <c r="J151" s="64">
        <v>4.3</v>
      </c>
      <c r="K151" s="13" t="s">
        <v>171</v>
      </c>
      <c r="L151" s="14">
        <v>0.2</v>
      </c>
      <c r="M151" s="15">
        <v>99</v>
      </c>
      <c r="N151" s="16" t="s">
        <v>171</v>
      </c>
      <c r="O151" s="17">
        <f t="shared" si="54"/>
        <v>9.9360810860000015</v>
      </c>
      <c r="P151" s="18">
        <v>540</v>
      </c>
      <c r="Q151" s="16" t="s">
        <v>171</v>
      </c>
      <c r="R151" s="19">
        <f t="shared" si="55"/>
        <v>47.356784629999993</v>
      </c>
      <c r="S151" s="20">
        <v>2.68</v>
      </c>
      <c r="T151" s="21" t="s">
        <v>171</v>
      </c>
      <c r="U151" s="22">
        <f t="shared" si="56"/>
        <v>0.33625621439999998</v>
      </c>
      <c r="V151" s="20">
        <v>2.38</v>
      </c>
      <c r="W151" s="21" t="s">
        <v>171</v>
      </c>
      <c r="X151" s="22">
        <f t="shared" si="57"/>
        <v>0.31367310539999999</v>
      </c>
      <c r="Y151" s="23">
        <f t="shared" si="58"/>
        <v>0.30000000000000027</v>
      </c>
      <c r="Z151" s="71">
        <v>2100</v>
      </c>
      <c r="AA151" s="21" t="s">
        <v>171</v>
      </c>
      <c r="AB151" s="67">
        <f>Z151*0.055</f>
        <v>115.5</v>
      </c>
      <c r="AC151" s="68">
        <v>7.95</v>
      </c>
      <c r="AD151" s="21" t="s">
        <v>171</v>
      </c>
      <c r="AE151" s="69">
        <f t="shared" ref="AE151:AE165" si="62">0.072060592*AC151+0.197347426</f>
        <v>0.77022913240000002</v>
      </c>
      <c r="AF151" s="68">
        <v>3.75</v>
      </c>
      <c r="AG151" s="21" t="s">
        <v>171</v>
      </c>
      <c r="AH151" s="22">
        <f t="shared" ref="AH151:AH165" si="63">0.140178571*AF151+0.072857143</f>
        <v>0.59852678425000005</v>
      </c>
      <c r="AI151" s="70">
        <v>11.7</v>
      </c>
      <c r="AJ151" s="21" t="s">
        <v>171</v>
      </c>
      <c r="AK151" s="22">
        <f t="shared" ref="AK151:AK165" si="64">0.034495646*AI151+0.917917684</f>
        <v>1.3215167422</v>
      </c>
      <c r="AL151" s="68">
        <v>2111.6999999999998</v>
      </c>
      <c r="AM151" s="70"/>
      <c r="AN151" s="90">
        <f>'Malmön(Björk2A)'!D47</f>
        <v>0.88797740390519464</v>
      </c>
      <c r="AO151" s="156">
        <f t="shared" si="35"/>
        <v>36.984258872651353</v>
      </c>
      <c r="AP151" s="94"/>
      <c r="AQ151" s="85"/>
      <c r="AR151" s="85"/>
      <c r="AS151" s="85"/>
      <c r="AT151" s="85"/>
      <c r="AU151" s="92"/>
      <c r="AV151" s="91"/>
      <c r="AW151" s="91"/>
      <c r="AX151" s="91"/>
      <c r="AY151" s="91"/>
    </row>
    <row r="152" spans="1:51" ht="18" thickTop="1" thickBot="1" x14ac:dyDescent="0.3">
      <c r="A152" s="86" t="s">
        <v>210</v>
      </c>
      <c r="B152" s="86" t="s">
        <v>197</v>
      </c>
      <c r="C152" s="86" t="s">
        <v>97</v>
      </c>
      <c r="D152" s="86" t="s">
        <v>346</v>
      </c>
      <c r="E152" s="86" t="s">
        <v>349</v>
      </c>
      <c r="G152" s="65" t="s">
        <v>176</v>
      </c>
      <c r="H152">
        <v>35</v>
      </c>
      <c r="I152" s="76">
        <f>45-25</f>
        <v>20</v>
      </c>
      <c r="J152" s="64">
        <v>4</v>
      </c>
      <c r="K152" s="13" t="s">
        <v>171</v>
      </c>
      <c r="L152" s="14">
        <v>0.2</v>
      </c>
      <c r="M152" s="15">
        <v>87</v>
      </c>
      <c r="N152" s="16" t="s">
        <v>171</v>
      </c>
      <c r="O152" s="17">
        <f t="shared" si="54"/>
        <v>8.9421931820000005</v>
      </c>
      <c r="P152" s="18">
        <v>438</v>
      </c>
      <c r="Q152" s="16" t="s">
        <v>171</v>
      </c>
      <c r="R152" s="19">
        <f t="shared" si="55"/>
        <v>38.351005627999996</v>
      </c>
      <c r="S152" s="20">
        <v>2.23</v>
      </c>
      <c r="T152" s="21" t="s">
        <v>171</v>
      </c>
      <c r="U152" s="22">
        <f t="shared" si="56"/>
        <v>0.30238155089999996</v>
      </c>
      <c r="V152" s="20">
        <v>1.87</v>
      </c>
      <c r="W152" s="21" t="s">
        <v>171</v>
      </c>
      <c r="X152" s="22">
        <f t="shared" si="57"/>
        <v>0.27528182010000002</v>
      </c>
      <c r="Y152" s="23">
        <f t="shared" si="58"/>
        <v>0.35999999999999988</v>
      </c>
      <c r="Z152" s="71">
        <v>1550</v>
      </c>
      <c r="AA152" s="21" t="s">
        <v>171</v>
      </c>
      <c r="AB152" s="67">
        <f t="shared" ref="AB152:AB165" si="65">Z152*0.055</f>
        <v>85.25</v>
      </c>
      <c r="AC152" s="68">
        <v>2.88</v>
      </c>
      <c r="AD152" s="21" t="s">
        <v>171</v>
      </c>
      <c r="AE152" s="69">
        <f t="shared" si="62"/>
        <v>0.40488193096000002</v>
      </c>
      <c r="AF152" s="68">
        <v>7.15</v>
      </c>
      <c r="AG152" s="21" t="s">
        <v>171</v>
      </c>
      <c r="AH152" s="22">
        <f t="shared" si="63"/>
        <v>1.0751339256500001</v>
      </c>
      <c r="AI152" s="70">
        <v>10.029999999999999</v>
      </c>
      <c r="AJ152" s="21" t="s">
        <v>171</v>
      </c>
      <c r="AK152" s="22">
        <f t="shared" si="64"/>
        <v>1.2639090133799999</v>
      </c>
      <c r="AL152" s="68">
        <v>1560.03</v>
      </c>
      <c r="AM152" s="70"/>
      <c r="AN152" s="151">
        <f>AN151+((AN151-AN153)/(H151-H153))*(H152-H151)</f>
        <v>1.1636244337792294</v>
      </c>
      <c r="AO152" s="156">
        <f t="shared" si="35"/>
        <v>43.51955382334318</v>
      </c>
      <c r="AP152" s="94"/>
      <c r="AQ152" s="85"/>
      <c r="AR152" s="85"/>
      <c r="AS152" s="85"/>
      <c r="AT152" s="85"/>
      <c r="AU152" s="92"/>
      <c r="AV152" s="91"/>
      <c r="AW152" s="91"/>
      <c r="AX152" s="91"/>
      <c r="AY152" s="91"/>
    </row>
    <row r="153" spans="1:51" ht="18" thickTop="1" thickBot="1" x14ac:dyDescent="0.3">
      <c r="A153" s="86" t="s">
        <v>210</v>
      </c>
      <c r="B153" s="86" t="s">
        <v>197</v>
      </c>
      <c r="C153" s="86" t="s">
        <v>97</v>
      </c>
      <c r="D153" s="86" t="s">
        <v>346</v>
      </c>
      <c r="E153" s="86" t="s">
        <v>349</v>
      </c>
      <c r="G153" s="60" t="s">
        <v>21</v>
      </c>
      <c r="H153">
        <v>52.5</v>
      </c>
      <c r="I153">
        <f>60-45</f>
        <v>15</v>
      </c>
      <c r="J153" s="64">
        <v>4</v>
      </c>
      <c r="K153" s="13" t="s">
        <v>171</v>
      </c>
      <c r="L153" s="14">
        <v>0.2</v>
      </c>
      <c r="M153" s="15">
        <v>89</v>
      </c>
      <c r="N153" s="16" t="s">
        <v>171</v>
      </c>
      <c r="O153" s="17">
        <f t="shared" si="54"/>
        <v>9.107841166</v>
      </c>
      <c r="P153" s="18">
        <v>465</v>
      </c>
      <c r="Q153" s="16" t="s">
        <v>171</v>
      </c>
      <c r="R153" s="19">
        <f t="shared" si="55"/>
        <v>40.734888304999998</v>
      </c>
      <c r="S153" s="20">
        <v>2.97</v>
      </c>
      <c r="T153" s="21" t="s">
        <v>171</v>
      </c>
      <c r="U153" s="22">
        <f t="shared" si="56"/>
        <v>0.35808655310000004</v>
      </c>
      <c r="V153" s="20">
        <v>2.23</v>
      </c>
      <c r="W153" s="21" t="s">
        <v>171</v>
      </c>
      <c r="X153" s="22">
        <f t="shared" si="57"/>
        <v>0.30238155089999996</v>
      </c>
      <c r="Y153" s="23">
        <f t="shared" si="58"/>
        <v>0.74000000000000021</v>
      </c>
      <c r="Z153" s="71">
        <v>1710</v>
      </c>
      <c r="AA153" s="21" t="s">
        <v>171</v>
      </c>
      <c r="AB153" s="67">
        <f t="shared" si="65"/>
        <v>94.05</v>
      </c>
      <c r="AC153" s="68">
        <v>2.4900000000000002</v>
      </c>
      <c r="AD153" s="21" t="s">
        <v>171</v>
      </c>
      <c r="AE153" s="69">
        <f t="shared" si="62"/>
        <v>0.37677830008000002</v>
      </c>
      <c r="AF153" s="68">
        <v>7.09</v>
      </c>
      <c r="AG153" s="21" t="s">
        <v>171</v>
      </c>
      <c r="AH153" s="22">
        <f t="shared" si="63"/>
        <v>1.06672321139</v>
      </c>
      <c r="AI153" s="70">
        <v>9.58</v>
      </c>
      <c r="AJ153" s="21" t="s">
        <v>171</v>
      </c>
      <c r="AK153" s="22">
        <f t="shared" si="64"/>
        <v>1.24838597268</v>
      </c>
      <c r="AL153" s="68">
        <v>1719.58</v>
      </c>
      <c r="AM153" s="70"/>
      <c r="AN153" s="144">
        <f>AN$149</f>
        <v>1.4208949949949952</v>
      </c>
      <c r="AO153" s="156">
        <f t="shared" si="35"/>
        <v>47.528937582582586</v>
      </c>
      <c r="AP153" s="94"/>
      <c r="AQ153" s="85"/>
      <c r="AR153" s="85"/>
      <c r="AS153" s="85"/>
      <c r="AT153" s="85"/>
      <c r="AU153" s="92"/>
      <c r="AV153" s="91"/>
      <c r="AW153" s="91"/>
      <c r="AX153" s="91"/>
      <c r="AY153" s="91"/>
    </row>
    <row r="154" spans="1:51" ht="18" thickTop="1" thickBot="1" x14ac:dyDescent="0.3">
      <c r="A154" s="86" t="s">
        <v>210</v>
      </c>
      <c r="B154" s="86" t="s">
        <v>198</v>
      </c>
      <c r="C154" s="86" t="s">
        <v>97</v>
      </c>
      <c r="D154" s="86" t="s">
        <v>346</v>
      </c>
      <c r="E154" s="86" t="s">
        <v>349</v>
      </c>
      <c r="G154" s="65" t="s">
        <v>177</v>
      </c>
      <c r="H154">
        <v>3.75</v>
      </c>
      <c r="I154">
        <v>7.5</v>
      </c>
      <c r="J154" s="64">
        <v>3.8</v>
      </c>
      <c r="K154" s="13" t="s">
        <v>171</v>
      </c>
      <c r="L154" s="14">
        <v>0.2</v>
      </c>
      <c r="M154" s="15">
        <v>133</v>
      </c>
      <c r="N154" s="16" t="s">
        <v>171</v>
      </c>
      <c r="O154" s="17">
        <f t="shared" si="54"/>
        <v>12.752096814000002</v>
      </c>
      <c r="P154" s="18">
        <v>585</v>
      </c>
      <c r="Q154" s="16" t="s">
        <v>171</v>
      </c>
      <c r="R154" s="19">
        <f t="shared" si="55"/>
        <v>51.329922424999992</v>
      </c>
      <c r="S154" s="20">
        <v>2.5</v>
      </c>
      <c r="T154" s="21" t="s">
        <v>171</v>
      </c>
      <c r="U154" s="22">
        <f t="shared" si="56"/>
        <v>0.32270634899999995</v>
      </c>
      <c r="V154" s="20">
        <v>2.4700000000000002</v>
      </c>
      <c r="W154" s="21" t="s">
        <v>171</v>
      </c>
      <c r="X154" s="22">
        <f t="shared" si="57"/>
        <v>0.3204480381</v>
      </c>
      <c r="Y154" s="23">
        <f t="shared" si="58"/>
        <v>2.9999999999999805E-2</v>
      </c>
      <c r="Z154" s="71">
        <v>2530</v>
      </c>
      <c r="AA154" s="21" t="s">
        <v>171</v>
      </c>
      <c r="AB154" s="67">
        <f t="shared" si="65"/>
        <v>139.15</v>
      </c>
      <c r="AC154" s="68">
        <v>19.34</v>
      </c>
      <c r="AD154" s="21" t="s">
        <v>171</v>
      </c>
      <c r="AE154" s="69">
        <f t="shared" si="62"/>
        <v>1.5909992752800002</v>
      </c>
      <c r="AF154" s="68">
        <v>4.1100000000000003</v>
      </c>
      <c r="AG154" s="21" t="s">
        <v>171</v>
      </c>
      <c r="AH154" s="22">
        <f t="shared" si="63"/>
        <v>0.6489910698100001</v>
      </c>
      <c r="AI154" s="70">
        <v>23.45</v>
      </c>
      <c r="AJ154" s="21" t="s">
        <v>171</v>
      </c>
      <c r="AK154" s="22">
        <f t="shared" si="64"/>
        <v>1.7268405827</v>
      </c>
      <c r="AL154" s="68">
        <v>2553.4499999999998</v>
      </c>
      <c r="AM154" s="70"/>
      <c r="AN154" s="150">
        <f>AN155-((AN155-AN157)/(H155-H157))*3.5</f>
        <v>0.9500432601562423</v>
      </c>
      <c r="AO154" s="156">
        <f t="shared" si="35"/>
        <v>17.599551394394389</v>
      </c>
      <c r="AP154" s="94"/>
      <c r="AQ154" s="85"/>
      <c r="AR154" s="85"/>
      <c r="AS154" s="85"/>
      <c r="AT154" s="85"/>
      <c r="AU154" s="92">
        <f>'Malmön(Björk2B)'!D3</f>
        <v>34</v>
      </c>
      <c r="AV154" s="91">
        <f>'Malmön(Björk2B)'!N3</f>
        <v>423.9506300872734</v>
      </c>
      <c r="AW154" s="91">
        <f>'Malmön(Björk2B)'!O3</f>
        <v>12.469136179037452</v>
      </c>
      <c r="AX154" s="91">
        <f>'Malmön(Björk2B)'!P3</f>
        <v>218.45926585673618</v>
      </c>
      <c r="AY154" s="91">
        <f>'Malmön(Björk2B)'!Q3</f>
        <v>6.4252725251981229</v>
      </c>
    </row>
    <row r="155" spans="1:51" ht="18" thickTop="1" thickBot="1" x14ac:dyDescent="0.3">
      <c r="A155" s="86" t="s">
        <v>210</v>
      </c>
      <c r="B155" s="86" t="s">
        <v>198</v>
      </c>
      <c r="C155" s="86" t="s">
        <v>97</v>
      </c>
      <c r="D155" s="86" t="s">
        <v>346</v>
      </c>
      <c r="E155" s="86" t="s">
        <v>349</v>
      </c>
      <c r="G155" s="60" t="s">
        <v>175</v>
      </c>
      <c r="H155">
        <v>16.25</v>
      </c>
      <c r="I155">
        <f>25-7.5</f>
        <v>17.5</v>
      </c>
      <c r="J155" s="64">
        <v>3.8</v>
      </c>
      <c r="K155" s="13" t="s">
        <v>171</v>
      </c>
      <c r="L155" s="14">
        <v>0.2</v>
      </c>
      <c r="M155" s="15">
        <v>108</v>
      </c>
      <c r="N155" s="16" t="s">
        <v>171</v>
      </c>
      <c r="O155" s="17">
        <f t="shared" si="54"/>
        <v>10.681497014000001</v>
      </c>
      <c r="P155" s="18">
        <v>490</v>
      </c>
      <c r="Q155" s="16" t="s">
        <v>171</v>
      </c>
      <c r="R155" s="19">
        <f t="shared" si="55"/>
        <v>42.942187079999997</v>
      </c>
      <c r="S155" s="20">
        <v>2.67</v>
      </c>
      <c r="T155" s="21" t="s">
        <v>171</v>
      </c>
      <c r="U155" s="22">
        <f t="shared" si="56"/>
        <v>0.33550344409999999</v>
      </c>
      <c r="V155" s="20">
        <v>2.25</v>
      </c>
      <c r="W155" s="21" t="s">
        <v>171</v>
      </c>
      <c r="X155" s="22">
        <f t="shared" si="57"/>
        <v>0.30388709149999998</v>
      </c>
      <c r="Y155" s="23">
        <f t="shared" si="58"/>
        <v>0.41999999999999993</v>
      </c>
      <c r="Z155" s="71">
        <v>4040</v>
      </c>
      <c r="AA155" s="21" t="s">
        <v>171</v>
      </c>
      <c r="AB155" s="67">
        <f t="shared" si="65"/>
        <v>222.2</v>
      </c>
      <c r="AC155" s="68">
        <v>11.41</v>
      </c>
      <c r="AD155" s="21" t="s">
        <v>171</v>
      </c>
      <c r="AE155" s="69">
        <f t="shared" si="62"/>
        <v>1.0195587807200002</v>
      </c>
      <c r="AF155" s="68">
        <v>6.79</v>
      </c>
      <c r="AG155" s="21" t="s">
        <v>171</v>
      </c>
      <c r="AH155" s="22">
        <f t="shared" si="63"/>
        <v>1.0246696400899999</v>
      </c>
      <c r="AI155" s="70">
        <v>18.2</v>
      </c>
      <c r="AJ155" s="21" t="s">
        <v>171</v>
      </c>
      <c r="AK155" s="22">
        <f t="shared" si="64"/>
        <v>1.5457384411999999</v>
      </c>
      <c r="AL155" s="68">
        <v>4058.2</v>
      </c>
      <c r="AM155" s="70"/>
      <c r="AN155" s="90">
        <f>'Malmön(Björk2B)'!D49</f>
        <v>0.99150190347537781</v>
      </c>
      <c r="AO155" s="156">
        <f t="shared" ref="AO155:AO165" si="66">AN155*V155*I155</f>
        <v>39.040387449343001</v>
      </c>
      <c r="AP155" s="94"/>
      <c r="AQ155" s="85"/>
      <c r="AR155" s="85"/>
      <c r="AS155" s="85"/>
      <c r="AT155" s="85"/>
      <c r="AU155" s="92"/>
      <c r="AV155" s="91"/>
      <c r="AW155" s="91"/>
      <c r="AX155" s="91"/>
      <c r="AY155" s="91"/>
    </row>
    <row r="156" spans="1:51" ht="18" thickTop="1" thickBot="1" x14ac:dyDescent="0.3">
      <c r="A156" s="86" t="s">
        <v>210</v>
      </c>
      <c r="B156" s="86" t="s">
        <v>198</v>
      </c>
      <c r="C156" s="86" t="s">
        <v>97</v>
      </c>
      <c r="D156" s="86" t="s">
        <v>346</v>
      </c>
      <c r="E156" s="86" t="s">
        <v>349</v>
      </c>
      <c r="G156" s="65" t="s">
        <v>176</v>
      </c>
      <c r="H156">
        <v>35</v>
      </c>
      <c r="I156" s="76">
        <f>45-25</f>
        <v>20</v>
      </c>
      <c r="J156" s="64">
        <v>3.8</v>
      </c>
      <c r="K156" s="13" t="s">
        <v>171</v>
      </c>
      <c r="L156" s="14">
        <v>0.2</v>
      </c>
      <c r="M156" s="15">
        <v>88</v>
      </c>
      <c r="N156" s="16" t="s">
        <v>171</v>
      </c>
      <c r="O156" s="17">
        <f t="shared" si="54"/>
        <v>9.0250171740000003</v>
      </c>
      <c r="P156" s="18">
        <v>490</v>
      </c>
      <c r="Q156" s="16" t="s">
        <v>171</v>
      </c>
      <c r="R156" s="19">
        <f t="shared" si="55"/>
        <v>42.942187079999997</v>
      </c>
      <c r="S156" s="20">
        <v>2.21</v>
      </c>
      <c r="T156" s="21" t="s">
        <v>171</v>
      </c>
      <c r="U156" s="22">
        <f t="shared" si="56"/>
        <v>0.3008760103</v>
      </c>
      <c r="V156" s="20">
        <v>1.78</v>
      </c>
      <c r="W156" s="21" t="s">
        <v>171</v>
      </c>
      <c r="X156" s="22">
        <f t="shared" si="57"/>
        <v>0.2685068874</v>
      </c>
      <c r="Y156" s="23">
        <f t="shared" si="58"/>
        <v>0.42999999999999994</v>
      </c>
      <c r="Z156" s="71">
        <v>1660</v>
      </c>
      <c r="AA156" s="21" t="s">
        <v>171</v>
      </c>
      <c r="AB156" s="67">
        <f t="shared" si="65"/>
        <v>91.3</v>
      </c>
      <c r="AC156" s="68">
        <v>7.96</v>
      </c>
      <c r="AD156" s="21" t="s">
        <v>171</v>
      </c>
      <c r="AE156" s="69">
        <f t="shared" si="62"/>
        <v>0.77094973832000002</v>
      </c>
      <c r="AF156" s="68">
        <v>6.76</v>
      </c>
      <c r="AG156" s="21" t="s">
        <v>171</v>
      </c>
      <c r="AH156" s="22">
        <f t="shared" si="63"/>
        <v>1.0204642829599999</v>
      </c>
      <c r="AI156" s="70">
        <v>14.72</v>
      </c>
      <c r="AJ156" s="21" t="s">
        <v>171</v>
      </c>
      <c r="AK156" s="22">
        <f t="shared" si="64"/>
        <v>1.4256935931200001</v>
      </c>
      <c r="AL156" s="68">
        <v>1674.72</v>
      </c>
      <c r="AM156" s="70"/>
      <c r="AN156" s="151">
        <f>AN155+((AN155-AN157)/(H155-H157))*(H156-H155)</f>
        <v>1.2136017783993178</v>
      </c>
      <c r="AO156" s="156">
        <f t="shared" si="66"/>
        <v>43.204223311015717</v>
      </c>
      <c r="AP156" s="94"/>
      <c r="AQ156" s="85"/>
      <c r="AR156" s="85"/>
      <c r="AS156" s="85"/>
      <c r="AT156" s="85"/>
      <c r="AU156" s="92"/>
      <c r="AV156" s="91"/>
      <c r="AW156" s="91"/>
      <c r="AX156" s="91"/>
      <c r="AY156" s="91"/>
    </row>
    <row r="157" spans="1:51" ht="18" thickTop="1" thickBot="1" x14ac:dyDescent="0.3">
      <c r="A157" s="86" t="s">
        <v>210</v>
      </c>
      <c r="B157" s="86" t="s">
        <v>198</v>
      </c>
      <c r="C157" s="86" t="s">
        <v>97</v>
      </c>
      <c r="D157" s="86" t="s">
        <v>346</v>
      </c>
      <c r="E157" s="86" t="s">
        <v>349</v>
      </c>
      <c r="G157" s="60" t="s">
        <v>21</v>
      </c>
      <c r="H157">
        <v>52.5</v>
      </c>
      <c r="I157">
        <f>60-45</f>
        <v>15</v>
      </c>
      <c r="J157" s="64">
        <v>4</v>
      </c>
      <c r="K157" s="13" t="s">
        <v>171</v>
      </c>
      <c r="L157" s="14">
        <v>0.2</v>
      </c>
      <c r="M157" s="15">
        <v>75</v>
      </c>
      <c r="N157" s="16" t="s">
        <v>171</v>
      </c>
      <c r="O157" s="17">
        <f t="shared" si="54"/>
        <v>7.9483052780000003</v>
      </c>
      <c r="P157" s="18">
        <v>435</v>
      </c>
      <c r="Q157" s="16" t="s">
        <v>171</v>
      </c>
      <c r="R157" s="19">
        <f t="shared" si="55"/>
        <v>38.086129774999996</v>
      </c>
      <c r="S157" s="20">
        <v>1.84</v>
      </c>
      <c r="T157" s="21" t="s">
        <v>171</v>
      </c>
      <c r="U157" s="22">
        <f t="shared" si="56"/>
        <v>0.27302350919999996</v>
      </c>
      <c r="V157" s="20">
        <v>1.66</v>
      </c>
      <c r="W157" s="21" t="s">
        <v>171</v>
      </c>
      <c r="X157" s="22">
        <f t="shared" si="57"/>
        <v>0.25947364379999999</v>
      </c>
      <c r="Y157" s="23">
        <f t="shared" si="58"/>
        <v>0.18000000000000016</v>
      </c>
      <c r="Z157" s="71">
        <v>1450</v>
      </c>
      <c r="AA157" s="21" t="s">
        <v>171</v>
      </c>
      <c r="AB157" s="67">
        <f t="shared" si="65"/>
        <v>79.75</v>
      </c>
      <c r="AC157" s="68">
        <v>7.34</v>
      </c>
      <c r="AD157" s="21" t="s">
        <v>171</v>
      </c>
      <c r="AE157" s="69">
        <f t="shared" si="62"/>
        <v>0.72627217127999999</v>
      </c>
      <c r="AF157" s="68">
        <v>7.26</v>
      </c>
      <c r="AG157" s="21" t="s">
        <v>171</v>
      </c>
      <c r="AH157" s="22">
        <f t="shared" si="63"/>
        <v>1.0905535684600001</v>
      </c>
      <c r="AI157" s="70">
        <v>14.6</v>
      </c>
      <c r="AJ157" s="21" t="s">
        <v>171</v>
      </c>
      <c r="AK157" s="22">
        <f t="shared" si="64"/>
        <v>1.4215541155999998</v>
      </c>
      <c r="AL157" s="68">
        <v>1464.6</v>
      </c>
      <c r="AM157" s="70"/>
      <c r="AN157" s="144">
        <f>AN$149</f>
        <v>1.4208949949949952</v>
      </c>
      <c r="AO157" s="156">
        <f t="shared" si="66"/>
        <v>35.380285375375379</v>
      </c>
      <c r="AP157" s="94"/>
      <c r="AQ157" s="85"/>
      <c r="AR157" s="85"/>
      <c r="AS157" s="85"/>
      <c r="AT157" s="85"/>
      <c r="AU157" s="92"/>
      <c r="AV157" s="91"/>
      <c r="AW157" s="91"/>
      <c r="AX157" s="91"/>
      <c r="AY157" s="91"/>
    </row>
    <row r="158" spans="1:51" ht="18" thickTop="1" thickBot="1" x14ac:dyDescent="0.3">
      <c r="A158" s="86" t="s">
        <v>210</v>
      </c>
      <c r="B158" s="86" t="s">
        <v>81</v>
      </c>
      <c r="C158" s="86" t="s">
        <v>81</v>
      </c>
      <c r="D158" s="86" t="s">
        <v>346</v>
      </c>
      <c r="E158" s="86" t="s">
        <v>36</v>
      </c>
      <c r="F158" s="86" t="s">
        <v>36</v>
      </c>
      <c r="G158" s="65" t="s">
        <v>177</v>
      </c>
      <c r="H158">
        <v>3.75</v>
      </c>
      <c r="I158">
        <v>7.5</v>
      </c>
      <c r="J158" s="64">
        <v>4.8</v>
      </c>
      <c r="K158" s="13" t="s">
        <v>171</v>
      </c>
      <c r="L158" s="14">
        <v>0.2</v>
      </c>
      <c r="M158" s="15">
        <v>122</v>
      </c>
      <c r="N158" s="16" t="s">
        <v>171</v>
      </c>
      <c r="O158" s="17">
        <f t="shared" si="54"/>
        <v>11.841032901999998</v>
      </c>
      <c r="P158" s="18">
        <v>585</v>
      </c>
      <c r="Q158" s="16" t="s">
        <v>171</v>
      </c>
      <c r="R158" s="19">
        <f t="shared" si="55"/>
        <v>51.329922424999992</v>
      </c>
      <c r="S158" s="20">
        <v>2.44</v>
      </c>
      <c r="T158" s="21" t="s">
        <v>171</v>
      </c>
      <c r="U158" s="22">
        <f t="shared" si="56"/>
        <v>0.31818972719999999</v>
      </c>
      <c r="V158" s="20">
        <v>2.36</v>
      </c>
      <c r="W158" s="21" t="s">
        <v>171</v>
      </c>
      <c r="X158" s="22">
        <f t="shared" si="57"/>
        <v>0.31216756479999996</v>
      </c>
      <c r="Y158" s="23">
        <f t="shared" si="58"/>
        <v>8.0000000000000071E-2</v>
      </c>
      <c r="Z158" s="71">
        <v>2540</v>
      </c>
      <c r="AA158" s="21" t="s">
        <v>171</v>
      </c>
      <c r="AB158" s="67">
        <f t="shared" si="65"/>
        <v>139.69999999999999</v>
      </c>
      <c r="AC158" s="68">
        <v>5.77</v>
      </c>
      <c r="AD158" s="21" t="s">
        <v>171</v>
      </c>
      <c r="AE158" s="69">
        <f t="shared" si="62"/>
        <v>0.61313704183999995</v>
      </c>
      <c r="AF158" s="68">
        <v>10.81</v>
      </c>
      <c r="AG158" s="21" t="s">
        <v>171</v>
      </c>
      <c r="AH158" s="22">
        <f t="shared" si="63"/>
        <v>1.5881874955100002</v>
      </c>
      <c r="AI158" s="70">
        <v>16.579999999999998</v>
      </c>
      <c r="AJ158" s="21" t="s">
        <v>171</v>
      </c>
      <c r="AK158" s="22">
        <f t="shared" si="64"/>
        <v>1.48985549468</v>
      </c>
      <c r="AL158" s="68">
        <v>2556.58</v>
      </c>
      <c r="AM158" s="70"/>
      <c r="AN158" s="150">
        <f>AN159-((AN159-AN161)/(H159-H161))*3.5</f>
        <v>1.0074630876365827</v>
      </c>
      <c r="AO158" s="156">
        <f t="shared" si="66"/>
        <v>17.832096651167511</v>
      </c>
      <c r="AP158" s="94"/>
      <c r="AQ158" s="85">
        <f>'PoplarPlots(2000)'!L122</f>
        <v>257.38467874196721</v>
      </c>
      <c r="AR158" s="85">
        <f>'PoplarPlots(2000)'!M122</f>
        <v>17.158978582797815</v>
      </c>
      <c r="AS158" s="85">
        <f>'PoplarPlots(2000)'!N122</f>
        <v>106.17117998106147</v>
      </c>
      <c r="AT158" s="85">
        <f>'PoplarPlots(2000)'!O122</f>
        <v>7.0780786654040977</v>
      </c>
      <c r="AU158" s="92">
        <f>'S-15-W(2020)'!D2</f>
        <v>34</v>
      </c>
      <c r="AV158" s="91">
        <f>'S-15-W(2020)'!N2</f>
        <v>481.47213043183473</v>
      </c>
      <c r="AW158" s="91">
        <f>'S-15-W(2020)'!O2</f>
        <v>14.160945012701021</v>
      </c>
      <c r="AX158" s="91">
        <f>'S-15-W(2020)'!P2</f>
        <v>198.60725380313184</v>
      </c>
      <c r="AY158" s="91">
        <f>'S-15-W(2020)'!Q2</f>
        <v>5.8413898177391719</v>
      </c>
    </row>
    <row r="159" spans="1:51" ht="18" thickTop="1" thickBot="1" x14ac:dyDescent="0.3">
      <c r="A159" s="86" t="s">
        <v>210</v>
      </c>
      <c r="B159" s="86" t="s">
        <v>81</v>
      </c>
      <c r="C159" s="86" t="s">
        <v>81</v>
      </c>
      <c r="D159" s="86" t="s">
        <v>346</v>
      </c>
      <c r="E159" s="86" t="s">
        <v>36</v>
      </c>
      <c r="F159" s="86" t="s">
        <v>36</v>
      </c>
      <c r="G159" s="60" t="s">
        <v>175</v>
      </c>
      <c r="H159">
        <v>16.25</v>
      </c>
      <c r="I159">
        <f>25-7.5</f>
        <v>17.5</v>
      </c>
      <c r="J159" s="64">
        <v>4.3</v>
      </c>
      <c r="K159" s="13" t="s">
        <v>171</v>
      </c>
      <c r="L159" s="14">
        <v>0.2</v>
      </c>
      <c r="M159" s="15">
        <v>87</v>
      </c>
      <c r="N159" s="16" t="s">
        <v>171</v>
      </c>
      <c r="O159" s="17">
        <f t="shared" si="54"/>
        <v>8.9421931820000005</v>
      </c>
      <c r="P159" s="18">
        <v>480</v>
      </c>
      <c r="Q159" s="16" t="s">
        <v>171</v>
      </c>
      <c r="R159" s="19">
        <f t="shared" si="55"/>
        <v>42.059267569999996</v>
      </c>
      <c r="S159" s="20">
        <v>2.4700000000000002</v>
      </c>
      <c r="T159" s="21" t="s">
        <v>171</v>
      </c>
      <c r="U159" s="22">
        <f t="shared" si="56"/>
        <v>0.3204480381</v>
      </c>
      <c r="V159" s="20">
        <v>1.84</v>
      </c>
      <c r="W159" s="21" t="s">
        <v>171</v>
      </c>
      <c r="X159" s="22">
        <f t="shared" si="57"/>
        <v>0.27302350919999996</v>
      </c>
      <c r="Y159" s="23">
        <f t="shared" si="58"/>
        <v>0.63000000000000012</v>
      </c>
      <c r="Z159" s="71">
        <v>1710</v>
      </c>
      <c r="AA159" s="21" t="s">
        <v>171</v>
      </c>
      <c r="AB159" s="67">
        <f t="shared" si="65"/>
        <v>94.05</v>
      </c>
      <c r="AC159" s="68">
        <v>2.81</v>
      </c>
      <c r="AD159" s="21" t="s">
        <v>171</v>
      </c>
      <c r="AE159" s="69">
        <f t="shared" si="62"/>
        <v>0.39983768951999998</v>
      </c>
      <c r="AF159" s="68">
        <v>4.9800000000000004</v>
      </c>
      <c r="AG159" s="21" t="s">
        <v>171</v>
      </c>
      <c r="AH159" s="22">
        <f t="shared" si="63"/>
        <v>0.77094642658000012</v>
      </c>
      <c r="AI159" s="70">
        <v>7.79</v>
      </c>
      <c r="AJ159" s="21" t="s">
        <v>171</v>
      </c>
      <c r="AK159" s="22">
        <f t="shared" si="64"/>
        <v>1.18663876634</v>
      </c>
      <c r="AL159" s="68">
        <v>1717.79</v>
      </c>
      <c r="AM159" s="70"/>
      <c r="AN159" s="90">
        <f>'S-15-W(2020)'!J39</f>
        <v>1.0438658970895247</v>
      </c>
      <c r="AO159" s="156">
        <f t="shared" si="66"/>
        <v>33.612481886282694</v>
      </c>
      <c r="AP159" s="94"/>
      <c r="AQ159" s="85"/>
      <c r="AR159" s="85"/>
      <c r="AS159" s="85"/>
      <c r="AT159" s="85"/>
      <c r="AU159" s="92"/>
      <c r="AV159" s="91"/>
      <c r="AW159" s="91"/>
      <c r="AX159" s="91"/>
      <c r="AY159" s="91"/>
    </row>
    <row r="160" spans="1:51" ht="18" thickTop="1" thickBot="1" x14ac:dyDescent="0.3">
      <c r="G160" s="65" t="s">
        <v>176</v>
      </c>
      <c r="H160">
        <v>35</v>
      </c>
      <c r="I160" s="76">
        <f>45-25</f>
        <v>20</v>
      </c>
      <c r="J160" s="64"/>
      <c r="K160" s="13"/>
      <c r="L160" s="14"/>
      <c r="M160" s="15"/>
      <c r="N160" s="16"/>
      <c r="O160" s="17"/>
      <c r="P160" s="18"/>
      <c r="Q160" s="16"/>
      <c r="R160" s="19"/>
      <c r="S160" s="20"/>
      <c r="T160" s="21"/>
      <c r="U160" s="22"/>
      <c r="V160" s="158">
        <f>V164</f>
        <v>1.79</v>
      </c>
      <c r="W160" s="21"/>
      <c r="X160" s="22"/>
      <c r="Y160" s="23"/>
      <c r="Z160" s="71"/>
      <c r="AA160" s="21"/>
      <c r="AB160" s="67"/>
      <c r="AC160" s="68"/>
      <c r="AD160" s="21"/>
      <c r="AE160" s="69"/>
      <c r="AF160" s="68"/>
      <c r="AG160" s="21"/>
      <c r="AH160" s="22"/>
      <c r="AI160" s="70"/>
      <c r="AJ160" s="21"/>
      <c r="AK160" s="22"/>
      <c r="AL160" s="68"/>
      <c r="AM160" s="70"/>
      <c r="AN160" s="151">
        <f>AN159+((AN159-AN161)/(H159-H161))*(H160-H159)</f>
        <v>1.2388809477302853</v>
      </c>
      <c r="AO160" s="156">
        <f t="shared" si="66"/>
        <v>44.351937928744213</v>
      </c>
      <c r="AP160" s="94"/>
      <c r="AQ160" s="85"/>
      <c r="AR160" s="85"/>
      <c r="AS160" s="85"/>
      <c r="AT160" s="85"/>
      <c r="AU160" s="92"/>
      <c r="AV160" s="91"/>
      <c r="AW160" s="91"/>
      <c r="AX160" s="91"/>
      <c r="AY160" s="91"/>
    </row>
    <row r="161" spans="1:51" ht="18" thickTop="1" thickBot="1" x14ac:dyDescent="0.3">
      <c r="A161" s="86" t="s">
        <v>210</v>
      </c>
      <c r="B161" s="86" t="s">
        <v>81</v>
      </c>
      <c r="C161" s="86" t="s">
        <v>81</v>
      </c>
      <c r="D161" s="86" t="s">
        <v>346</v>
      </c>
      <c r="E161" s="86" t="s">
        <v>36</v>
      </c>
      <c r="F161" s="86" t="s">
        <v>36</v>
      </c>
      <c r="G161" s="65" t="s">
        <v>21</v>
      </c>
      <c r="H161">
        <v>52.5</v>
      </c>
      <c r="I161">
        <f>60-45</f>
        <v>15</v>
      </c>
      <c r="J161" s="64">
        <v>4</v>
      </c>
      <c r="K161" s="13" t="s">
        <v>171</v>
      </c>
      <c r="L161" s="14">
        <v>0.2</v>
      </c>
      <c r="M161" s="15">
        <v>51</v>
      </c>
      <c r="N161" s="16" t="s">
        <v>171</v>
      </c>
      <c r="O161" s="17">
        <f t="shared" si="54"/>
        <v>5.96052947</v>
      </c>
      <c r="P161" s="18">
        <v>280</v>
      </c>
      <c r="Q161" s="16" t="s">
        <v>171</v>
      </c>
      <c r="R161" s="19">
        <f t="shared" si="55"/>
        <v>24.400877369999996</v>
      </c>
      <c r="S161" s="20">
        <v>1.71</v>
      </c>
      <c r="T161" s="21" t="s">
        <v>171</v>
      </c>
      <c r="U161" s="22">
        <f t="shared" si="56"/>
        <v>0.26323749529999996</v>
      </c>
      <c r="V161" s="20">
        <v>1.7</v>
      </c>
      <c r="W161" s="21" t="s">
        <v>171</v>
      </c>
      <c r="X161" s="22">
        <f t="shared" si="57"/>
        <v>0.26248472499999997</v>
      </c>
      <c r="Y161" s="23">
        <f t="shared" si="58"/>
        <v>1.0000000000000009E-2</v>
      </c>
      <c r="Z161" s="71">
        <v>1410</v>
      </c>
      <c r="AA161" s="21" t="s">
        <v>171</v>
      </c>
      <c r="AB161" s="67">
        <f t="shared" si="65"/>
        <v>77.55</v>
      </c>
      <c r="AC161" s="68">
        <v>1.76</v>
      </c>
      <c r="AD161" s="21" t="s">
        <v>171</v>
      </c>
      <c r="AE161" s="69">
        <f t="shared" si="62"/>
        <v>0.32417406792000003</v>
      </c>
      <c r="AF161" s="68">
        <v>4.9800000000000004</v>
      </c>
      <c r="AG161" s="21" t="s">
        <v>171</v>
      </c>
      <c r="AH161" s="22">
        <f t="shared" si="63"/>
        <v>0.77094642658000012</v>
      </c>
      <c r="AI161" s="70">
        <v>6.74</v>
      </c>
      <c r="AJ161" s="21" t="s">
        <v>171</v>
      </c>
      <c r="AK161" s="22">
        <f t="shared" si="64"/>
        <v>1.1504183380399999</v>
      </c>
      <c r="AL161" s="68">
        <v>1416.74</v>
      </c>
      <c r="AM161" s="70"/>
      <c r="AN161" s="144">
        <f>AN$149</f>
        <v>1.4208949949949952</v>
      </c>
      <c r="AO161" s="156">
        <f t="shared" si="66"/>
        <v>36.232822372372375</v>
      </c>
      <c r="AP161" s="94"/>
      <c r="AQ161" s="85"/>
      <c r="AR161" s="85"/>
      <c r="AS161" s="85"/>
      <c r="AT161" s="85"/>
      <c r="AU161" s="92"/>
      <c r="AV161" s="91"/>
      <c r="AW161" s="91"/>
      <c r="AX161" s="91"/>
      <c r="AY161" s="91"/>
    </row>
    <row r="162" spans="1:51" ht="18" thickTop="1" thickBot="1" x14ac:dyDescent="0.3">
      <c r="A162" s="86" t="s">
        <v>210</v>
      </c>
      <c r="B162" s="86" t="s">
        <v>178</v>
      </c>
      <c r="C162" s="86" t="s">
        <v>178</v>
      </c>
      <c r="D162" s="86" t="s">
        <v>348</v>
      </c>
      <c r="E162" s="86" t="s">
        <v>76</v>
      </c>
      <c r="F162" s="86" t="s">
        <v>76</v>
      </c>
      <c r="G162" s="60" t="s">
        <v>177</v>
      </c>
      <c r="H162">
        <v>3.75</v>
      </c>
      <c r="I162">
        <v>7.5</v>
      </c>
      <c r="J162" s="64">
        <v>5.2</v>
      </c>
      <c r="K162" s="13" t="s">
        <v>171</v>
      </c>
      <c r="L162" s="14">
        <v>0.2</v>
      </c>
      <c r="M162" s="15">
        <v>100</v>
      </c>
      <c r="N162" s="16" t="s">
        <v>171</v>
      </c>
      <c r="O162" s="17">
        <f t="shared" si="54"/>
        <v>10.018905078</v>
      </c>
      <c r="P162" s="18">
        <v>450</v>
      </c>
      <c r="Q162" s="16" t="s">
        <v>171</v>
      </c>
      <c r="R162" s="19">
        <f t="shared" si="55"/>
        <v>39.410509039999994</v>
      </c>
      <c r="S162" s="20">
        <v>2.31</v>
      </c>
      <c r="T162" s="21" t="s">
        <v>171</v>
      </c>
      <c r="U162" s="22">
        <f t="shared" si="56"/>
        <v>0.30840371329999999</v>
      </c>
      <c r="V162" s="20">
        <v>2.1800000000000002</v>
      </c>
      <c r="W162" s="21" t="s">
        <v>171</v>
      </c>
      <c r="X162" s="22">
        <f t="shared" si="57"/>
        <v>0.29861769939999999</v>
      </c>
      <c r="Y162" s="23">
        <f t="shared" si="58"/>
        <v>0.12999999999999989</v>
      </c>
      <c r="Z162" s="71">
        <v>2130</v>
      </c>
      <c r="AA162" s="21" t="s">
        <v>171</v>
      </c>
      <c r="AB162" s="67">
        <f t="shared" si="65"/>
        <v>117.15</v>
      </c>
      <c r="AC162" s="68">
        <v>13.93</v>
      </c>
      <c r="AD162" s="21" t="s">
        <v>171</v>
      </c>
      <c r="AE162" s="69">
        <f t="shared" si="62"/>
        <v>1.2011514725599999</v>
      </c>
      <c r="AF162" s="68">
        <v>6.15</v>
      </c>
      <c r="AG162" s="21" t="s">
        <v>171</v>
      </c>
      <c r="AH162" s="22">
        <f t="shared" si="63"/>
        <v>0.93495535465000013</v>
      </c>
      <c r="AI162" s="70">
        <v>20.079999999999998</v>
      </c>
      <c r="AJ162" s="21" t="s">
        <v>171</v>
      </c>
      <c r="AK162" s="22">
        <f t="shared" si="64"/>
        <v>1.6105902556799998</v>
      </c>
      <c r="AL162" s="68">
        <v>2150.08</v>
      </c>
      <c r="AM162" s="70"/>
      <c r="AN162" s="150">
        <f>AN163-((AN163-AN165)/(H163-H165))*3.5</f>
        <v>1.1924615843356727</v>
      </c>
      <c r="AO162" s="156">
        <f t="shared" si="66"/>
        <v>19.496746903888248</v>
      </c>
      <c r="AP162" s="94"/>
      <c r="AQ162" s="85"/>
      <c r="AR162" s="85"/>
      <c r="AS162" s="85"/>
      <c r="AT162" s="85"/>
      <c r="AU162" s="92"/>
      <c r="AV162" s="91"/>
      <c r="AW162" s="91"/>
      <c r="AX162" s="91"/>
      <c r="AY162" s="91"/>
    </row>
    <row r="163" spans="1:51" ht="18" thickTop="1" thickBot="1" x14ac:dyDescent="0.3">
      <c r="A163" s="86" t="s">
        <v>210</v>
      </c>
      <c r="B163" s="86" t="s">
        <v>178</v>
      </c>
      <c r="C163" s="86" t="s">
        <v>178</v>
      </c>
      <c r="D163" s="86" t="s">
        <v>348</v>
      </c>
      <c r="E163" s="86" t="s">
        <v>76</v>
      </c>
      <c r="F163" s="86" t="s">
        <v>76</v>
      </c>
      <c r="G163" s="65" t="s">
        <v>175</v>
      </c>
      <c r="H163">
        <v>16.25</v>
      </c>
      <c r="I163">
        <f>25-7.5</f>
        <v>17.5</v>
      </c>
      <c r="J163" s="64">
        <v>5</v>
      </c>
      <c r="K163" s="13" t="s">
        <v>171</v>
      </c>
      <c r="L163" s="14">
        <v>0.2</v>
      </c>
      <c r="M163" s="15">
        <v>97</v>
      </c>
      <c r="N163" s="16" t="s">
        <v>171</v>
      </c>
      <c r="O163" s="17">
        <f t="shared" si="54"/>
        <v>9.7704331019999984</v>
      </c>
      <c r="P163" s="18">
        <v>450</v>
      </c>
      <c r="Q163" s="16" t="s">
        <v>171</v>
      </c>
      <c r="R163" s="19">
        <f t="shared" si="55"/>
        <v>39.410509039999994</v>
      </c>
      <c r="S163" s="20">
        <v>1.96</v>
      </c>
      <c r="T163" s="21" t="s">
        <v>171</v>
      </c>
      <c r="U163" s="22">
        <f t="shared" si="56"/>
        <v>0.28205675279999998</v>
      </c>
      <c r="V163" s="20">
        <v>1.91</v>
      </c>
      <c r="W163" s="21" t="s">
        <v>171</v>
      </c>
      <c r="X163" s="22">
        <f t="shared" si="57"/>
        <v>0.27829290129999995</v>
      </c>
      <c r="Y163" s="23">
        <f t="shared" si="58"/>
        <v>5.0000000000000044E-2</v>
      </c>
      <c r="Z163" s="71">
        <v>1950</v>
      </c>
      <c r="AA163" s="21" t="s">
        <v>171</v>
      </c>
      <c r="AB163" s="67">
        <f t="shared" si="65"/>
        <v>107.25</v>
      </c>
      <c r="AC163" s="68">
        <v>13.14</v>
      </c>
      <c r="AD163" s="21" t="s">
        <v>171</v>
      </c>
      <c r="AE163" s="69">
        <f t="shared" si="62"/>
        <v>1.1442236048800001</v>
      </c>
      <c r="AF163" s="68">
        <v>2.42</v>
      </c>
      <c r="AG163" s="21" t="s">
        <v>171</v>
      </c>
      <c r="AH163" s="22">
        <f t="shared" si="63"/>
        <v>0.41208928482000001</v>
      </c>
      <c r="AI163" s="70">
        <v>15.56</v>
      </c>
      <c r="AJ163" s="21" t="s">
        <v>171</v>
      </c>
      <c r="AK163" s="22">
        <f t="shared" si="64"/>
        <v>1.4546699357599999</v>
      </c>
      <c r="AL163" s="68">
        <v>1965.56</v>
      </c>
      <c r="AM163" s="70"/>
      <c r="AN163" s="90">
        <f>'S-15-W(2020)'!D39</f>
        <v>1.212575217978632</v>
      </c>
      <c r="AO163" s="156">
        <f t="shared" si="66"/>
        <v>40.530326660935771</v>
      </c>
      <c r="AP163" s="94"/>
      <c r="AQ163" s="85"/>
      <c r="AR163" s="85"/>
      <c r="AS163" s="85"/>
      <c r="AT163" s="85"/>
      <c r="AU163" s="92"/>
      <c r="AV163" s="91"/>
      <c r="AW163" s="91"/>
      <c r="AX163" s="91"/>
      <c r="AY163" s="91"/>
    </row>
    <row r="164" spans="1:51" ht="18" thickTop="1" thickBot="1" x14ac:dyDescent="0.3">
      <c r="G164" s="65" t="s">
        <v>176</v>
      </c>
      <c r="H164">
        <v>35</v>
      </c>
      <c r="I164" s="76">
        <f>45-25</f>
        <v>20</v>
      </c>
      <c r="J164" s="64"/>
      <c r="K164" s="13"/>
      <c r="L164" s="14"/>
      <c r="M164" s="15"/>
      <c r="N164" s="16"/>
      <c r="O164" s="17"/>
      <c r="P164" s="18"/>
      <c r="Q164" s="16"/>
      <c r="R164" s="19"/>
      <c r="S164" s="20"/>
      <c r="T164" s="21"/>
      <c r="U164" s="22"/>
      <c r="V164" s="158">
        <f>AVERAGE(V156,V152,V148,V144)</f>
        <v>1.79</v>
      </c>
      <c r="W164" s="21"/>
      <c r="X164" s="22"/>
      <c r="Y164" s="23"/>
      <c r="Z164" s="71"/>
      <c r="AA164" s="21"/>
      <c r="AB164" s="67"/>
      <c r="AC164" s="68"/>
      <c r="AD164" s="21"/>
      <c r="AE164" s="69"/>
      <c r="AF164" s="68"/>
      <c r="AG164" s="21"/>
      <c r="AH164" s="22"/>
      <c r="AI164" s="70"/>
      <c r="AJ164" s="21"/>
      <c r="AK164" s="22"/>
      <c r="AL164" s="68"/>
      <c r="AM164" s="70"/>
      <c r="AN164" s="151">
        <f>AN163+((AN163-AN165)/(H163-H165))*(H164-H163)</f>
        <v>1.3203268267801991</v>
      </c>
      <c r="AO164" s="156">
        <f>AN164*V164*I164</f>
        <v>47.267700398731129</v>
      </c>
      <c r="AP164" s="94"/>
      <c r="AQ164" s="85"/>
      <c r="AR164" s="85"/>
      <c r="AS164" s="85"/>
      <c r="AT164" s="85"/>
      <c r="AU164" s="92"/>
      <c r="AV164" s="91"/>
      <c r="AW164" s="91"/>
      <c r="AX164" s="91"/>
      <c r="AY164" s="91"/>
    </row>
    <row r="165" spans="1:51" ht="18" thickTop="1" thickBot="1" x14ac:dyDescent="0.3">
      <c r="A165" s="86" t="s">
        <v>210</v>
      </c>
      <c r="B165" s="86" t="s">
        <v>178</v>
      </c>
      <c r="C165" s="86" t="s">
        <v>178</v>
      </c>
      <c r="D165" s="86" t="s">
        <v>348</v>
      </c>
      <c r="E165" s="86" t="s">
        <v>76</v>
      </c>
      <c r="F165" s="86" t="s">
        <v>76</v>
      </c>
      <c r="G165" s="60" t="s">
        <v>21</v>
      </c>
      <c r="H165">
        <v>52.5</v>
      </c>
      <c r="I165">
        <f>60-45</f>
        <v>15</v>
      </c>
      <c r="J165" s="64">
        <v>3.9</v>
      </c>
      <c r="K165" s="13" t="s">
        <v>171</v>
      </c>
      <c r="L165" s="14">
        <v>0.2</v>
      </c>
      <c r="M165" s="15">
        <v>87</v>
      </c>
      <c r="N165" s="16" t="s">
        <v>171</v>
      </c>
      <c r="O165" s="17">
        <f t="shared" si="54"/>
        <v>8.9421931820000005</v>
      </c>
      <c r="P165" s="18">
        <v>306</v>
      </c>
      <c r="Q165" s="16" t="s">
        <v>171</v>
      </c>
      <c r="R165" s="19">
        <f t="shared" si="55"/>
        <v>26.696468095999997</v>
      </c>
      <c r="S165" s="20">
        <v>2</v>
      </c>
      <c r="T165" s="21" t="s">
        <v>171</v>
      </c>
      <c r="U165" s="22">
        <f t="shared" si="56"/>
        <v>0.28506783400000002</v>
      </c>
      <c r="V165" s="20">
        <v>1.87</v>
      </c>
      <c r="W165" s="21" t="s">
        <v>171</v>
      </c>
      <c r="X165" s="22">
        <f t="shared" si="57"/>
        <v>0.27528182010000002</v>
      </c>
      <c r="Y165" s="23">
        <f t="shared" si="58"/>
        <v>0.12999999999999989</v>
      </c>
      <c r="Z165" s="71">
        <v>1540</v>
      </c>
      <c r="AA165" s="21" t="s">
        <v>171</v>
      </c>
      <c r="AB165" s="67">
        <f t="shared" si="65"/>
        <v>84.7</v>
      </c>
      <c r="AC165" s="68">
        <v>5.14</v>
      </c>
      <c r="AD165" s="21" t="s">
        <v>171</v>
      </c>
      <c r="AE165" s="69">
        <f t="shared" si="62"/>
        <v>0.56773886888000002</v>
      </c>
      <c r="AF165" s="68">
        <v>5.46</v>
      </c>
      <c r="AG165" s="21" t="s">
        <v>171</v>
      </c>
      <c r="AH165" s="22">
        <f t="shared" si="63"/>
        <v>0.83823214066000007</v>
      </c>
      <c r="AI165" s="70">
        <v>10.6</v>
      </c>
      <c r="AJ165" s="21" t="s">
        <v>171</v>
      </c>
      <c r="AK165" s="22">
        <f t="shared" si="64"/>
        <v>1.2835715315999998</v>
      </c>
      <c r="AL165" s="68">
        <v>1550.6</v>
      </c>
      <c r="AM165" s="70"/>
      <c r="AN165" s="144">
        <f>AN$149</f>
        <v>1.4208949949949952</v>
      </c>
      <c r="AO165" s="156">
        <f t="shared" si="66"/>
        <v>39.856104609609616</v>
      </c>
      <c r="AP165" s="94"/>
      <c r="AQ165" s="85"/>
      <c r="AR165" s="85"/>
      <c r="AS165" s="85"/>
      <c r="AT165" s="85"/>
      <c r="AU165" s="92"/>
      <c r="AV165" s="91"/>
      <c r="AW165" s="91"/>
      <c r="AX165" s="91"/>
      <c r="AY165" s="91"/>
    </row>
    <row r="166" spans="1:51" ht="17.25" thickTop="1" x14ac:dyDescent="0.25"/>
  </sheetData>
  <autoFilter ref="G1:G167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workbookViewId="0">
      <pane ySplit="1" topLeftCell="A59" activePane="bottomLeft" state="frozen"/>
      <selection pane="bottomLeft" activeCell="Q157" sqref="Q157"/>
    </sheetView>
  </sheetViews>
  <sheetFormatPr defaultRowHeight="10.5" x14ac:dyDescent="0.15"/>
  <cols>
    <col min="9" max="9" width="11" bestFit="1" customWidth="1"/>
    <col min="13" max="13" width="10.1640625" customWidth="1"/>
    <col min="14" max="15" width="11" customWidth="1"/>
  </cols>
  <sheetData>
    <row r="1" spans="1:19" x14ac:dyDescent="0.15">
      <c r="A1" t="s">
        <v>124</v>
      </c>
      <c r="B1" t="s">
        <v>65</v>
      </c>
      <c r="C1" t="s">
        <v>408</v>
      </c>
      <c r="D1" t="s">
        <v>537</v>
      </c>
      <c r="E1" t="s">
        <v>335</v>
      </c>
      <c r="F1" t="s">
        <v>410</v>
      </c>
      <c r="G1" t="s">
        <v>173</v>
      </c>
      <c r="H1" t="s">
        <v>598</v>
      </c>
      <c r="I1" t="s">
        <v>336</v>
      </c>
      <c r="K1" t="s">
        <v>600</v>
      </c>
      <c r="M1" t="s">
        <v>608</v>
      </c>
      <c r="N1" t="s">
        <v>609</v>
      </c>
      <c r="O1" t="s">
        <v>611</v>
      </c>
      <c r="P1" t="s">
        <v>610</v>
      </c>
      <c r="Q1" t="s">
        <v>614</v>
      </c>
      <c r="R1" t="s">
        <v>612</v>
      </c>
      <c r="S1" t="s">
        <v>613</v>
      </c>
    </row>
    <row r="63" spans="1:19" x14ac:dyDescent="0.15">
      <c r="A63" t="s">
        <v>194</v>
      </c>
      <c r="B63" t="s">
        <v>180</v>
      </c>
      <c r="C63" t="s">
        <v>81</v>
      </c>
      <c r="D63" t="s">
        <v>346</v>
      </c>
      <c r="E63" t="s">
        <v>392</v>
      </c>
      <c r="F63" t="s">
        <v>25</v>
      </c>
      <c r="G63" t="s">
        <v>177</v>
      </c>
      <c r="H63">
        <v>7.5</v>
      </c>
      <c r="I63">
        <v>1.1265000614119101</v>
      </c>
      <c r="K63">
        <v>21.375338665290993</v>
      </c>
      <c r="M63">
        <v>21.375338665290993</v>
      </c>
      <c r="N63">
        <v>29.708922358326809</v>
      </c>
      <c r="O63">
        <v>28.44340026019481</v>
      </c>
      <c r="P63" s="164">
        <v>10.02</v>
      </c>
      <c r="R63">
        <f>O63+P63</f>
        <v>38.46340026019481</v>
      </c>
      <c r="S63">
        <f>SUM(M63:P63)</f>
        <v>89.547661283812602</v>
      </c>
    </row>
    <row r="64" spans="1:19" x14ac:dyDescent="0.15">
      <c r="A64" t="s">
        <v>195</v>
      </c>
      <c r="B64" t="s">
        <v>182</v>
      </c>
      <c r="C64" t="s">
        <v>81</v>
      </c>
      <c r="D64" t="s">
        <v>346</v>
      </c>
      <c r="E64" t="s">
        <v>392</v>
      </c>
      <c r="F64" t="s">
        <v>25</v>
      </c>
      <c r="G64" t="s">
        <v>175</v>
      </c>
      <c r="H64">
        <v>17.5</v>
      </c>
      <c r="I64">
        <v>1.1707949697862783</v>
      </c>
      <c r="K64">
        <v>29.708922358326809</v>
      </c>
    </row>
    <row r="65" spans="1:19" x14ac:dyDescent="0.15">
      <c r="A65" t="s">
        <v>195</v>
      </c>
      <c r="B65" t="s">
        <v>180</v>
      </c>
      <c r="C65" t="s">
        <v>81</v>
      </c>
      <c r="D65" t="s">
        <v>346</v>
      </c>
      <c r="E65" t="s">
        <v>392</v>
      </c>
      <c r="F65" t="s">
        <v>25</v>
      </c>
      <c r="G65" t="s">
        <v>176</v>
      </c>
      <c r="H65">
        <v>20</v>
      </c>
      <c r="I65">
        <v>1.4080891217918223</v>
      </c>
      <c r="K65">
        <v>28.44340026019481</v>
      </c>
    </row>
    <row r="66" spans="1:19" x14ac:dyDescent="0.15">
      <c r="A66" t="s">
        <v>195</v>
      </c>
      <c r="B66" t="s">
        <v>180</v>
      </c>
      <c r="C66" t="s">
        <v>81</v>
      </c>
      <c r="D66" t="s">
        <v>346</v>
      </c>
      <c r="E66" t="s">
        <v>392</v>
      </c>
      <c r="F66" t="s">
        <v>25</v>
      </c>
      <c r="G66" t="s">
        <v>21</v>
      </c>
      <c r="H66">
        <v>8.2000000000000028</v>
      </c>
      <c r="I66">
        <v>1.6295636636636637</v>
      </c>
      <c r="K66">
        <v>5.4785930372372391</v>
      </c>
    </row>
    <row r="67" spans="1:19" x14ac:dyDescent="0.15">
      <c r="A67" t="s">
        <v>195</v>
      </c>
      <c r="B67" t="s">
        <v>184</v>
      </c>
      <c r="C67" t="s">
        <v>81</v>
      </c>
      <c r="D67" t="s">
        <v>346</v>
      </c>
      <c r="E67" t="s">
        <v>393</v>
      </c>
      <c r="F67" t="s">
        <v>26</v>
      </c>
      <c r="G67" t="s">
        <v>177</v>
      </c>
      <c r="H67">
        <v>7.5</v>
      </c>
      <c r="I67">
        <v>1.4172018597822895</v>
      </c>
      <c r="K67">
        <v>24.021571523309802</v>
      </c>
      <c r="M67">
        <v>24.021571523309802</v>
      </c>
      <c r="N67">
        <v>25.379539276497539</v>
      </c>
      <c r="O67" s="164"/>
      <c r="P67" s="164"/>
      <c r="S67">
        <f>SUM(M67:P67)</f>
        <v>49.401110799807341</v>
      </c>
    </row>
    <row r="68" spans="1:19" x14ac:dyDescent="0.15">
      <c r="A68" t="s">
        <v>195</v>
      </c>
      <c r="B68" t="s">
        <v>184</v>
      </c>
      <c r="C68" t="s">
        <v>81</v>
      </c>
      <c r="D68" t="s">
        <v>346</v>
      </c>
      <c r="E68" t="s">
        <v>393</v>
      </c>
      <c r="F68" t="s">
        <v>26</v>
      </c>
      <c r="G68" t="s">
        <v>175</v>
      </c>
      <c r="H68">
        <v>17.5</v>
      </c>
      <c r="I68">
        <v>1.4359003833944859</v>
      </c>
      <c r="K68">
        <v>25.379539276497539</v>
      </c>
    </row>
    <row r="69" spans="1:19" x14ac:dyDescent="0.15">
      <c r="A69" t="s">
        <v>195</v>
      </c>
      <c r="B69" t="s">
        <v>184</v>
      </c>
      <c r="C69" t="s">
        <v>81</v>
      </c>
      <c r="D69" t="s">
        <v>346</v>
      </c>
      <c r="E69" t="s">
        <v>393</v>
      </c>
      <c r="F69" t="s">
        <v>26</v>
      </c>
      <c r="G69" t="s">
        <v>176</v>
      </c>
      <c r="H69">
        <v>0.69999999999999929</v>
      </c>
      <c r="I69">
        <v>1.5360710456026814</v>
      </c>
      <c r="K69">
        <v>0.61289234719546914</v>
      </c>
    </row>
    <row r="70" spans="1:19" x14ac:dyDescent="0.15">
      <c r="A70" t="s">
        <v>195</v>
      </c>
      <c r="B70" t="s">
        <v>184</v>
      </c>
      <c r="C70" t="s">
        <v>81</v>
      </c>
      <c r="D70" t="s">
        <v>346</v>
      </c>
      <c r="E70" t="s">
        <v>393</v>
      </c>
      <c r="F70" t="s">
        <v>26</v>
      </c>
      <c r="G70" t="s">
        <v>21</v>
      </c>
      <c r="H70">
        <v>0.8</v>
      </c>
      <c r="I70">
        <v>1.6295636636636637</v>
      </c>
      <c r="K70">
        <v>0.54753339099099108</v>
      </c>
    </row>
    <row r="71" spans="1:19" x14ac:dyDescent="0.15">
      <c r="A71" t="s">
        <v>195</v>
      </c>
      <c r="B71" t="s">
        <v>186</v>
      </c>
      <c r="C71" t="s">
        <v>81</v>
      </c>
      <c r="D71" t="s">
        <v>346</v>
      </c>
      <c r="E71" t="s">
        <v>394</v>
      </c>
      <c r="F71" t="s">
        <v>27</v>
      </c>
      <c r="G71" t="s">
        <v>177</v>
      </c>
      <c r="H71">
        <v>7.5</v>
      </c>
      <c r="I71">
        <v>1.1868453473460472</v>
      </c>
      <c r="K71">
        <v>16.467479194426403</v>
      </c>
      <c r="M71">
        <v>16.467479194426403</v>
      </c>
      <c r="N71">
        <v>21.250576547528496</v>
      </c>
      <c r="O71" s="164"/>
      <c r="S71">
        <f>SUM(M71:P71)</f>
        <v>37.718055741954899</v>
      </c>
    </row>
    <row r="72" spans="1:19" x14ac:dyDescent="0.15">
      <c r="A72" t="s">
        <v>194</v>
      </c>
      <c r="B72" t="s">
        <v>186</v>
      </c>
      <c r="C72" t="s">
        <v>81</v>
      </c>
      <c r="D72" t="s">
        <v>346</v>
      </c>
      <c r="E72" t="s">
        <v>394</v>
      </c>
      <c r="F72" t="s">
        <v>27</v>
      </c>
      <c r="G72" t="s">
        <v>175</v>
      </c>
      <c r="H72">
        <v>17.5</v>
      </c>
      <c r="I72">
        <v>1.2649152706862201</v>
      </c>
      <c r="K72">
        <v>21.250576547528496</v>
      </c>
    </row>
    <row r="73" spans="1:19" x14ac:dyDescent="0.15">
      <c r="A73" t="s">
        <v>195</v>
      </c>
      <c r="B73" t="s">
        <v>186</v>
      </c>
      <c r="C73" t="s">
        <v>81</v>
      </c>
      <c r="D73" t="s">
        <v>346</v>
      </c>
      <c r="E73" t="s">
        <v>394</v>
      </c>
      <c r="F73" t="s">
        <v>27</v>
      </c>
      <c r="G73" t="s">
        <v>176</v>
      </c>
      <c r="H73">
        <v>0.19999999999999929</v>
      </c>
      <c r="I73">
        <v>1.4346562288068512</v>
      </c>
      <c r="K73">
        <v>0.17502805991443521</v>
      </c>
    </row>
    <row r="74" spans="1:19" x14ac:dyDescent="0.15">
      <c r="A74" t="s">
        <v>195</v>
      </c>
      <c r="B74" t="s">
        <v>196</v>
      </c>
      <c r="C74" t="s">
        <v>97</v>
      </c>
      <c r="D74" t="s">
        <v>346</v>
      </c>
      <c r="E74" t="s">
        <v>70</v>
      </c>
      <c r="F74" t="s">
        <v>70</v>
      </c>
      <c r="G74" t="s">
        <v>177</v>
      </c>
      <c r="H74">
        <v>7.5</v>
      </c>
      <c r="I74">
        <v>1.1868453473460472</v>
      </c>
      <c r="K74">
        <v>11.571742136623961</v>
      </c>
      <c r="M74" s="164">
        <v>11.571742136623961</v>
      </c>
      <c r="N74">
        <v>15.479167704266406</v>
      </c>
      <c r="O74">
        <v>11.764181076216179</v>
      </c>
      <c r="P74" s="164">
        <v>7.33</v>
      </c>
      <c r="Q74">
        <f>M74+N74</f>
        <v>27.050909840890366</v>
      </c>
      <c r="R74">
        <f>O74+P74</f>
        <v>19.094181076216181</v>
      </c>
      <c r="S74">
        <f>Q74+R74</f>
        <v>46.145090917106543</v>
      </c>
    </row>
    <row r="75" spans="1:19" x14ac:dyDescent="0.15">
      <c r="A75" t="s">
        <v>195</v>
      </c>
      <c r="B75" t="s">
        <v>196</v>
      </c>
      <c r="C75" t="s">
        <v>97</v>
      </c>
      <c r="D75" t="s">
        <v>346</v>
      </c>
      <c r="E75" t="s">
        <v>70</v>
      </c>
      <c r="F75" t="s">
        <v>70</v>
      </c>
      <c r="G75" t="s">
        <v>175</v>
      </c>
      <c r="H75">
        <v>17.5</v>
      </c>
      <c r="I75">
        <v>1.2636055268788904</v>
      </c>
      <c r="K75">
        <v>15.479167704266406</v>
      </c>
    </row>
    <row r="76" spans="1:19" x14ac:dyDescent="0.15">
      <c r="A76" t="s">
        <v>195</v>
      </c>
      <c r="B76" t="s">
        <v>196</v>
      </c>
      <c r="C76" t="s">
        <v>97</v>
      </c>
      <c r="D76" t="s">
        <v>346</v>
      </c>
      <c r="E76" t="s">
        <v>70</v>
      </c>
      <c r="F76" t="s">
        <v>70</v>
      </c>
      <c r="G76" t="s">
        <v>176</v>
      </c>
      <c r="H76">
        <v>20</v>
      </c>
      <c r="I76">
        <v>1.4346562288068512</v>
      </c>
      <c r="K76">
        <v>11.764181076216179</v>
      </c>
    </row>
    <row r="77" spans="1:19" x14ac:dyDescent="0.15">
      <c r="A77" t="s">
        <v>195</v>
      </c>
      <c r="B77" t="s">
        <v>197</v>
      </c>
      <c r="C77" t="s">
        <v>97</v>
      </c>
      <c r="D77" t="s">
        <v>346</v>
      </c>
      <c r="E77" t="s">
        <v>70</v>
      </c>
      <c r="F77" t="s">
        <v>70</v>
      </c>
      <c r="G77" t="s">
        <v>21</v>
      </c>
      <c r="H77">
        <v>5.5</v>
      </c>
      <c r="I77">
        <v>1.6295636636636637</v>
      </c>
      <c r="K77">
        <v>2.688780045045045</v>
      </c>
    </row>
    <row r="78" spans="1:19" x14ac:dyDescent="0.15">
      <c r="A78" t="s">
        <v>195</v>
      </c>
      <c r="B78" t="s">
        <v>198</v>
      </c>
      <c r="C78" t="s">
        <v>97</v>
      </c>
      <c r="D78" t="s">
        <v>346</v>
      </c>
      <c r="E78" t="s">
        <v>70</v>
      </c>
      <c r="F78" t="s">
        <v>70</v>
      </c>
      <c r="G78" t="s">
        <v>174</v>
      </c>
      <c r="H78">
        <v>7.5</v>
      </c>
      <c r="I78">
        <v>1.1749549898508045</v>
      </c>
      <c r="K78">
        <v>9.7815002905079478</v>
      </c>
      <c r="M78">
        <v>9.7815002905079478</v>
      </c>
      <c r="N78">
        <v>15.521413274032264</v>
      </c>
      <c r="O78">
        <v>12.578909025971555</v>
      </c>
      <c r="P78" s="164">
        <v>8.8000000000000007</v>
      </c>
      <c r="Q78">
        <f>M78+N78</f>
        <v>25.302913564540212</v>
      </c>
      <c r="R78">
        <f>O78+P78</f>
        <v>21.378909025971556</v>
      </c>
      <c r="S78">
        <f>Q78+R78</f>
        <v>46.681822590511771</v>
      </c>
    </row>
    <row r="79" spans="1:19" x14ac:dyDescent="0.15">
      <c r="A79" t="s">
        <v>194</v>
      </c>
      <c r="B79" t="s">
        <v>199</v>
      </c>
      <c r="C79" t="s">
        <v>97</v>
      </c>
      <c r="D79" t="s">
        <v>346</v>
      </c>
      <c r="E79" t="s">
        <v>70</v>
      </c>
      <c r="F79" t="s">
        <v>70</v>
      </c>
      <c r="G79" t="s">
        <v>175</v>
      </c>
      <c r="H79">
        <v>17.5</v>
      </c>
      <c r="I79">
        <v>1.2149834265387291</v>
      </c>
      <c r="K79">
        <v>15.521413274032264</v>
      </c>
    </row>
    <row r="80" spans="1:19" x14ac:dyDescent="0.15">
      <c r="A80" t="s">
        <v>195</v>
      </c>
      <c r="B80" t="s">
        <v>199</v>
      </c>
      <c r="C80" t="s">
        <v>97</v>
      </c>
      <c r="D80" t="s">
        <v>346</v>
      </c>
      <c r="E80" t="s">
        <v>70</v>
      </c>
      <c r="F80" t="s">
        <v>70</v>
      </c>
      <c r="G80" t="s">
        <v>176</v>
      </c>
      <c r="H80">
        <v>20</v>
      </c>
      <c r="I80">
        <v>1.4294214802240401</v>
      </c>
      <c r="K80">
        <v>12.578909025971555</v>
      </c>
    </row>
    <row r="81" spans="1:19" x14ac:dyDescent="0.15">
      <c r="A81" t="s">
        <v>195</v>
      </c>
      <c r="B81" t="s">
        <v>198</v>
      </c>
      <c r="C81" t="s">
        <v>97</v>
      </c>
      <c r="D81" t="s">
        <v>346</v>
      </c>
      <c r="E81" t="s">
        <v>70</v>
      </c>
      <c r="F81" t="s">
        <v>70</v>
      </c>
      <c r="G81" t="s">
        <v>21</v>
      </c>
      <c r="H81">
        <v>7.7000000000000028</v>
      </c>
      <c r="I81">
        <v>1.6295636636636637</v>
      </c>
      <c r="K81">
        <v>4.5171504756756775</v>
      </c>
    </row>
    <row r="82" spans="1:19" x14ac:dyDescent="0.15">
      <c r="A82" t="s">
        <v>195</v>
      </c>
      <c r="B82" t="s">
        <v>200</v>
      </c>
      <c r="C82" t="s">
        <v>97</v>
      </c>
      <c r="D82" t="s">
        <v>346</v>
      </c>
      <c r="E82" t="s">
        <v>70</v>
      </c>
      <c r="F82" t="s">
        <v>70</v>
      </c>
      <c r="G82" t="s">
        <v>177</v>
      </c>
      <c r="H82">
        <v>7.5</v>
      </c>
      <c r="I82">
        <v>1.0287244783391845</v>
      </c>
      <c r="K82">
        <v>8.795594289800027</v>
      </c>
      <c r="M82">
        <v>8.795594289800027</v>
      </c>
      <c r="N82">
        <v>12.68209483727545</v>
      </c>
      <c r="O82">
        <v>11.193354794392665</v>
      </c>
      <c r="P82" s="164">
        <v>9.0399999999999991</v>
      </c>
      <c r="Q82">
        <f>M82+N82</f>
        <v>21.477689127075479</v>
      </c>
      <c r="R82">
        <f>O82+P82</f>
        <v>20.233354794392664</v>
      </c>
      <c r="S82">
        <f>Q82+R82</f>
        <v>41.711043921468146</v>
      </c>
    </row>
    <row r="83" spans="1:19" x14ac:dyDescent="0.15">
      <c r="A83" t="s">
        <v>195</v>
      </c>
      <c r="B83" t="s">
        <v>200</v>
      </c>
      <c r="C83" t="s">
        <v>97</v>
      </c>
      <c r="D83" t="s">
        <v>346</v>
      </c>
      <c r="E83" t="s">
        <v>70</v>
      </c>
      <c r="F83" t="s">
        <v>70</v>
      </c>
      <c r="G83" t="s">
        <v>175</v>
      </c>
      <c r="H83">
        <v>17.5</v>
      </c>
      <c r="I83">
        <v>1.081628557550145</v>
      </c>
      <c r="K83">
        <v>12.68209483727545</v>
      </c>
    </row>
    <row r="84" spans="1:19" x14ac:dyDescent="0.15">
      <c r="A84" t="s">
        <v>195</v>
      </c>
      <c r="B84" t="s">
        <v>200</v>
      </c>
      <c r="C84" t="s">
        <v>97</v>
      </c>
      <c r="D84" t="s">
        <v>346</v>
      </c>
      <c r="E84" t="s">
        <v>70</v>
      </c>
      <c r="F84" t="s">
        <v>70</v>
      </c>
      <c r="G84" t="s">
        <v>176</v>
      </c>
      <c r="H84">
        <v>20</v>
      </c>
      <c r="I84">
        <v>1.3650432676088615</v>
      </c>
      <c r="K84">
        <v>11.193354794392665</v>
      </c>
    </row>
    <row r="85" spans="1:19" x14ac:dyDescent="0.15">
      <c r="A85" t="s">
        <v>195</v>
      </c>
      <c r="B85" t="s">
        <v>200</v>
      </c>
      <c r="C85" t="s">
        <v>97</v>
      </c>
      <c r="D85" t="s">
        <v>346</v>
      </c>
      <c r="E85" t="s">
        <v>70</v>
      </c>
      <c r="F85" t="s">
        <v>70</v>
      </c>
      <c r="G85" t="s">
        <v>21</v>
      </c>
      <c r="H85">
        <v>7.5</v>
      </c>
      <c r="I85">
        <v>1.6295636636636637</v>
      </c>
      <c r="K85">
        <v>4.5220391666666666</v>
      </c>
    </row>
    <row r="86" spans="1:19" x14ac:dyDescent="0.15">
      <c r="A86" t="s">
        <v>195</v>
      </c>
      <c r="B86" t="s">
        <v>98</v>
      </c>
      <c r="C86" t="s">
        <v>98</v>
      </c>
      <c r="D86" t="s">
        <v>350</v>
      </c>
      <c r="E86" t="s">
        <v>393</v>
      </c>
      <c r="G86" t="s">
        <v>177</v>
      </c>
      <c r="H86">
        <v>7.5</v>
      </c>
      <c r="I86">
        <v>1.1950031287168588</v>
      </c>
      <c r="K86">
        <v>23.392186244632509</v>
      </c>
      <c r="M86">
        <v>23.392186244632509</v>
      </c>
      <c r="N86">
        <v>28.704273609013295</v>
      </c>
      <c r="O86">
        <v>16.683673376631795</v>
      </c>
      <c r="P86" s="164">
        <v>11</v>
      </c>
      <c r="Q86">
        <f>M86+N86</f>
        <v>52.096459853645804</v>
      </c>
      <c r="R86">
        <f>O86+P86</f>
        <v>27.683673376631795</v>
      </c>
      <c r="S86">
        <f>Q86+R86</f>
        <v>79.780133230277599</v>
      </c>
    </row>
    <row r="87" spans="1:19" x14ac:dyDescent="0.15">
      <c r="A87" t="s">
        <v>195</v>
      </c>
      <c r="B87" t="s">
        <v>98</v>
      </c>
      <c r="C87" t="s">
        <v>98</v>
      </c>
      <c r="D87" t="s">
        <v>350</v>
      </c>
      <c r="E87" t="s">
        <v>393</v>
      </c>
      <c r="G87" t="s">
        <v>175</v>
      </c>
      <c r="H87">
        <v>17.5</v>
      </c>
      <c r="I87">
        <v>1.2332663204731813</v>
      </c>
      <c r="K87">
        <v>28.704273609013295</v>
      </c>
    </row>
    <row r="88" spans="1:19" x14ac:dyDescent="0.15">
      <c r="A88" t="s">
        <v>195</v>
      </c>
      <c r="B88" t="s">
        <v>98</v>
      </c>
      <c r="C88" t="s">
        <v>98</v>
      </c>
      <c r="D88" t="s">
        <v>350</v>
      </c>
      <c r="E88" t="s">
        <v>393</v>
      </c>
      <c r="G88" t="s">
        <v>176</v>
      </c>
      <c r="H88">
        <v>20</v>
      </c>
      <c r="I88">
        <v>1.4382477048820514</v>
      </c>
      <c r="K88">
        <v>16.683673376631795</v>
      </c>
    </row>
    <row r="89" spans="1:19" x14ac:dyDescent="0.15">
      <c r="A89" t="s">
        <v>195</v>
      </c>
      <c r="B89" t="s">
        <v>98</v>
      </c>
      <c r="C89" t="s">
        <v>98</v>
      </c>
      <c r="D89" t="s">
        <v>350</v>
      </c>
      <c r="E89" t="s">
        <v>393</v>
      </c>
      <c r="G89" t="s">
        <v>21</v>
      </c>
      <c r="H89">
        <v>7.7999999999999972</v>
      </c>
      <c r="I89">
        <v>1.6295636636636637</v>
      </c>
      <c r="K89">
        <v>5.7197684594594582</v>
      </c>
    </row>
    <row r="90" spans="1:19" x14ac:dyDescent="0.15">
      <c r="A90" t="s">
        <v>195</v>
      </c>
      <c r="B90" t="s">
        <v>201</v>
      </c>
      <c r="C90" t="s">
        <v>178</v>
      </c>
      <c r="D90" t="s">
        <v>348</v>
      </c>
      <c r="E90" t="s">
        <v>400</v>
      </c>
      <c r="F90" t="s">
        <v>400</v>
      </c>
      <c r="G90" t="s">
        <v>177</v>
      </c>
      <c r="H90">
        <v>7.5</v>
      </c>
      <c r="I90">
        <v>1.2446247976602309</v>
      </c>
      <c r="K90">
        <v>15.215538151396322</v>
      </c>
      <c r="M90">
        <v>15.215538151396322</v>
      </c>
      <c r="N90">
        <v>32.666154978768759</v>
      </c>
      <c r="O90">
        <v>18.397180905463873</v>
      </c>
      <c r="P90" s="164"/>
      <c r="Q90">
        <f>M90+N90</f>
        <v>47.881693130165083</v>
      </c>
      <c r="R90">
        <f>O90+P90</f>
        <v>18.397180905463873</v>
      </c>
      <c r="S90">
        <f>Q90+R90</f>
        <v>66.278874035628959</v>
      </c>
    </row>
    <row r="91" spans="1:19" x14ac:dyDescent="0.15">
      <c r="A91" t="s">
        <v>195</v>
      </c>
      <c r="B91" t="s">
        <v>202</v>
      </c>
      <c r="C91" t="s">
        <v>178</v>
      </c>
      <c r="D91" t="s">
        <v>348</v>
      </c>
      <c r="E91" t="s">
        <v>400</v>
      </c>
      <c r="F91" t="s">
        <v>400</v>
      </c>
      <c r="G91" t="s">
        <v>188</v>
      </c>
      <c r="H91">
        <v>17.5</v>
      </c>
      <c r="I91">
        <v>1.278518785861791</v>
      </c>
      <c r="K91">
        <v>32.666154978768759</v>
      </c>
    </row>
    <row r="92" spans="1:19" x14ac:dyDescent="0.15">
      <c r="A92" t="s">
        <v>195</v>
      </c>
      <c r="B92" t="s">
        <v>201</v>
      </c>
      <c r="C92" t="s">
        <v>178</v>
      </c>
      <c r="D92" t="s">
        <v>348</v>
      </c>
      <c r="E92" t="s">
        <v>400</v>
      </c>
      <c r="F92" t="s">
        <v>400</v>
      </c>
      <c r="G92" t="s">
        <v>176</v>
      </c>
      <c r="H92">
        <v>20</v>
      </c>
      <c r="I92">
        <v>1.460093722655863</v>
      </c>
      <c r="K92">
        <v>18.397180905463873</v>
      </c>
    </row>
    <row r="93" spans="1:19" x14ac:dyDescent="0.15">
      <c r="A93" t="s">
        <v>195</v>
      </c>
      <c r="B93" t="s">
        <v>201</v>
      </c>
      <c r="C93" t="s">
        <v>178</v>
      </c>
      <c r="D93" t="s">
        <v>348</v>
      </c>
      <c r="E93" t="s">
        <v>400</v>
      </c>
      <c r="F93" t="s">
        <v>400</v>
      </c>
      <c r="G93" t="s">
        <v>21</v>
      </c>
      <c r="H93">
        <v>3.3999999999999986</v>
      </c>
      <c r="I93">
        <v>1.6295636636636637</v>
      </c>
      <c r="K93">
        <v>3.3243098738738723</v>
      </c>
    </row>
    <row r="100" spans="2:16" x14ac:dyDescent="0.15">
      <c r="G100">
        <v>11</v>
      </c>
      <c r="J100">
        <v>59874.1</v>
      </c>
    </row>
    <row r="102" spans="2:16" x14ac:dyDescent="0.15">
      <c r="G102">
        <f>EXP(G100)</f>
        <v>59874.141715197817</v>
      </c>
    </row>
    <row r="105" spans="2:16" x14ac:dyDescent="0.15">
      <c r="G105">
        <v>23.392199999999999</v>
      </c>
      <c r="I105">
        <f>LN(G105)</f>
        <v>3.152402633462418</v>
      </c>
      <c r="J105" t="s">
        <v>615</v>
      </c>
    </row>
    <row r="107" spans="2:16" x14ac:dyDescent="0.15">
      <c r="J107">
        <f>2.71828^(I105)</f>
        <v>23.3921503975428</v>
      </c>
    </row>
    <row r="110" spans="2:16" x14ac:dyDescent="0.15">
      <c r="B110" t="s">
        <v>637</v>
      </c>
      <c r="K110" t="s">
        <v>637</v>
      </c>
    </row>
    <row r="111" spans="2:16" x14ac:dyDescent="0.15">
      <c r="D111" t="s">
        <v>645</v>
      </c>
      <c r="M111" t="s">
        <v>645</v>
      </c>
    </row>
    <row r="112" spans="2:16" x14ac:dyDescent="0.15">
      <c r="B112" t="s">
        <v>638</v>
      </c>
      <c r="C112" t="s">
        <v>639</v>
      </c>
      <c r="D112" t="s">
        <v>640</v>
      </c>
      <c r="E112" t="s">
        <v>641</v>
      </c>
      <c r="G112" t="s">
        <v>640</v>
      </c>
      <c r="K112" t="s">
        <v>638</v>
      </c>
      <c r="L112" t="s">
        <v>639</v>
      </c>
      <c r="M112" t="s">
        <v>640</v>
      </c>
      <c r="N112" t="s">
        <v>641</v>
      </c>
      <c r="P112" t="s">
        <v>640</v>
      </c>
    </row>
    <row r="113" spans="2:16" x14ac:dyDescent="0.15">
      <c r="B113" t="s">
        <v>642</v>
      </c>
      <c r="C113">
        <v>4</v>
      </c>
      <c r="D113">
        <v>3.3756400000000002</v>
      </c>
      <c r="E113" t="s">
        <v>348</v>
      </c>
      <c r="F113" t="s">
        <v>282</v>
      </c>
      <c r="G113">
        <f>2.71828^(D113)</f>
        <v>29.242926909222739</v>
      </c>
      <c r="K113" t="s">
        <v>98</v>
      </c>
      <c r="L113">
        <v>8</v>
      </c>
      <c r="M113">
        <v>3.2877200000000002</v>
      </c>
      <c r="N113" t="s">
        <v>348</v>
      </c>
      <c r="O113" t="s">
        <v>282</v>
      </c>
      <c r="P113" s="73">
        <f>2.71828^(M113)</f>
        <v>26.781672416171538</v>
      </c>
    </row>
    <row r="114" spans="2:16" x14ac:dyDescent="0.15">
      <c r="B114" t="s">
        <v>81</v>
      </c>
      <c r="C114">
        <v>11</v>
      </c>
      <c r="D114">
        <v>3.3356499999999998</v>
      </c>
      <c r="E114" t="s">
        <v>348</v>
      </c>
      <c r="F114" t="s">
        <v>282</v>
      </c>
      <c r="G114">
        <f>2.71828^(D114)</f>
        <v>28.096577064423304</v>
      </c>
      <c r="K114" t="s">
        <v>81</v>
      </c>
      <c r="L114">
        <v>19</v>
      </c>
      <c r="M114">
        <v>3.1476299999999999</v>
      </c>
      <c r="N114" t="s">
        <v>348</v>
      </c>
      <c r="O114" t="s">
        <v>282</v>
      </c>
      <c r="P114" s="73">
        <f t="shared" ref="P114:P149" si="0">2.71828^(M114)</f>
        <v>23.28077430276393</v>
      </c>
    </row>
    <row r="115" spans="2:16" x14ac:dyDescent="0.15">
      <c r="B115" t="s">
        <v>178</v>
      </c>
      <c r="C115">
        <v>10</v>
      </c>
      <c r="D115">
        <v>2.95621</v>
      </c>
      <c r="E115" t="s">
        <v>348</v>
      </c>
      <c r="F115" t="s">
        <v>643</v>
      </c>
      <c r="G115">
        <f>2.71828^(D115)</f>
        <v>19.224932637748193</v>
      </c>
      <c r="K115" t="s">
        <v>409</v>
      </c>
      <c r="L115">
        <v>13</v>
      </c>
      <c r="M115">
        <v>3.0464899999999999</v>
      </c>
      <c r="N115" t="s">
        <v>348</v>
      </c>
      <c r="O115" t="s">
        <v>643</v>
      </c>
      <c r="P115" s="73">
        <f t="shared" si="0"/>
        <v>21.041316364608345</v>
      </c>
    </row>
    <row r="116" spans="2:16" x14ac:dyDescent="0.15">
      <c r="B116" t="s">
        <v>97</v>
      </c>
      <c r="C116">
        <v>8</v>
      </c>
      <c r="D116">
        <v>2.8968699999999998</v>
      </c>
      <c r="E116" t="s">
        <v>282</v>
      </c>
      <c r="F116" t="s">
        <v>643</v>
      </c>
      <c r="G116">
        <f>2.71828^(D116)</f>
        <v>18.117313923563366</v>
      </c>
      <c r="K116" t="s">
        <v>178</v>
      </c>
      <c r="L116">
        <v>14</v>
      </c>
      <c r="M116">
        <v>2.9019900000000001</v>
      </c>
      <c r="N116" t="s">
        <v>348</v>
      </c>
      <c r="O116" t="s">
        <v>643</v>
      </c>
      <c r="P116" s="73">
        <f t="shared" si="0"/>
        <v>18.210312381189823</v>
      </c>
    </row>
    <row r="117" spans="2:16" x14ac:dyDescent="0.15">
      <c r="B117" t="s">
        <v>644</v>
      </c>
      <c r="K117" t="s">
        <v>97</v>
      </c>
      <c r="L117">
        <v>10</v>
      </c>
      <c r="M117">
        <v>2.7561800000000001</v>
      </c>
      <c r="N117" t="s">
        <v>282</v>
      </c>
      <c r="O117" t="s">
        <v>643</v>
      </c>
      <c r="P117" s="73">
        <f t="shared" si="0"/>
        <v>15.73957349992356</v>
      </c>
    </row>
    <row r="118" spans="2:16" x14ac:dyDescent="0.15">
      <c r="K118" t="s">
        <v>644</v>
      </c>
      <c r="P118" s="73"/>
    </row>
    <row r="119" spans="2:16" x14ac:dyDescent="0.15">
      <c r="B119" t="s">
        <v>637</v>
      </c>
      <c r="P119" s="73"/>
    </row>
    <row r="120" spans="2:16" x14ac:dyDescent="0.15">
      <c r="K120" t="s">
        <v>637</v>
      </c>
      <c r="P120" s="73"/>
    </row>
    <row r="121" spans="2:16" x14ac:dyDescent="0.15">
      <c r="B121" t="s">
        <v>638</v>
      </c>
      <c r="C121" t="s">
        <v>639</v>
      </c>
      <c r="D121" t="s">
        <v>640</v>
      </c>
      <c r="E121" t="s">
        <v>641</v>
      </c>
      <c r="G121" t="s">
        <v>640</v>
      </c>
      <c r="P121" s="73"/>
    </row>
    <row r="122" spans="2:16" x14ac:dyDescent="0.15">
      <c r="B122" t="s">
        <v>81</v>
      </c>
      <c r="C122">
        <v>11</v>
      </c>
      <c r="D122">
        <v>3.9353500000000001</v>
      </c>
      <c r="E122" t="s">
        <v>348</v>
      </c>
      <c r="F122" t="s">
        <v>282</v>
      </c>
      <c r="G122">
        <f>2.71828^(D122)</f>
        <v>51.179924363410557</v>
      </c>
      <c r="K122" t="s">
        <v>638</v>
      </c>
      <c r="L122" t="s">
        <v>639</v>
      </c>
      <c r="M122" t="s">
        <v>640</v>
      </c>
      <c r="N122" t="s">
        <v>641</v>
      </c>
      <c r="P122" s="73" t="s">
        <v>640</v>
      </c>
    </row>
    <row r="123" spans="2:16" x14ac:dyDescent="0.15">
      <c r="B123" t="s">
        <v>642</v>
      </c>
      <c r="C123">
        <v>4</v>
      </c>
      <c r="D123">
        <v>3.8823099999999999</v>
      </c>
      <c r="E123" t="s">
        <v>348</v>
      </c>
      <c r="F123" t="s">
        <v>282</v>
      </c>
      <c r="G123">
        <f>2.71828^(D123)</f>
        <v>48.536077556397899</v>
      </c>
      <c r="K123" t="s">
        <v>178</v>
      </c>
      <c r="L123">
        <v>14</v>
      </c>
      <c r="M123">
        <v>3.6859999999999999</v>
      </c>
      <c r="N123" t="s">
        <v>348</v>
      </c>
      <c r="P123" s="73">
        <f t="shared" si="0"/>
        <v>39.884888610882598</v>
      </c>
    </row>
    <row r="124" spans="2:16" x14ac:dyDescent="0.15">
      <c r="B124" t="s">
        <v>178</v>
      </c>
      <c r="C124">
        <v>10</v>
      </c>
      <c r="D124">
        <v>3.7043300000000001</v>
      </c>
      <c r="E124" t="s">
        <v>348</v>
      </c>
      <c r="F124" t="s">
        <v>643</v>
      </c>
      <c r="G124">
        <f>2.71828^(D124)</f>
        <v>40.622719686162583</v>
      </c>
      <c r="K124" t="s">
        <v>642</v>
      </c>
      <c r="L124">
        <v>8</v>
      </c>
      <c r="M124">
        <v>3.6483699999999999</v>
      </c>
      <c r="N124" t="s">
        <v>348</v>
      </c>
      <c r="P124" s="73">
        <f t="shared" si="0"/>
        <v>38.411909161038906</v>
      </c>
    </row>
    <row r="125" spans="2:16" x14ac:dyDescent="0.15">
      <c r="B125" t="s">
        <v>97</v>
      </c>
      <c r="C125">
        <v>8</v>
      </c>
      <c r="D125">
        <v>3.4560499999999998</v>
      </c>
      <c r="E125" t="s">
        <v>282</v>
      </c>
      <c r="F125" t="s">
        <v>643</v>
      </c>
      <c r="G125">
        <f>2.71828^(D125)</f>
        <v>31.691473669199045</v>
      </c>
      <c r="K125" t="s">
        <v>81</v>
      </c>
      <c r="L125">
        <v>19</v>
      </c>
      <c r="M125">
        <v>3.6127500000000001</v>
      </c>
      <c r="N125" t="s">
        <v>348</v>
      </c>
      <c r="P125" s="73">
        <f t="shared" si="0"/>
        <v>37.06775928672932</v>
      </c>
    </row>
    <row r="126" spans="2:16" x14ac:dyDescent="0.15">
      <c r="B126" t="s">
        <v>644</v>
      </c>
      <c r="K126" t="s">
        <v>409</v>
      </c>
      <c r="L126">
        <v>13</v>
      </c>
      <c r="M126">
        <v>3.5512899999999998</v>
      </c>
      <c r="N126" t="s">
        <v>348</v>
      </c>
      <c r="P126" s="73">
        <f t="shared" si="0"/>
        <v>34.858172377267159</v>
      </c>
    </row>
    <row r="127" spans="2:16" x14ac:dyDescent="0.15">
      <c r="K127" t="s">
        <v>97</v>
      </c>
      <c r="L127">
        <v>10</v>
      </c>
      <c r="M127">
        <v>3.2873399999999999</v>
      </c>
      <c r="N127" t="s">
        <v>348</v>
      </c>
      <c r="P127" s="73">
        <f t="shared" si="0"/>
        <v>26.771497320888241</v>
      </c>
    </row>
    <row r="128" spans="2:16" x14ac:dyDescent="0.15">
      <c r="B128" t="s">
        <v>637</v>
      </c>
      <c r="K128" t="s">
        <v>644</v>
      </c>
      <c r="P128" s="73"/>
    </row>
    <row r="129" spans="2:16" x14ac:dyDescent="0.15">
      <c r="P129" s="73"/>
    </row>
    <row r="130" spans="2:16" x14ac:dyDescent="0.15">
      <c r="B130" t="s">
        <v>638</v>
      </c>
      <c r="C130" t="s">
        <v>639</v>
      </c>
      <c r="D130" t="s">
        <v>640</v>
      </c>
      <c r="E130" t="s">
        <v>641</v>
      </c>
      <c r="G130" t="s">
        <v>640</v>
      </c>
      <c r="K130" t="s">
        <v>646</v>
      </c>
      <c r="P130" s="73"/>
    </row>
    <row r="131" spans="2:16" x14ac:dyDescent="0.15">
      <c r="B131" t="s">
        <v>81</v>
      </c>
      <c r="C131">
        <v>11</v>
      </c>
      <c r="D131">
        <v>3.8446199999999999</v>
      </c>
      <c r="E131" t="s">
        <v>348</v>
      </c>
      <c r="F131" t="s">
        <v>282</v>
      </c>
      <c r="G131">
        <f>2.71828^(D131)</f>
        <v>46.740798550148945</v>
      </c>
      <c r="K131" t="s">
        <v>637</v>
      </c>
      <c r="P131" s="73"/>
    </row>
    <row r="132" spans="2:16" x14ac:dyDescent="0.15">
      <c r="B132" t="s">
        <v>178</v>
      </c>
      <c r="C132">
        <v>10</v>
      </c>
      <c r="D132">
        <v>3.6709800000000001</v>
      </c>
      <c r="E132" t="s">
        <v>348</v>
      </c>
      <c r="F132" t="s">
        <v>643</v>
      </c>
      <c r="G132">
        <f>2.71828^(D132)</f>
        <v>39.290294563536662</v>
      </c>
      <c r="P132" s="73"/>
    </row>
    <row r="133" spans="2:16" x14ac:dyDescent="0.15">
      <c r="B133" t="s">
        <v>642</v>
      </c>
      <c r="C133">
        <v>4</v>
      </c>
      <c r="D133">
        <v>3.6556199999999999</v>
      </c>
      <c r="E133" t="s">
        <v>348</v>
      </c>
      <c r="F133" t="s">
        <v>643</v>
      </c>
      <c r="G133">
        <f>2.71828^(D133)</f>
        <v>38.691407270841118</v>
      </c>
      <c r="K133" t="s">
        <v>638</v>
      </c>
      <c r="L133" t="s">
        <v>639</v>
      </c>
      <c r="M133" t="s">
        <v>640</v>
      </c>
      <c r="N133" t="s">
        <v>641</v>
      </c>
      <c r="P133" s="73" t="s">
        <v>640</v>
      </c>
    </row>
    <row r="134" spans="2:16" x14ac:dyDescent="0.15">
      <c r="B134" t="s">
        <v>97</v>
      </c>
      <c r="C134">
        <v>8</v>
      </c>
      <c r="D134">
        <v>3.4338099999999998</v>
      </c>
      <c r="E134" t="s">
        <v>282</v>
      </c>
      <c r="F134" t="s">
        <v>643</v>
      </c>
      <c r="G134">
        <f>2.71828^(D134)</f>
        <v>30.994435557813212</v>
      </c>
      <c r="K134" t="s">
        <v>178</v>
      </c>
      <c r="L134">
        <v>14</v>
      </c>
      <c r="M134">
        <v>3.5628600000000001</v>
      </c>
      <c r="N134" t="s">
        <v>348</v>
      </c>
      <c r="P134" s="73">
        <f t="shared" si="0"/>
        <v>35.263823324349815</v>
      </c>
    </row>
    <row r="135" spans="2:16" x14ac:dyDescent="0.15">
      <c r="B135" t="s">
        <v>644</v>
      </c>
      <c r="K135" t="s">
        <v>409</v>
      </c>
      <c r="L135">
        <v>13</v>
      </c>
      <c r="M135">
        <v>3.55375</v>
      </c>
      <c r="N135" t="s">
        <v>348</v>
      </c>
      <c r="P135" s="73">
        <f t="shared" si="0"/>
        <v>34.944028983892224</v>
      </c>
    </row>
    <row r="136" spans="2:16" x14ac:dyDescent="0.15">
      <c r="K136" t="s">
        <v>81</v>
      </c>
      <c r="L136">
        <v>19</v>
      </c>
      <c r="M136">
        <v>3.4782799999999998</v>
      </c>
      <c r="N136" t="s">
        <v>348</v>
      </c>
      <c r="P136" s="73">
        <f t="shared" si="0"/>
        <v>32.403863526216014</v>
      </c>
    </row>
    <row r="137" spans="2:16" x14ac:dyDescent="0.15">
      <c r="B137" t="s">
        <v>637</v>
      </c>
      <c r="K137" t="s">
        <v>642</v>
      </c>
      <c r="L137">
        <v>8</v>
      </c>
      <c r="M137">
        <v>3.4761000000000002</v>
      </c>
      <c r="N137" t="s">
        <v>348</v>
      </c>
      <c r="P137" s="73">
        <f t="shared" si="0"/>
        <v>32.333300093280947</v>
      </c>
    </row>
    <row r="138" spans="2:16" x14ac:dyDescent="0.15">
      <c r="K138" t="s">
        <v>97</v>
      </c>
      <c r="L138">
        <v>10</v>
      </c>
      <c r="M138">
        <v>3.2753999999999999</v>
      </c>
      <c r="N138" t="s">
        <v>348</v>
      </c>
      <c r="P138" s="73">
        <f t="shared" si="0"/>
        <v>26.453746603358848</v>
      </c>
    </row>
    <row r="139" spans="2:16" x14ac:dyDescent="0.15">
      <c r="B139" t="s">
        <v>638</v>
      </c>
      <c r="C139" t="s">
        <v>639</v>
      </c>
      <c r="D139" t="s">
        <v>640</v>
      </c>
      <c r="E139" t="s">
        <v>641</v>
      </c>
      <c r="G139" t="s">
        <v>640</v>
      </c>
      <c r="K139" t="s">
        <v>644</v>
      </c>
      <c r="P139" s="73"/>
    </row>
    <row r="140" spans="2:16" x14ac:dyDescent="0.15">
      <c r="B140" t="s">
        <v>642</v>
      </c>
      <c r="C140">
        <v>4</v>
      </c>
      <c r="D140">
        <v>3.2183000000000002</v>
      </c>
      <c r="E140" t="s">
        <v>348</v>
      </c>
      <c r="G140" s="89">
        <f>2.71828^(D140)</f>
        <v>24.98555443343518</v>
      </c>
      <c r="P140" s="73"/>
    </row>
    <row r="141" spans="2:16" x14ac:dyDescent="0.15">
      <c r="B141" t="s">
        <v>178</v>
      </c>
      <c r="C141">
        <v>9</v>
      </c>
      <c r="D141">
        <v>3.1231499999999999</v>
      </c>
      <c r="E141" t="s">
        <v>348</v>
      </c>
      <c r="G141" s="89">
        <f t="shared" ref="G141:G154" si="1">2.71828^(D141)</f>
        <v>22.71778048601001</v>
      </c>
      <c r="K141" t="s">
        <v>646</v>
      </c>
      <c r="P141" s="73"/>
    </row>
    <row r="142" spans="2:16" x14ac:dyDescent="0.15">
      <c r="B142" t="s">
        <v>97</v>
      </c>
      <c r="C142">
        <v>9</v>
      </c>
      <c r="D142">
        <v>3.0709499999999998</v>
      </c>
      <c r="E142" t="s">
        <v>348</v>
      </c>
      <c r="G142" s="89">
        <f t="shared" si="1"/>
        <v>21.56233266541912</v>
      </c>
      <c r="K142" t="s">
        <v>637</v>
      </c>
      <c r="P142" s="73"/>
    </row>
    <row r="143" spans="2:16" x14ac:dyDescent="0.15">
      <c r="B143" t="s">
        <v>81</v>
      </c>
      <c r="C143">
        <v>12</v>
      </c>
      <c r="D143">
        <v>3.0110999999999999</v>
      </c>
      <c r="E143" t="s">
        <v>348</v>
      </c>
      <c r="G143" s="89">
        <f t="shared" si="1"/>
        <v>20.309687207755577</v>
      </c>
      <c r="P143" s="73"/>
    </row>
    <row r="144" spans="2:16" x14ac:dyDescent="0.15">
      <c r="B144" t="s">
        <v>644</v>
      </c>
      <c r="G144" s="89"/>
      <c r="K144" t="s">
        <v>638</v>
      </c>
      <c r="L144" t="s">
        <v>639</v>
      </c>
      <c r="M144" t="s">
        <v>640</v>
      </c>
      <c r="N144" t="s">
        <v>641</v>
      </c>
      <c r="P144" s="73"/>
    </row>
    <row r="145" spans="2:17" x14ac:dyDescent="0.15">
      <c r="G145" s="89"/>
      <c r="K145" t="s">
        <v>642</v>
      </c>
      <c r="L145">
        <v>7</v>
      </c>
      <c r="M145">
        <v>3.0842900000000002</v>
      </c>
      <c r="N145" t="s">
        <v>348</v>
      </c>
      <c r="P145" s="73">
        <f t="shared" si="0"/>
        <v>21.85190111578229</v>
      </c>
    </row>
    <row r="146" spans="2:17" x14ac:dyDescent="0.15">
      <c r="D146">
        <v>5</v>
      </c>
      <c r="G146" s="89">
        <f t="shared" si="1"/>
        <v>148.41265995084171</v>
      </c>
      <c r="K146" t="s">
        <v>97</v>
      </c>
      <c r="L146">
        <v>10</v>
      </c>
      <c r="M146">
        <v>2.9581900000000001</v>
      </c>
      <c r="N146" t="s">
        <v>348</v>
      </c>
      <c r="P146" s="73">
        <f t="shared" si="0"/>
        <v>19.263035688312598</v>
      </c>
    </row>
    <row r="147" spans="2:17" x14ac:dyDescent="0.15">
      <c r="D147">
        <v>4.5</v>
      </c>
      <c r="G147" s="89">
        <f t="shared" si="1"/>
        <v>90.016858824728061</v>
      </c>
      <c r="K147" t="s">
        <v>409</v>
      </c>
      <c r="L147">
        <v>13</v>
      </c>
      <c r="M147">
        <v>2.9325899999999998</v>
      </c>
      <c r="N147" t="s">
        <v>348</v>
      </c>
      <c r="P147" s="73">
        <f t="shared" si="0"/>
        <v>18.776160889166128</v>
      </c>
    </row>
    <row r="148" spans="2:17" x14ac:dyDescent="0.15">
      <c r="D148">
        <v>4</v>
      </c>
      <c r="G148" s="89">
        <f t="shared" si="1"/>
        <v>54.5980031309658</v>
      </c>
      <c r="K148" t="s">
        <v>178</v>
      </c>
      <c r="L148">
        <v>12</v>
      </c>
      <c r="M148">
        <v>2.8826299999999998</v>
      </c>
      <c r="N148" t="s">
        <v>348</v>
      </c>
      <c r="P148" s="73">
        <f t="shared" si="0"/>
        <v>17.861151748928556</v>
      </c>
    </row>
    <row r="149" spans="2:17" x14ac:dyDescent="0.15">
      <c r="D149">
        <v>3.5</v>
      </c>
      <c r="G149" s="89">
        <f t="shared" si="1"/>
        <v>33.115373995588399</v>
      </c>
      <c r="K149" t="s">
        <v>81</v>
      </c>
      <c r="L149">
        <v>19</v>
      </c>
      <c r="M149">
        <v>2.6785800000000002</v>
      </c>
      <c r="N149" t="s">
        <v>348</v>
      </c>
      <c r="P149" s="73">
        <f t="shared" si="0"/>
        <v>14.564370919695039</v>
      </c>
    </row>
    <row r="150" spans="2:17" x14ac:dyDescent="0.15">
      <c r="D150">
        <v>3</v>
      </c>
      <c r="G150" s="89">
        <f t="shared" si="1"/>
        <v>20.085496391455553</v>
      </c>
      <c r="K150" t="s">
        <v>644</v>
      </c>
    </row>
    <row r="151" spans="2:17" x14ac:dyDescent="0.15">
      <c r="D151">
        <v>2.5</v>
      </c>
      <c r="G151" s="89">
        <f t="shared" si="1"/>
        <v>12.182473474251516</v>
      </c>
      <c r="K151" s="75" t="s">
        <v>647</v>
      </c>
      <c r="P151" t="s">
        <v>648</v>
      </c>
      <c r="Q151" t="s">
        <v>604</v>
      </c>
    </row>
    <row r="152" spans="2:17" x14ac:dyDescent="0.15">
      <c r="D152">
        <v>2</v>
      </c>
      <c r="G152" s="89">
        <f t="shared" si="1"/>
        <v>7.3890461584000002</v>
      </c>
      <c r="K152" t="s">
        <v>98</v>
      </c>
      <c r="P152" s="73">
        <f>P113+P124+P137+P145</f>
        <v>119.37878278627366</v>
      </c>
      <c r="Q152">
        <v>1</v>
      </c>
    </row>
    <row r="153" spans="2:17" x14ac:dyDescent="0.15">
      <c r="D153">
        <v>1.5</v>
      </c>
      <c r="G153" s="89">
        <f t="shared" si="1"/>
        <v>4.4816845484098451</v>
      </c>
      <c r="K153" t="s">
        <v>178</v>
      </c>
      <c r="P153" s="73">
        <f>P116+P123+P134+P148</f>
        <v>111.22017606535078</v>
      </c>
      <c r="Q153">
        <f>P153/P152</f>
        <v>0.93165781615038412</v>
      </c>
    </row>
    <row r="154" spans="2:17" x14ac:dyDescent="0.15">
      <c r="D154">
        <v>1</v>
      </c>
      <c r="G154" s="89">
        <f t="shared" si="1"/>
        <v>2.71828</v>
      </c>
      <c r="K154" t="s">
        <v>409</v>
      </c>
      <c r="P154" s="73">
        <f>P115+P126+P135+P147</f>
        <v>109.61967861493386</v>
      </c>
      <c r="Q154">
        <f>P154/P152</f>
        <v>0.91825093250605738</v>
      </c>
    </row>
    <row r="155" spans="2:17" x14ac:dyDescent="0.15">
      <c r="K155" t="s">
        <v>81</v>
      </c>
      <c r="P155" s="73">
        <f>P114+P125+P136+P149</f>
        <v>107.31676803540431</v>
      </c>
      <c r="Q155">
        <f>P155/P152</f>
        <v>0.89896014627269039</v>
      </c>
    </row>
    <row r="156" spans="2:17" x14ac:dyDescent="0.15">
      <c r="B156" s="75" t="s">
        <v>647</v>
      </c>
      <c r="G156" t="s">
        <v>648</v>
      </c>
      <c r="H156" t="s">
        <v>604</v>
      </c>
      <c r="K156" t="s">
        <v>97</v>
      </c>
      <c r="P156" s="73">
        <f>P117+P127+P138+P149</f>
        <v>83.529188343865684</v>
      </c>
      <c r="Q156">
        <f>P156/P152</f>
        <v>0.69969877723924978</v>
      </c>
    </row>
    <row r="157" spans="2:17" x14ac:dyDescent="0.15">
      <c r="B157" t="s">
        <v>81</v>
      </c>
      <c r="G157" s="89">
        <f>G114+G122+G131+G143</f>
        <v>146.3269871857384</v>
      </c>
      <c r="H157">
        <v>1</v>
      </c>
      <c r="P157" s="73"/>
    </row>
    <row r="158" spans="2:17" x14ac:dyDescent="0.15">
      <c r="B158" t="s">
        <v>98</v>
      </c>
      <c r="G158" s="89">
        <f>G113+G123+G133+G140</f>
        <v>141.45596616989693</v>
      </c>
      <c r="H158">
        <f>G158/G157</f>
        <v>0.96671139678657836</v>
      </c>
    </row>
    <row r="159" spans="2:17" x14ac:dyDescent="0.15">
      <c r="B159" t="s">
        <v>178</v>
      </c>
      <c r="G159" s="89">
        <f>G115+G124+G132+G141</f>
        <v>121.85572737345746</v>
      </c>
      <c r="H159">
        <f>G159/G157</f>
        <v>0.83276318139989691</v>
      </c>
    </row>
    <row r="160" spans="2:17" x14ac:dyDescent="0.15">
      <c r="B160" t="s">
        <v>97</v>
      </c>
      <c r="G160" s="89">
        <f>G116+G125+G134+G142</f>
        <v>102.36555581599475</v>
      </c>
      <c r="H160">
        <f>G160/G157</f>
        <v>0.69956716655457596</v>
      </c>
    </row>
    <row r="161" spans="2:2" x14ac:dyDescent="0.15">
      <c r="B161" t="s">
        <v>409</v>
      </c>
    </row>
  </sheetData>
  <autoFilter ref="M1:M9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20"/>
  <sheetViews>
    <sheetView workbookViewId="0">
      <pane xSplit="5" ySplit="1" topLeftCell="F90" activePane="bottomRight" state="frozen"/>
      <selection pane="topRight" activeCell="F1" sqref="F1"/>
      <selection pane="bottomLeft" activeCell="A2" sqref="A2"/>
      <selection pane="bottomRight" activeCell="M115" sqref="M115"/>
    </sheetView>
  </sheetViews>
  <sheetFormatPr defaultRowHeight="10.5" x14ac:dyDescent="0.15"/>
  <cols>
    <col min="2" max="2" width="11.1640625" customWidth="1"/>
    <col min="3" max="3" width="8.83203125" customWidth="1"/>
    <col min="16" max="16" width="11.33203125" customWidth="1"/>
  </cols>
  <sheetData>
    <row r="1" spans="1:17" x14ac:dyDescent="0.15">
      <c r="A1" t="s">
        <v>19</v>
      </c>
      <c r="B1" t="s">
        <v>43</v>
      </c>
      <c r="C1" t="s">
        <v>65</v>
      </c>
      <c r="D1" t="s">
        <v>110</v>
      </c>
      <c r="E1" t="s">
        <v>0</v>
      </c>
      <c r="F1" t="s">
        <v>2</v>
      </c>
      <c r="G1" t="s">
        <v>1</v>
      </c>
      <c r="H1" t="s">
        <v>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106</v>
      </c>
      <c r="P1" t="s">
        <v>616</v>
      </c>
      <c r="Q1" t="s">
        <v>617</v>
      </c>
    </row>
    <row r="2" spans="1:17" hidden="1" x14ac:dyDescent="0.15">
      <c r="A2" t="s">
        <v>22</v>
      </c>
      <c r="B2" t="s">
        <v>44</v>
      </c>
      <c r="C2" t="s">
        <v>179</v>
      </c>
      <c r="D2" t="s">
        <v>83</v>
      </c>
      <c r="E2" t="s">
        <v>177</v>
      </c>
      <c r="F2">
        <v>6</v>
      </c>
      <c r="G2">
        <v>5</v>
      </c>
      <c r="H2">
        <v>989</v>
      </c>
      <c r="I2">
        <v>999</v>
      </c>
      <c r="J2">
        <v>103</v>
      </c>
      <c r="K2">
        <v>110</v>
      </c>
      <c r="L2">
        <v>94</v>
      </c>
      <c r="M2">
        <v>343</v>
      </c>
      <c r="N2">
        <v>349</v>
      </c>
      <c r="O2">
        <v>10.31031031031031</v>
      </c>
      <c r="P2">
        <f>AVERAGE(O2:O3)</f>
        <v>10.46046046046046</v>
      </c>
      <c r="Q2">
        <f>O4</f>
        <v>13.813813813813812</v>
      </c>
    </row>
    <row r="3" spans="1:17" hidden="1" x14ac:dyDescent="0.15">
      <c r="A3" t="s">
        <v>22</v>
      </c>
      <c r="B3" t="s">
        <v>44</v>
      </c>
      <c r="C3" t="s">
        <v>179</v>
      </c>
      <c r="D3" t="s">
        <v>83</v>
      </c>
      <c r="E3" t="s">
        <v>175</v>
      </c>
      <c r="F3">
        <v>6</v>
      </c>
      <c r="G3">
        <v>5</v>
      </c>
      <c r="H3">
        <v>989</v>
      </c>
      <c r="I3">
        <v>999</v>
      </c>
      <c r="J3">
        <v>106</v>
      </c>
      <c r="K3">
        <v>112</v>
      </c>
      <c r="L3">
        <v>96</v>
      </c>
      <c r="M3">
        <v>336</v>
      </c>
      <c r="N3">
        <v>349</v>
      </c>
      <c r="O3">
        <v>10.61061061061061</v>
      </c>
    </row>
    <row r="4" spans="1:17" hidden="1" x14ac:dyDescent="0.15">
      <c r="A4" t="s">
        <v>22</v>
      </c>
      <c r="B4" t="s">
        <v>44</v>
      </c>
      <c r="C4" t="s">
        <v>179</v>
      </c>
      <c r="D4" t="s">
        <v>83</v>
      </c>
      <c r="E4" t="s">
        <v>21</v>
      </c>
      <c r="F4">
        <v>13</v>
      </c>
      <c r="G4">
        <v>18</v>
      </c>
      <c r="H4">
        <v>968</v>
      </c>
      <c r="I4">
        <v>999</v>
      </c>
      <c r="J4">
        <v>138</v>
      </c>
      <c r="K4">
        <v>129</v>
      </c>
      <c r="L4">
        <v>95</v>
      </c>
      <c r="M4">
        <v>305</v>
      </c>
      <c r="N4">
        <v>332</v>
      </c>
      <c r="O4">
        <v>13.813813813813812</v>
      </c>
    </row>
    <row r="5" spans="1:17" hidden="1" x14ac:dyDescent="0.15">
      <c r="A5" t="s">
        <v>23</v>
      </c>
      <c r="B5" t="s">
        <v>45</v>
      </c>
      <c r="C5" t="s">
        <v>179</v>
      </c>
      <c r="D5" t="s">
        <v>83</v>
      </c>
      <c r="E5" t="s">
        <v>177</v>
      </c>
      <c r="F5">
        <v>8</v>
      </c>
      <c r="G5">
        <v>10</v>
      </c>
      <c r="H5">
        <v>982</v>
      </c>
      <c r="I5">
        <v>999</v>
      </c>
      <c r="J5">
        <v>121</v>
      </c>
      <c r="K5">
        <v>123</v>
      </c>
      <c r="L5">
        <v>102</v>
      </c>
      <c r="M5">
        <v>330</v>
      </c>
      <c r="N5">
        <v>323</v>
      </c>
      <c r="O5">
        <v>12.112112112112113</v>
      </c>
      <c r="P5">
        <f>AVERAGE(O5:O6)</f>
        <v>11.661661661661661</v>
      </c>
      <c r="Q5">
        <f>O7</f>
        <v>14.614614614614615</v>
      </c>
    </row>
    <row r="6" spans="1:17" hidden="1" x14ac:dyDescent="0.15">
      <c r="A6" t="s">
        <v>23</v>
      </c>
      <c r="B6" t="s">
        <v>45</v>
      </c>
      <c r="C6" t="s">
        <v>179</v>
      </c>
      <c r="D6" t="s">
        <v>83</v>
      </c>
      <c r="E6" t="s">
        <v>175</v>
      </c>
      <c r="F6">
        <v>9</v>
      </c>
      <c r="G6">
        <v>14</v>
      </c>
      <c r="H6">
        <v>977</v>
      </c>
      <c r="I6">
        <v>999</v>
      </c>
      <c r="J6">
        <v>112</v>
      </c>
      <c r="K6">
        <v>122</v>
      </c>
      <c r="L6">
        <v>95</v>
      </c>
      <c r="M6">
        <v>324</v>
      </c>
      <c r="N6">
        <v>346</v>
      </c>
      <c r="O6">
        <v>11.211211211211211</v>
      </c>
    </row>
    <row r="7" spans="1:17" hidden="1" x14ac:dyDescent="0.15">
      <c r="A7" t="s">
        <v>23</v>
      </c>
      <c r="B7" t="s">
        <v>45</v>
      </c>
      <c r="C7" t="s">
        <v>179</v>
      </c>
      <c r="D7" t="s">
        <v>83</v>
      </c>
      <c r="E7" t="s">
        <v>21</v>
      </c>
      <c r="F7">
        <v>34</v>
      </c>
      <c r="G7">
        <v>15</v>
      </c>
      <c r="H7">
        <v>951</v>
      </c>
      <c r="I7">
        <v>999</v>
      </c>
      <c r="J7">
        <v>146</v>
      </c>
      <c r="K7">
        <v>117</v>
      </c>
      <c r="L7">
        <v>89</v>
      </c>
      <c r="M7">
        <v>288</v>
      </c>
      <c r="N7">
        <v>359</v>
      </c>
      <c r="O7">
        <v>14.614614614614615</v>
      </c>
    </row>
    <row r="8" spans="1:17" hidden="1" x14ac:dyDescent="0.15">
      <c r="A8" t="s">
        <v>24</v>
      </c>
      <c r="B8" t="s">
        <v>46</v>
      </c>
      <c r="C8" t="s">
        <v>179</v>
      </c>
      <c r="D8" t="s">
        <v>83</v>
      </c>
      <c r="E8" t="s">
        <v>177</v>
      </c>
      <c r="F8">
        <v>7</v>
      </c>
      <c r="G8">
        <v>15</v>
      </c>
      <c r="H8">
        <v>978</v>
      </c>
      <c r="I8">
        <v>999</v>
      </c>
      <c r="J8">
        <v>122</v>
      </c>
      <c r="K8">
        <v>138</v>
      </c>
      <c r="L8">
        <v>108</v>
      </c>
      <c r="M8">
        <v>305</v>
      </c>
      <c r="N8">
        <v>326</v>
      </c>
      <c r="O8">
        <v>12.212212212212211</v>
      </c>
      <c r="P8">
        <f>AVERAGE(O8:O9)</f>
        <v>12.612612612612612</v>
      </c>
      <c r="Q8">
        <f>O10</f>
        <v>17.303822937625753</v>
      </c>
    </row>
    <row r="9" spans="1:17" hidden="1" x14ac:dyDescent="0.15">
      <c r="A9" t="s">
        <v>24</v>
      </c>
      <c r="B9" t="s">
        <v>46</v>
      </c>
      <c r="C9" t="s">
        <v>179</v>
      </c>
      <c r="D9" t="s">
        <v>83</v>
      </c>
      <c r="E9" t="s">
        <v>175</v>
      </c>
      <c r="F9">
        <v>12</v>
      </c>
      <c r="G9">
        <v>64</v>
      </c>
      <c r="H9">
        <v>924</v>
      </c>
      <c r="I9">
        <v>999</v>
      </c>
      <c r="J9">
        <v>130</v>
      </c>
      <c r="K9">
        <v>145</v>
      </c>
      <c r="L9">
        <v>113</v>
      </c>
      <c r="M9">
        <v>302</v>
      </c>
      <c r="N9">
        <v>309</v>
      </c>
      <c r="O9">
        <v>13.013013013013014</v>
      </c>
    </row>
    <row r="10" spans="1:17" hidden="1" x14ac:dyDescent="0.15">
      <c r="A10" t="s">
        <v>24</v>
      </c>
      <c r="B10" t="s">
        <v>46</v>
      </c>
      <c r="C10" t="s">
        <v>179</v>
      </c>
      <c r="D10" t="s">
        <v>83</v>
      </c>
      <c r="E10" t="s">
        <v>21</v>
      </c>
      <c r="F10">
        <v>17</v>
      </c>
      <c r="G10">
        <v>6</v>
      </c>
      <c r="H10">
        <v>977</v>
      </c>
      <c r="I10">
        <v>994</v>
      </c>
      <c r="J10">
        <v>172</v>
      </c>
      <c r="K10">
        <v>160</v>
      </c>
      <c r="L10">
        <v>115</v>
      </c>
      <c r="M10">
        <v>253</v>
      </c>
      <c r="N10">
        <v>294</v>
      </c>
      <c r="O10">
        <v>17.303822937625753</v>
      </c>
    </row>
    <row r="11" spans="1:17" hidden="1" x14ac:dyDescent="0.15">
      <c r="A11" t="s">
        <v>25</v>
      </c>
      <c r="B11" t="s">
        <v>47</v>
      </c>
      <c r="C11" t="s">
        <v>195</v>
      </c>
      <c r="D11" t="s">
        <v>83</v>
      </c>
      <c r="E11" t="s">
        <v>177</v>
      </c>
      <c r="F11">
        <v>25</v>
      </c>
      <c r="G11">
        <v>64</v>
      </c>
      <c r="H11">
        <v>911</v>
      </c>
      <c r="I11">
        <v>999</v>
      </c>
      <c r="J11">
        <v>160</v>
      </c>
      <c r="K11">
        <v>160</v>
      </c>
      <c r="L11">
        <v>96</v>
      </c>
      <c r="M11">
        <v>239</v>
      </c>
      <c r="N11">
        <v>344</v>
      </c>
      <c r="O11">
        <v>16.016016016016017</v>
      </c>
      <c r="P11">
        <f>AVERAGE(O11:O12)</f>
        <v>16.266266266266268</v>
      </c>
      <c r="Q11">
        <f>O13</f>
        <v>22.122122122122121</v>
      </c>
    </row>
    <row r="12" spans="1:17" hidden="1" x14ac:dyDescent="0.15">
      <c r="A12" t="s">
        <v>25</v>
      </c>
      <c r="B12" t="s">
        <v>47</v>
      </c>
      <c r="C12" t="s">
        <v>195</v>
      </c>
      <c r="D12" t="s">
        <v>83</v>
      </c>
      <c r="E12" t="s">
        <v>175</v>
      </c>
      <c r="F12">
        <v>41</v>
      </c>
      <c r="G12">
        <v>68</v>
      </c>
      <c r="H12">
        <v>892</v>
      </c>
      <c r="I12">
        <v>999</v>
      </c>
      <c r="J12">
        <v>165</v>
      </c>
      <c r="K12">
        <v>164</v>
      </c>
      <c r="L12">
        <v>97</v>
      </c>
      <c r="M12">
        <v>253</v>
      </c>
      <c r="N12">
        <v>320</v>
      </c>
      <c r="O12">
        <v>16.516516516516518</v>
      </c>
    </row>
    <row r="13" spans="1:17" hidden="1" x14ac:dyDescent="0.15">
      <c r="A13" t="s">
        <v>25</v>
      </c>
      <c r="B13" t="s">
        <v>47</v>
      </c>
      <c r="C13" t="s">
        <v>195</v>
      </c>
      <c r="D13" t="s">
        <v>83</v>
      </c>
      <c r="E13" t="s">
        <v>21</v>
      </c>
      <c r="F13">
        <v>30</v>
      </c>
      <c r="G13">
        <v>38</v>
      </c>
      <c r="H13">
        <v>932</v>
      </c>
      <c r="I13">
        <v>999</v>
      </c>
      <c r="J13">
        <v>221</v>
      </c>
      <c r="K13">
        <v>179</v>
      </c>
      <c r="L13">
        <v>97</v>
      </c>
      <c r="M13">
        <v>225</v>
      </c>
      <c r="N13">
        <v>277</v>
      </c>
      <c r="O13">
        <v>22.122122122122121</v>
      </c>
    </row>
    <row r="14" spans="1:17" hidden="1" x14ac:dyDescent="0.15">
      <c r="A14" t="s">
        <v>25</v>
      </c>
      <c r="B14" t="s">
        <v>48</v>
      </c>
      <c r="C14" t="s">
        <v>195</v>
      </c>
      <c r="D14" t="s">
        <v>83</v>
      </c>
      <c r="E14" t="s">
        <v>177</v>
      </c>
      <c r="F14">
        <v>42</v>
      </c>
      <c r="G14">
        <v>45</v>
      </c>
      <c r="H14">
        <v>913</v>
      </c>
      <c r="I14">
        <v>999</v>
      </c>
      <c r="J14">
        <v>120</v>
      </c>
      <c r="K14">
        <v>164</v>
      </c>
      <c r="L14">
        <v>101</v>
      </c>
      <c r="M14">
        <v>249</v>
      </c>
      <c r="N14">
        <v>365</v>
      </c>
      <c r="O14">
        <v>12.012012012012011</v>
      </c>
      <c r="P14">
        <f>AVERAGE(O14:O15)</f>
        <v>11.911911911911911</v>
      </c>
    </row>
    <row r="15" spans="1:17" hidden="1" x14ac:dyDescent="0.15">
      <c r="A15" t="s">
        <v>26</v>
      </c>
      <c r="B15" t="s">
        <v>48</v>
      </c>
      <c r="D15" t="s">
        <v>83</v>
      </c>
      <c r="E15" t="s">
        <v>175</v>
      </c>
      <c r="F15">
        <v>39</v>
      </c>
      <c r="G15">
        <v>96</v>
      </c>
      <c r="H15">
        <v>865</v>
      </c>
      <c r="I15">
        <v>999</v>
      </c>
      <c r="J15">
        <v>118</v>
      </c>
      <c r="K15">
        <v>158</v>
      </c>
      <c r="L15">
        <v>104</v>
      </c>
      <c r="M15">
        <v>219</v>
      </c>
      <c r="N15">
        <v>400</v>
      </c>
      <c r="O15">
        <v>11.811811811811811</v>
      </c>
    </row>
    <row r="16" spans="1:17" hidden="1" x14ac:dyDescent="0.15">
      <c r="A16" t="s">
        <v>27</v>
      </c>
      <c r="B16" t="s">
        <v>49</v>
      </c>
      <c r="D16" t="s">
        <v>83</v>
      </c>
      <c r="E16" t="s">
        <v>177</v>
      </c>
      <c r="F16">
        <v>20</v>
      </c>
      <c r="G16">
        <v>12</v>
      </c>
      <c r="H16">
        <v>968</v>
      </c>
      <c r="I16">
        <v>999</v>
      </c>
      <c r="J16">
        <v>213</v>
      </c>
      <c r="K16">
        <v>212</v>
      </c>
      <c r="L16">
        <v>119</v>
      </c>
      <c r="M16">
        <v>201</v>
      </c>
      <c r="N16">
        <v>254</v>
      </c>
      <c r="O16">
        <v>21.321321321321321</v>
      </c>
      <c r="P16">
        <f>AVERAGE(O16:O17)</f>
        <v>21.221221221221221</v>
      </c>
      <c r="Q16">
        <f>O18</f>
        <v>35.412474849094565</v>
      </c>
    </row>
    <row r="17" spans="1:18" hidden="1" x14ac:dyDescent="0.15">
      <c r="A17" t="s">
        <v>27</v>
      </c>
      <c r="B17" t="s">
        <v>49</v>
      </c>
      <c r="D17" t="s">
        <v>83</v>
      </c>
      <c r="E17" t="s">
        <v>175</v>
      </c>
      <c r="F17">
        <v>30</v>
      </c>
      <c r="G17">
        <v>54</v>
      </c>
      <c r="H17">
        <v>916</v>
      </c>
      <c r="I17">
        <v>999</v>
      </c>
      <c r="J17">
        <v>211</v>
      </c>
      <c r="K17">
        <v>201</v>
      </c>
      <c r="L17">
        <v>120</v>
      </c>
      <c r="M17">
        <v>193</v>
      </c>
      <c r="N17">
        <v>274</v>
      </c>
      <c r="O17">
        <v>21.121121121121121</v>
      </c>
    </row>
    <row r="18" spans="1:18" hidden="1" x14ac:dyDescent="0.15">
      <c r="A18" t="s">
        <v>27</v>
      </c>
      <c r="B18" t="s">
        <v>49</v>
      </c>
      <c r="D18" t="s">
        <v>83</v>
      </c>
      <c r="E18" t="s">
        <v>21</v>
      </c>
      <c r="F18">
        <v>2</v>
      </c>
      <c r="G18">
        <v>20</v>
      </c>
      <c r="H18">
        <v>978</v>
      </c>
      <c r="I18">
        <v>994</v>
      </c>
      <c r="J18">
        <v>352</v>
      </c>
      <c r="K18">
        <v>307</v>
      </c>
      <c r="L18">
        <v>141</v>
      </c>
      <c r="M18">
        <v>105</v>
      </c>
      <c r="N18">
        <v>89</v>
      </c>
      <c r="O18">
        <v>35.412474849094565</v>
      </c>
    </row>
    <row r="19" spans="1:18" hidden="1" x14ac:dyDescent="0.15">
      <c r="A19" t="s">
        <v>28</v>
      </c>
      <c r="B19" t="s">
        <v>50</v>
      </c>
      <c r="D19" t="s">
        <v>91</v>
      </c>
      <c r="E19" t="s">
        <v>177</v>
      </c>
      <c r="F19">
        <v>1</v>
      </c>
      <c r="G19">
        <v>5</v>
      </c>
      <c r="H19">
        <v>993</v>
      </c>
      <c r="I19">
        <v>999</v>
      </c>
      <c r="J19">
        <v>145</v>
      </c>
      <c r="K19">
        <v>199</v>
      </c>
      <c r="L19">
        <v>177</v>
      </c>
      <c r="M19">
        <v>287</v>
      </c>
      <c r="N19">
        <v>191</v>
      </c>
      <c r="O19">
        <v>14.514514514514515</v>
      </c>
      <c r="P19">
        <f>AVERAGE(O19:O20)</f>
        <v>15.315315315315317</v>
      </c>
      <c r="Q19">
        <f>O21</f>
        <v>10.01001001001001</v>
      </c>
    </row>
    <row r="20" spans="1:18" hidden="1" x14ac:dyDescent="0.15">
      <c r="A20" t="s">
        <v>28</v>
      </c>
      <c r="B20" t="s">
        <v>50</v>
      </c>
      <c r="D20" t="s">
        <v>91</v>
      </c>
      <c r="E20" t="s">
        <v>175</v>
      </c>
      <c r="F20">
        <v>0</v>
      </c>
      <c r="G20">
        <v>1</v>
      </c>
      <c r="H20">
        <v>999</v>
      </c>
      <c r="I20">
        <v>999</v>
      </c>
      <c r="J20">
        <v>161</v>
      </c>
      <c r="K20">
        <v>227</v>
      </c>
      <c r="L20">
        <v>191</v>
      </c>
      <c r="M20">
        <v>301</v>
      </c>
      <c r="N20">
        <v>119</v>
      </c>
      <c r="O20">
        <v>16.116116116116117</v>
      </c>
    </row>
    <row r="21" spans="1:18" hidden="1" x14ac:dyDescent="0.15">
      <c r="A21" t="s">
        <v>28</v>
      </c>
      <c r="B21" t="s">
        <v>50</v>
      </c>
      <c r="D21" t="s">
        <v>91</v>
      </c>
      <c r="E21" t="s">
        <v>21</v>
      </c>
      <c r="F21">
        <v>0</v>
      </c>
      <c r="G21">
        <v>1</v>
      </c>
      <c r="H21">
        <v>999</v>
      </c>
      <c r="I21">
        <v>999</v>
      </c>
      <c r="J21">
        <v>100</v>
      </c>
      <c r="K21">
        <v>161</v>
      </c>
      <c r="L21">
        <v>115</v>
      </c>
      <c r="M21">
        <v>224</v>
      </c>
      <c r="N21">
        <v>399</v>
      </c>
      <c r="O21">
        <v>10.01001001001001</v>
      </c>
    </row>
    <row r="22" spans="1:18" hidden="1" x14ac:dyDescent="0.15">
      <c r="A22" t="s">
        <v>29</v>
      </c>
      <c r="B22" t="s">
        <v>51</v>
      </c>
      <c r="D22" t="s">
        <v>406</v>
      </c>
      <c r="E22" t="s">
        <v>177</v>
      </c>
      <c r="F22">
        <v>4</v>
      </c>
      <c r="G22">
        <v>19</v>
      </c>
      <c r="H22">
        <v>977</v>
      </c>
      <c r="I22">
        <v>999</v>
      </c>
      <c r="J22">
        <v>186</v>
      </c>
      <c r="K22">
        <v>159</v>
      </c>
      <c r="L22">
        <v>128</v>
      </c>
      <c r="M22">
        <v>226</v>
      </c>
      <c r="N22">
        <v>300</v>
      </c>
      <c r="O22">
        <v>18.618618618618619</v>
      </c>
      <c r="P22">
        <f>AVERAGE(O22:O23)</f>
        <v>18.668668668668669</v>
      </c>
      <c r="Q22">
        <f>O24</f>
        <v>25.225225225225223</v>
      </c>
    </row>
    <row r="23" spans="1:18" hidden="1" x14ac:dyDescent="0.15">
      <c r="A23" t="s">
        <v>29</v>
      </c>
      <c r="B23" t="s">
        <v>51</v>
      </c>
      <c r="D23" t="s">
        <v>406</v>
      </c>
      <c r="E23" t="s">
        <v>175</v>
      </c>
      <c r="F23">
        <v>21</v>
      </c>
      <c r="G23">
        <v>37</v>
      </c>
      <c r="H23">
        <v>942</v>
      </c>
      <c r="I23">
        <v>999</v>
      </c>
      <c r="J23">
        <v>187</v>
      </c>
      <c r="K23">
        <v>162</v>
      </c>
      <c r="L23">
        <v>125</v>
      </c>
      <c r="M23">
        <v>228</v>
      </c>
      <c r="N23">
        <v>297</v>
      </c>
      <c r="O23">
        <v>18.718718718718719</v>
      </c>
    </row>
    <row r="24" spans="1:18" hidden="1" x14ac:dyDescent="0.15">
      <c r="A24" t="s">
        <v>29</v>
      </c>
      <c r="B24" t="s">
        <v>51</v>
      </c>
      <c r="D24" t="s">
        <v>406</v>
      </c>
      <c r="E24" t="s">
        <v>21</v>
      </c>
      <c r="F24">
        <v>22</v>
      </c>
      <c r="G24">
        <v>32</v>
      </c>
      <c r="H24">
        <v>947</v>
      </c>
      <c r="I24">
        <v>999</v>
      </c>
      <c r="J24">
        <v>252</v>
      </c>
      <c r="K24">
        <v>150</v>
      </c>
      <c r="L24">
        <v>115</v>
      </c>
      <c r="M24">
        <v>221</v>
      </c>
      <c r="N24">
        <v>261</v>
      </c>
      <c r="O24">
        <v>25.225225225225223</v>
      </c>
    </row>
    <row r="25" spans="1:18" hidden="1" x14ac:dyDescent="0.15">
      <c r="A25" t="s">
        <v>30</v>
      </c>
      <c r="B25" t="s">
        <v>53</v>
      </c>
      <c r="D25" t="s">
        <v>406</v>
      </c>
      <c r="E25" t="s">
        <v>177</v>
      </c>
      <c r="F25">
        <v>4</v>
      </c>
      <c r="G25">
        <v>25</v>
      </c>
      <c r="H25">
        <v>972</v>
      </c>
      <c r="I25">
        <v>999</v>
      </c>
      <c r="J25">
        <v>215</v>
      </c>
      <c r="K25">
        <v>173</v>
      </c>
      <c r="L25">
        <v>132</v>
      </c>
      <c r="M25">
        <v>198</v>
      </c>
      <c r="N25">
        <v>281</v>
      </c>
      <c r="O25">
        <v>21.521521521521521</v>
      </c>
      <c r="P25">
        <f>AVERAGE(O25:O26)</f>
        <v>22.822822822822822</v>
      </c>
      <c r="Q25">
        <f>O27</f>
        <v>36.136136136136138</v>
      </c>
    </row>
    <row r="26" spans="1:18" hidden="1" x14ac:dyDescent="0.15">
      <c r="A26" t="s">
        <v>30</v>
      </c>
      <c r="B26" t="s">
        <v>53</v>
      </c>
      <c r="D26" t="s">
        <v>406</v>
      </c>
      <c r="E26" t="s">
        <v>175</v>
      </c>
      <c r="F26">
        <v>4</v>
      </c>
      <c r="G26">
        <v>15</v>
      </c>
      <c r="H26">
        <v>981</v>
      </c>
      <c r="I26">
        <v>999</v>
      </c>
      <c r="J26">
        <v>241</v>
      </c>
      <c r="K26">
        <v>179</v>
      </c>
      <c r="L26">
        <v>137</v>
      </c>
      <c r="M26">
        <v>223</v>
      </c>
      <c r="N26">
        <v>219</v>
      </c>
      <c r="O26">
        <v>24.124124124124123</v>
      </c>
    </row>
    <row r="27" spans="1:18" hidden="1" x14ac:dyDescent="0.15">
      <c r="A27" t="s">
        <v>30</v>
      </c>
      <c r="B27" t="s">
        <v>53</v>
      </c>
      <c r="D27" t="s">
        <v>406</v>
      </c>
      <c r="E27" t="s">
        <v>21</v>
      </c>
      <c r="F27">
        <v>4</v>
      </c>
      <c r="G27">
        <v>3</v>
      </c>
      <c r="H27">
        <v>993</v>
      </c>
      <c r="I27">
        <v>999</v>
      </c>
      <c r="J27">
        <v>361</v>
      </c>
      <c r="K27">
        <v>145</v>
      </c>
      <c r="L27">
        <v>81</v>
      </c>
      <c r="M27">
        <v>163</v>
      </c>
      <c r="N27">
        <v>249</v>
      </c>
      <c r="O27">
        <v>36.136136136136138</v>
      </c>
    </row>
    <row r="28" spans="1:18" hidden="1" x14ac:dyDescent="0.15">
      <c r="A28" t="s">
        <v>31</v>
      </c>
      <c r="B28" t="s">
        <v>52</v>
      </c>
      <c r="D28" t="s">
        <v>406</v>
      </c>
      <c r="E28" t="s">
        <v>177</v>
      </c>
      <c r="F28">
        <v>0</v>
      </c>
      <c r="G28">
        <v>1</v>
      </c>
      <c r="H28">
        <v>1000</v>
      </c>
      <c r="I28">
        <v>999</v>
      </c>
      <c r="J28">
        <v>280</v>
      </c>
      <c r="K28">
        <v>196</v>
      </c>
      <c r="L28">
        <v>193</v>
      </c>
      <c r="M28">
        <v>268</v>
      </c>
      <c r="N28">
        <v>62</v>
      </c>
      <c r="O28">
        <v>28.028028028028029</v>
      </c>
      <c r="P28">
        <f>AVERAGE(O28:O29)</f>
        <v>25.375375375375377</v>
      </c>
      <c r="Q28">
        <f>O30</f>
        <v>17.972831765935215</v>
      </c>
      <c r="R28" t="s">
        <v>626</v>
      </c>
    </row>
    <row r="29" spans="1:18" hidden="1" x14ac:dyDescent="0.15">
      <c r="A29" t="s">
        <v>31</v>
      </c>
      <c r="B29" t="s">
        <v>52</v>
      </c>
      <c r="D29" t="s">
        <v>406</v>
      </c>
      <c r="E29" t="s">
        <v>175</v>
      </c>
      <c r="F29">
        <v>0</v>
      </c>
      <c r="G29">
        <v>3</v>
      </c>
      <c r="H29">
        <v>997</v>
      </c>
      <c r="I29">
        <v>999</v>
      </c>
      <c r="J29">
        <v>227</v>
      </c>
      <c r="K29">
        <v>186</v>
      </c>
      <c r="L29">
        <v>201</v>
      </c>
      <c r="M29">
        <v>345</v>
      </c>
      <c r="N29">
        <v>40</v>
      </c>
      <c r="O29">
        <v>22.722722722722725</v>
      </c>
    </row>
    <row r="30" spans="1:18" hidden="1" x14ac:dyDescent="0.15">
      <c r="A30" t="s">
        <v>31</v>
      </c>
      <c r="B30" t="s">
        <v>52</v>
      </c>
      <c r="D30" t="s">
        <v>406</v>
      </c>
      <c r="E30" t="s">
        <v>21</v>
      </c>
      <c r="F30">
        <v>0</v>
      </c>
      <c r="G30">
        <v>0</v>
      </c>
      <c r="H30">
        <v>1000</v>
      </c>
      <c r="I30">
        <v>957</v>
      </c>
      <c r="J30">
        <v>172</v>
      </c>
      <c r="K30">
        <v>250</v>
      </c>
      <c r="L30">
        <v>257</v>
      </c>
      <c r="M30">
        <v>261</v>
      </c>
      <c r="N30">
        <v>17</v>
      </c>
      <c r="O30">
        <v>17.972831765935215</v>
      </c>
    </row>
    <row r="31" spans="1:18" hidden="1" x14ac:dyDescent="0.15">
      <c r="A31" t="s">
        <v>32</v>
      </c>
      <c r="B31" t="s">
        <v>55</v>
      </c>
      <c r="D31" t="s">
        <v>91</v>
      </c>
      <c r="E31" t="s">
        <v>177</v>
      </c>
      <c r="F31">
        <v>4</v>
      </c>
      <c r="G31">
        <v>51</v>
      </c>
      <c r="H31">
        <v>945</v>
      </c>
      <c r="I31">
        <v>999</v>
      </c>
      <c r="J31">
        <v>151</v>
      </c>
      <c r="K31">
        <v>152</v>
      </c>
      <c r="L31">
        <v>127</v>
      </c>
      <c r="M31">
        <v>225</v>
      </c>
      <c r="N31">
        <v>344</v>
      </c>
      <c r="O31">
        <v>15.115115115115115</v>
      </c>
      <c r="P31">
        <f>AVERAGE(O31:O32)</f>
        <v>15.665665665665667</v>
      </c>
      <c r="Q31">
        <f>O33</f>
        <v>15.115115115115115</v>
      </c>
    </row>
    <row r="32" spans="1:18" hidden="1" x14ac:dyDescent="0.15">
      <c r="A32" t="s">
        <v>32</v>
      </c>
      <c r="B32" t="s">
        <v>55</v>
      </c>
      <c r="D32" t="s">
        <v>91</v>
      </c>
      <c r="E32" t="s">
        <v>175</v>
      </c>
      <c r="F32">
        <v>14</v>
      </c>
      <c r="G32">
        <v>44</v>
      </c>
      <c r="H32">
        <v>942</v>
      </c>
      <c r="I32">
        <v>999</v>
      </c>
      <c r="J32">
        <v>162</v>
      </c>
      <c r="K32">
        <v>149</v>
      </c>
      <c r="L32">
        <v>140</v>
      </c>
      <c r="M32">
        <v>219</v>
      </c>
      <c r="N32">
        <v>329</v>
      </c>
      <c r="O32">
        <v>16.216216216216218</v>
      </c>
    </row>
    <row r="33" spans="1:17" hidden="1" x14ac:dyDescent="0.15">
      <c r="A33" t="s">
        <v>32</v>
      </c>
      <c r="B33" t="s">
        <v>55</v>
      </c>
      <c r="D33" t="s">
        <v>91</v>
      </c>
      <c r="E33" t="s">
        <v>21</v>
      </c>
      <c r="F33">
        <v>7</v>
      </c>
      <c r="G33">
        <v>20</v>
      </c>
      <c r="H33">
        <v>974</v>
      </c>
      <c r="I33">
        <v>999</v>
      </c>
      <c r="J33">
        <v>151</v>
      </c>
      <c r="K33">
        <v>168</v>
      </c>
      <c r="L33">
        <v>156</v>
      </c>
      <c r="M33">
        <v>218</v>
      </c>
      <c r="N33">
        <v>306</v>
      </c>
      <c r="O33">
        <v>15.115115115115115</v>
      </c>
    </row>
    <row r="34" spans="1:17" hidden="1" x14ac:dyDescent="0.15">
      <c r="A34" t="s">
        <v>33</v>
      </c>
      <c r="B34" t="s">
        <v>54</v>
      </c>
      <c r="D34" t="s">
        <v>91</v>
      </c>
      <c r="E34" t="s">
        <v>177</v>
      </c>
      <c r="F34">
        <v>28</v>
      </c>
      <c r="G34">
        <v>112</v>
      </c>
      <c r="H34">
        <v>860</v>
      </c>
      <c r="I34">
        <v>999</v>
      </c>
      <c r="J34">
        <v>166</v>
      </c>
      <c r="K34">
        <v>164</v>
      </c>
      <c r="L34">
        <v>146</v>
      </c>
      <c r="M34">
        <v>243</v>
      </c>
      <c r="N34">
        <v>280</v>
      </c>
      <c r="O34">
        <v>16.616616616616618</v>
      </c>
      <c r="P34">
        <f>AVERAGE(O34:O35)</f>
        <v>16.566566566566568</v>
      </c>
      <c r="Q34">
        <f>O36</f>
        <v>14.214214214214213</v>
      </c>
    </row>
    <row r="35" spans="1:17" hidden="1" x14ac:dyDescent="0.15">
      <c r="A35" t="s">
        <v>33</v>
      </c>
      <c r="B35" t="s">
        <v>54</v>
      </c>
      <c r="D35" t="s">
        <v>91</v>
      </c>
      <c r="E35" t="s">
        <v>175</v>
      </c>
      <c r="F35">
        <v>24</v>
      </c>
      <c r="G35">
        <v>107</v>
      </c>
      <c r="H35">
        <v>868</v>
      </c>
      <c r="I35">
        <v>999</v>
      </c>
      <c r="J35">
        <v>165</v>
      </c>
      <c r="K35">
        <v>165</v>
      </c>
      <c r="L35">
        <v>136</v>
      </c>
      <c r="M35">
        <v>240</v>
      </c>
      <c r="N35">
        <v>293</v>
      </c>
      <c r="O35">
        <v>16.516516516516518</v>
      </c>
    </row>
    <row r="36" spans="1:17" hidden="1" x14ac:dyDescent="0.15">
      <c r="A36" t="s">
        <v>33</v>
      </c>
      <c r="B36" t="s">
        <v>54</v>
      </c>
      <c r="D36" t="s">
        <v>91</v>
      </c>
      <c r="E36" t="s">
        <v>21</v>
      </c>
      <c r="F36">
        <v>15</v>
      </c>
      <c r="G36">
        <v>37</v>
      </c>
      <c r="H36">
        <v>948</v>
      </c>
      <c r="I36">
        <v>999</v>
      </c>
      <c r="J36">
        <v>142</v>
      </c>
      <c r="K36">
        <v>160</v>
      </c>
      <c r="L36">
        <v>132</v>
      </c>
      <c r="M36">
        <v>270</v>
      </c>
      <c r="N36">
        <v>295</v>
      </c>
      <c r="O36">
        <v>14.214214214214213</v>
      </c>
    </row>
    <row r="37" spans="1:17" hidden="1" x14ac:dyDescent="0.15">
      <c r="A37" t="s">
        <v>34</v>
      </c>
      <c r="B37" t="s">
        <v>56</v>
      </c>
      <c r="D37" t="s">
        <v>406</v>
      </c>
      <c r="E37" t="s">
        <v>177</v>
      </c>
      <c r="F37">
        <v>0</v>
      </c>
      <c r="G37">
        <v>0</v>
      </c>
      <c r="H37">
        <v>1000</v>
      </c>
      <c r="I37">
        <v>999</v>
      </c>
      <c r="J37">
        <v>28</v>
      </c>
      <c r="K37">
        <v>3</v>
      </c>
      <c r="L37">
        <v>30</v>
      </c>
      <c r="M37">
        <v>481</v>
      </c>
      <c r="N37">
        <v>457</v>
      </c>
      <c r="O37">
        <v>2.8028028028028027</v>
      </c>
      <c r="P37">
        <f>AVERAGE(O37:O38)</f>
        <v>3.0530530530530529</v>
      </c>
      <c r="Q37">
        <f>O39</f>
        <v>0.90090090090090091</v>
      </c>
    </row>
    <row r="38" spans="1:17" hidden="1" x14ac:dyDescent="0.15">
      <c r="A38" t="s">
        <v>34</v>
      </c>
      <c r="B38" t="s">
        <v>56</v>
      </c>
      <c r="D38" t="s">
        <v>406</v>
      </c>
      <c r="E38" t="s">
        <v>175</v>
      </c>
      <c r="F38">
        <v>0</v>
      </c>
      <c r="G38">
        <v>0</v>
      </c>
      <c r="H38">
        <v>1000</v>
      </c>
      <c r="I38">
        <v>999</v>
      </c>
      <c r="J38">
        <v>33</v>
      </c>
      <c r="K38">
        <v>8</v>
      </c>
      <c r="L38">
        <v>19</v>
      </c>
      <c r="M38">
        <v>400</v>
      </c>
      <c r="N38">
        <v>539</v>
      </c>
      <c r="O38">
        <v>3.303303303303303</v>
      </c>
    </row>
    <row r="39" spans="1:17" hidden="1" x14ac:dyDescent="0.15">
      <c r="A39" t="s">
        <v>34</v>
      </c>
      <c r="B39" t="s">
        <v>56</v>
      </c>
      <c r="D39" t="s">
        <v>406</v>
      </c>
      <c r="E39" t="s">
        <v>21</v>
      </c>
      <c r="F39">
        <v>0</v>
      </c>
      <c r="G39">
        <v>0</v>
      </c>
      <c r="H39">
        <v>1000</v>
      </c>
      <c r="I39">
        <v>999</v>
      </c>
      <c r="J39">
        <v>9</v>
      </c>
      <c r="K39">
        <v>0</v>
      </c>
      <c r="L39">
        <v>10</v>
      </c>
      <c r="M39">
        <v>110</v>
      </c>
      <c r="N39">
        <v>870</v>
      </c>
      <c r="O39">
        <v>0.90090090090090091</v>
      </c>
    </row>
    <row r="40" spans="1:17" hidden="1" x14ac:dyDescent="0.15">
      <c r="A40" t="s">
        <v>35</v>
      </c>
      <c r="B40" t="s">
        <v>57</v>
      </c>
      <c r="D40" t="s">
        <v>406</v>
      </c>
      <c r="E40" t="s">
        <v>177</v>
      </c>
      <c r="F40">
        <v>0</v>
      </c>
      <c r="G40">
        <v>0</v>
      </c>
      <c r="H40">
        <v>1000</v>
      </c>
      <c r="I40">
        <v>998</v>
      </c>
      <c r="J40">
        <v>30</v>
      </c>
      <c r="K40">
        <v>6</v>
      </c>
      <c r="L40">
        <v>21</v>
      </c>
      <c r="M40">
        <v>600</v>
      </c>
      <c r="N40">
        <v>341</v>
      </c>
      <c r="O40">
        <v>3.0060120240480961</v>
      </c>
      <c r="P40">
        <f>AVERAGE(O40:O41)</f>
        <v>2.7042072132252493</v>
      </c>
      <c r="Q40">
        <f>O42</f>
        <v>0.50050050050050054</v>
      </c>
    </row>
    <row r="41" spans="1:17" hidden="1" x14ac:dyDescent="0.15">
      <c r="A41" t="s">
        <v>35</v>
      </c>
      <c r="B41" t="s">
        <v>57</v>
      </c>
      <c r="D41" t="s">
        <v>406</v>
      </c>
      <c r="E41" t="s">
        <v>175</v>
      </c>
      <c r="F41">
        <v>0</v>
      </c>
      <c r="G41">
        <v>0</v>
      </c>
      <c r="H41">
        <v>1000</v>
      </c>
      <c r="I41">
        <v>999</v>
      </c>
      <c r="J41">
        <v>24</v>
      </c>
      <c r="K41">
        <v>3</v>
      </c>
      <c r="L41">
        <v>14</v>
      </c>
      <c r="M41">
        <v>626</v>
      </c>
      <c r="N41">
        <v>332</v>
      </c>
      <c r="O41">
        <v>2.4024024024024024</v>
      </c>
    </row>
    <row r="42" spans="1:17" hidden="1" x14ac:dyDescent="0.15">
      <c r="A42" t="s">
        <v>35</v>
      </c>
      <c r="B42" t="s">
        <v>57</v>
      </c>
      <c r="D42" t="s">
        <v>406</v>
      </c>
      <c r="E42" t="s">
        <v>21</v>
      </c>
      <c r="F42">
        <v>4</v>
      </c>
      <c r="G42">
        <v>0</v>
      </c>
      <c r="H42">
        <v>996</v>
      </c>
      <c r="I42">
        <v>999</v>
      </c>
      <c r="J42">
        <v>5</v>
      </c>
      <c r="K42">
        <v>5</v>
      </c>
      <c r="L42">
        <v>10</v>
      </c>
      <c r="M42">
        <v>384</v>
      </c>
      <c r="N42">
        <v>595</v>
      </c>
      <c r="O42">
        <v>0.50050050050050054</v>
      </c>
    </row>
    <row r="43" spans="1:17" x14ac:dyDescent="0.15">
      <c r="A43" t="s">
        <v>36</v>
      </c>
      <c r="B43" t="s">
        <v>58</v>
      </c>
      <c r="D43" t="s">
        <v>406</v>
      </c>
      <c r="E43" t="s">
        <v>177</v>
      </c>
      <c r="F43">
        <v>0</v>
      </c>
      <c r="G43">
        <v>0</v>
      </c>
      <c r="H43">
        <v>1000</v>
      </c>
      <c r="I43">
        <v>998</v>
      </c>
      <c r="J43">
        <v>572</v>
      </c>
      <c r="K43">
        <v>380</v>
      </c>
      <c r="L43">
        <v>32</v>
      </c>
      <c r="M43">
        <v>7</v>
      </c>
      <c r="N43">
        <v>7</v>
      </c>
      <c r="O43">
        <v>57.314629258517037</v>
      </c>
      <c r="P43">
        <f>AVERAGE(O43:O44)</f>
        <v>57.915831663326657</v>
      </c>
      <c r="Q43">
        <f>O45</f>
        <v>60.66066066066066</v>
      </c>
    </row>
    <row r="44" spans="1:17" x14ac:dyDescent="0.15">
      <c r="A44" t="s">
        <v>36</v>
      </c>
      <c r="B44" t="s">
        <v>58</v>
      </c>
      <c r="D44" t="s">
        <v>406</v>
      </c>
      <c r="E44" t="s">
        <v>175</v>
      </c>
      <c r="F44">
        <v>0</v>
      </c>
      <c r="G44">
        <v>0</v>
      </c>
      <c r="H44">
        <v>1000</v>
      </c>
      <c r="I44">
        <v>998</v>
      </c>
      <c r="J44">
        <v>584</v>
      </c>
      <c r="K44">
        <v>383</v>
      </c>
      <c r="L44">
        <v>28</v>
      </c>
      <c r="M44">
        <v>2</v>
      </c>
      <c r="N44">
        <v>1</v>
      </c>
      <c r="O44">
        <v>58.517034068136276</v>
      </c>
    </row>
    <row r="45" spans="1:17" x14ac:dyDescent="0.15">
      <c r="A45" t="s">
        <v>36</v>
      </c>
      <c r="B45" t="s">
        <v>58</v>
      </c>
      <c r="D45" t="s">
        <v>406</v>
      </c>
      <c r="E45" t="s">
        <v>21</v>
      </c>
      <c r="F45">
        <v>0</v>
      </c>
      <c r="G45">
        <v>0</v>
      </c>
      <c r="H45">
        <v>1000</v>
      </c>
      <c r="I45">
        <v>999</v>
      </c>
      <c r="J45">
        <v>606</v>
      </c>
      <c r="K45">
        <v>337</v>
      </c>
      <c r="L45">
        <v>44</v>
      </c>
      <c r="M45">
        <v>6</v>
      </c>
      <c r="N45">
        <v>6</v>
      </c>
      <c r="O45">
        <v>60.66066066066066</v>
      </c>
    </row>
    <row r="46" spans="1:17" hidden="1" x14ac:dyDescent="0.15">
      <c r="A46" t="s">
        <v>37</v>
      </c>
      <c r="B46" t="s">
        <v>59</v>
      </c>
      <c r="D46" t="s">
        <v>91</v>
      </c>
      <c r="E46" t="s">
        <v>177</v>
      </c>
      <c r="F46">
        <v>0</v>
      </c>
      <c r="G46">
        <v>0</v>
      </c>
      <c r="H46">
        <v>1000</v>
      </c>
      <c r="I46">
        <v>998</v>
      </c>
      <c r="J46">
        <v>535</v>
      </c>
      <c r="K46">
        <v>381</v>
      </c>
      <c r="L46">
        <v>52</v>
      </c>
      <c r="M46">
        <v>20</v>
      </c>
      <c r="N46">
        <v>10</v>
      </c>
      <c r="O46">
        <v>53.607214428857716</v>
      </c>
      <c r="P46">
        <f>AVERAGE(O46:O47)</f>
        <v>55.432235843057484</v>
      </c>
      <c r="Q46">
        <f>O48</f>
        <v>55.155155155155157</v>
      </c>
    </row>
    <row r="47" spans="1:17" hidden="1" x14ac:dyDescent="0.15">
      <c r="A47" t="s">
        <v>37</v>
      </c>
      <c r="B47" t="s">
        <v>59</v>
      </c>
      <c r="D47" t="s">
        <v>91</v>
      </c>
      <c r="E47" t="s">
        <v>175</v>
      </c>
      <c r="F47">
        <v>0</v>
      </c>
      <c r="G47">
        <v>0</v>
      </c>
      <c r="H47">
        <v>1000</v>
      </c>
      <c r="I47">
        <v>999</v>
      </c>
      <c r="J47">
        <v>572</v>
      </c>
      <c r="K47">
        <v>398</v>
      </c>
      <c r="L47">
        <v>24</v>
      </c>
      <c r="M47">
        <v>4</v>
      </c>
      <c r="N47">
        <v>1</v>
      </c>
      <c r="O47">
        <v>57.257257257257251</v>
      </c>
    </row>
    <row r="48" spans="1:17" hidden="1" x14ac:dyDescent="0.15">
      <c r="A48" t="s">
        <v>37</v>
      </c>
      <c r="B48" t="s">
        <v>59</v>
      </c>
      <c r="D48" t="s">
        <v>91</v>
      </c>
      <c r="E48" t="s">
        <v>21</v>
      </c>
      <c r="F48">
        <v>0</v>
      </c>
      <c r="G48">
        <v>0</v>
      </c>
      <c r="H48">
        <v>1000</v>
      </c>
      <c r="I48">
        <v>999</v>
      </c>
      <c r="J48">
        <v>551</v>
      </c>
      <c r="K48">
        <v>388</v>
      </c>
      <c r="L48">
        <v>52</v>
      </c>
      <c r="M48">
        <v>7</v>
      </c>
      <c r="N48">
        <v>1</v>
      </c>
      <c r="O48">
        <v>55.155155155155157</v>
      </c>
    </row>
    <row r="49" spans="1:17" hidden="1" x14ac:dyDescent="0.15">
      <c r="A49" t="s">
        <v>38</v>
      </c>
      <c r="B49" t="s">
        <v>60</v>
      </c>
      <c r="D49" t="s">
        <v>406</v>
      </c>
      <c r="E49" t="s">
        <v>177</v>
      </c>
      <c r="F49">
        <v>0</v>
      </c>
      <c r="G49">
        <v>0</v>
      </c>
      <c r="H49">
        <v>1000</v>
      </c>
      <c r="I49">
        <v>999</v>
      </c>
      <c r="J49">
        <v>659</v>
      </c>
      <c r="K49">
        <v>274</v>
      </c>
      <c r="L49">
        <v>53</v>
      </c>
      <c r="M49">
        <v>9</v>
      </c>
      <c r="N49">
        <v>4</v>
      </c>
      <c r="O49">
        <v>65.965965965965964</v>
      </c>
      <c r="P49">
        <f>AVERAGE(O49:O50)</f>
        <v>65.915915915915917</v>
      </c>
      <c r="Q49">
        <f>O51</f>
        <v>62.862862862862869</v>
      </c>
    </row>
    <row r="50" spans="1:17" hidden="1" x14ac:dyDescent="0.15">
      <c r="A50" t="s">
        <v>38</v>
      </c>
      <c r="B50" t="s">
        <v>60</v>
      </c>
      <c r="D50" t="s">
        <v>406</v>
      </c>
      <c r="E50" t="s">
        <v>175</v>
      </c>
      <c r="F50">
        <v>0</v>
      </c>
      <c r="G50">
        <v>0</v>
      </c>
      <c r="H50">
        <v>1000</v>
      </c>
      <c r="I50">
        <v>999</v>
      </c>
      <c r="J50">
        <v>658</v>
      </c>
      <c r="K50">
        <v>278</v>
      </c>
      <c r="L50">
        <v>55</v>
      </c>
      <c r="M50">
        <v>7</v>
      </c>
      <c r="N50">
        <v>1</v>
      </c>
      <c r="O50">
        <v>65.865865865865871</v>
      </c>
    </row>
    <row r="51" spans="1:17" hidden="1" x14ac:dyDescent="0.15">
      <c r="A51" t="s">
        <v>38</v>
      </c>
      <c r="B51" t="s">
        <v>60</v>
      </c>
      <c r="D51" t="s">
        <v>406</v>
      </c>
      <c r="E51" t="s">
        <v>21</v>
      </c>
      <c r="F51">
        <v>0</v>
      </c>
      <c r="G51">
        <v>1</v>
      </c>
      <c r="H51">
        <v>999</v>
      </c>
      <c r="I51">
        <v>999</v>
      </c>
      <c r="J51">
        <v>628</v>
      </c>
      <c r="K51">
        <v>306</v>
      </c>
      <c r="L51">
        <v>59</v>
      </c>
      <c r="M51">
        <v>4</v>
      </c>
      <c r="N51">
        <v>2</v>
      </c>
      <c r="O51">
        <v>62.862862862862869</v>
      </c>
    </row>
    <row r="52" spans="1:17" hidden="1" x14ac:dyDescent="0.15">
      <c r="A52" t="s">
        <v>39</v>
      </c>
      <c r="B52" t="s">
        <v>61</v>
      </c>
      <c r="D52" t="s">
        <v>91</v>
      </c>
      <c r="E52" t="s">
        <v>177</v>
      </c>
      <c r="F52">
        <v>0</v>
      </c>
      <c r="G52">
        <v>0</v>
      </c>
      <c r="H52">
        <v>1000</v>
      </c>
      <c r="I52">
        <v>999</v>
      </c>
      <c r="J52">
        <v>665</v>
      </c>
      <c r="K52">
        <v>280</v>
      </c>
      <c r="L52">
        <v>46</v>
      </c>
      <c r="M52">
        <v>7</v>
      </c>
      <c r="N52">
        <v>1</v>
      </c>
      <c r="O52">
        <v>66.566566566566564</v>
      </c>
      <c r="P52">
        <f>AVERAGE(O52:O53)</f>
        <v>65.948613944605924</v>
      </c>
      <c r="Q52">
        <f>O54</f>
        <v>66.066066066066071</v>
      </c>
    </row>
    <row r="53" spans="1:17" hidden="1" x14ac:dyDescent="0.15">
      <c r="A53" t="s">
        <v>39</v>
      </c>
      <c r="B53" t="s">
        <v>61</v>
      </c>
      <c r="D53" t="s">
        <v>91</v>
      </c>
      <c r="E53" t="s">
        <v>175</v>
      </c>
      <c r="F53">
        <v>0</v>
      </c>
      <c r="G53">
        <v>0</v>
      </c>
      <c r="H53">
        <v>1000</v>
      </c>
      <c r="I53">
        <v>998</v>
      </c>
      <c r="J53">
        <v>652</v>
      </c>
      <c r="K53">
        <v>291</v>
      </c>
      <c r="L53">
        <v>48</v>
      </c>
      <c r="M53">
        <v>6</v>
      </c>
      <c r="N53">
        <v>1</v>
      </c>
      <c r="O53">
        <v>65.330661322645284</v>
      </c>
    </row>
    <row r="54" spans="1:17" hidden="1" x14ac:dyDescent="0.15">
      <c r="A54" t="s">
        <v>39</v>
      </c>
      <c r="B54" t="s">
        <v>61</v>
      </c>
      <c r="D54" t="s">
        <v>91</v>
      </c>
      <c r="E54" t="s">
        <v>21</v>
      </c>
      <c r="F54">
        <v>0</v>
      </c>
      <c r="G54">
        <v>0</v>
      </c>
      <c r="H54">
        <v>1000</v>
      </c>
      <c r="I54">
        <v>999</v>
      </c>
      <c r="J54">
        <v>660</v>
      </c>
      <c r="K54">
        <v>294</v>
      </c>
      <c r="L54">
        <v>39</v>
      </c>
      <c r="M54">
        <v>5</v>
      </c>
      <c r="N54">
        <v>1</v>
      </c>
      <c r="O54">
        <v>66.066066066066071</v>
      </c>
    </row>
    <row r="55" spans="1:17" hidden="1" x14ac:dyDescent="0.15">
      <c r="A55" t="s">
        <v>40</v>
      </c>
      <c r="B55" t="s">
        <v>63</v>
      </c>
      <c r="D55" t="s">
        <v>91</v>
      </c>
      <c r="E55" t="s">
        <v>177</v>
      </c>
      <c r="F55">
        <v>0</v>
      </c>
      <c r="G55">
        <v>0</v>
      </c>
      <c r="H55">
        <v>1000</v>
      </c>
      <c r="I55">
        <v>999</v>
      </c>
      <c r="J55">
        <v>630</v>
      </c>
      <c r="K55">
        <v>263</v>
      </c>
      <c r="L55">
        <v>74</v>
      </c>
      <c r="M55">
        <v>30</v>
      </c>
      <c r="N55">
        <v>2</v>
      </c>
      <c r="O55">
        <v>63.063063063063062</v>
      </c>
      <c r="P55">
        <f>AVERAGE(O55:O56)</f>
        <v>62.912912912912915</v>
      </c>
      <c r="Q55">
        <f>O57</f>
        <v>63.563563563563562</v>
      </c>
    </row>
    <row r="56" spans="1:17" hidden="1" x14ac:dyDescent="0.15">
      <c r="A56" t="s">
        <v>40</v>
      </c>
      <c r="B56" t="s">
        <v>63</v>
      </c>
      <c r="D56" t="s">
        <v>91</v>
      </c>
      <c r="E56" t="s">
        <v>175</v>
      </c>
      <c r="F56">
        <v>0</v>
      </c>
      <c r="G56">
        <v>0</v>
      </c>
      <c r="H56">
        <v>1000</v>
      </c>
      <c r="I56">
        <v>999</v>
      </c>
      <c r="J56">
        <v>627</v>
      </c>
      <c r="K56">
        <v>279</v>
      </c>
      <c r="L56">
        <v>67</v>
      </c>
      <c r="M56">
        <v>24</v>
      </c>
      <c r="N56">
        <v>2</v>
      </c>
      <c r="O56">
        <v>62.762762762762762</v>
      </c>
    </row>
    <row r="57" spans="1:17" hidden="1" x14ac:dyDescent="0.15">
      <c r="A57" t="s">
        <v>40</v>
      </c>
      <c r="B57" t="s">
        <v>63</v>
      </c>
      <c r="D57" t="s">
        <v>91</v>
      </c>
      <c r="E57" t="s">
        <v>21</v>
      </c>
      <c r="F57">
        <v>0</v>
      </c>
      <c r="G57">
        <v>0</v>
      </c>
      <c r="H57">
        <v>1000</v>
      </c>
      <c r="I57">
        <v>999</v>
      </c>
      <c r="J57">
        <v>635</v>
      </c>
      <c r="K57">
        <v>307</v>
      </c>
      <c r="L57">
        <v>52</v>
      </c>
      <c r="M57">
        <v>4</v>
      </c>
      <c r="N57">
        <v>1</v>
      </c>
      <c r="O57">
        <v>63.563563563563562</v>
      </c>
    </row>
    <row r="58" spans="1:17" hidden="1" x14ac:dyDescent="0.15">
      <c r="A58" t="s">
        <v>41</v>
      </c>
      <c r="B58" t="s">
        <v>64</v>
      </c>
      <c r="D58" t="s">
        <v>91</v>
      </c>
      <c r="E58" t="s">
        <v>177</v>
      </c>
      <c r="F58">
        <v>0</v>
      </c>
      <c r="G58">
        <v>0</v>
      </c>
      <c r="H58">
        <v>1000</v>
      </c>
      <c r="I58">
        <v>999</v>
      </c>
      <c r="J58">
        <v>600</v>
      </c>
      <c r="K58">
        <v>269</v>
      </c>
      <c r="L58">
        <v>75</v>
      </c>
      <c r="M58">
        <v>53</v>
      </c>
      <c r="N58">
        <v>2</v>
      </c>
      <c r="O58">
        <v>60.06006006006006</v>
      </c>
      <c r="P58">
        <f>AVERAGE(O58:O59)</f>
        <v>60.660660660660653</v>
      </c>
      <c r="Q58">
        <f>O60</f>
        <v>52.152152152152155</v>
      </c>
    </row>
    <row r="59" spans="1:17" hidden="1" x14ac:dyDescent="0.15">
      <c r="A59" t="s">
        <v>41</v>
      </c>
      <c r="B59" t="s">
        <v>64</v>
      </c>
      <c r="D59" t="s">
        <v>91</v>
      </c>
      <c r="E59" t="s">
        <v>175</v>
      </c>
      <c r="F59">
        <v>0</v>
      </c>
      <c r="G59">
        <v>0</v>
      </c>
      <c r="H59">
        <v>1000</v>
      </c>
      <c r="I59">
        <v>999</v>
      </c>
      <c r="J59">
        <v>612</v>
      </c>
      <c r="K59">
        <v>274</v>
      </c>
      <c r="L59">
        <v>67</v>
      </c>
      <c r="M59">
        <v>44</v>
      </c>
      <c r="N59">
        <v>2</v>
      </c>
      <c r="O59">
        <v>61.261261261261254</v>
      </c>
    </row>
    <row r="60" spans="1:17" hidden="1" x14ac:dyDescent="0.15">
      <c r="A60" t="s">
        <v>41</v>
      </c>
      <c r="B60" t="s">
        <v>64</v>
      </c>
      <c r="D60" t="s">
        <v>91</v>
      </c>
      <c r="E60" t="s">
        <v>21</v>
      </c>
      <c r="F60">
        <v>0</v>
      </c>
      <c r="G60">
        <v>6</v>
      </c>
      <c r="H60">
        <v>994</v>
      </c>
      <c r="I60">
        <v>999</v>
      </c>
      <c r="J60">
        <v>521</v>
      </c>
      <c r="K60">
        <v>257</v>
      </c>
      <c r="L60">
        <v>154</v>
      </c>
      <c r="M60">
        <v>65</v>
      </c>
      <c r="N60">
        <v>2</v>
      </c>
      <c r="O60">
        <v>52.152152152152155</v>
      </c>
    </row>
    <row r="61" spans="1:17" hidden="1" x14ac:dyDescent="0.15">
      <c r="A61" t="s">
        <v>66</v>
      </c>
      <c r="C61" t="s">
        <v>95</v>
      </c>
      <c r="D61" t="s">
        <v>111</v>
      </c>
      <c r="E61" t="s">
        <v>618</v>
      </c>
      <c r="F61">
        <v>22</v>
      </c>
      <c r="G61">
        <v>45</v>
      </c>
      <c r="H61">
        <v>933</v>
      </c>
      <c r="I61">
        <v>999</v>
      </c>
      <c r="J61">
        <v>69</v>
      </c>
      <c r="K61">
        <v>66</v>
      </c>
      <c r="L61">
        <v>56</v>
      </c>
      <c r="M61">
        <v>279</v>
      </c>
      <c r="N61">
        <v>529</v>
      </c>
      <c r="O61">
        <v>6.9069069069069062</v>
      </c>
      <c r="P61">
        <f>AVERAGE(O61:O62)</f>
        <v>6.3563563563563559</v>
      </c>
      <c r="Q61">
        <f>O63</f>
        <v>6.8068068068068071</v>
      </c>
    </row>
    <row r="62" spans="1:17" hidden="1" x14ac:dyDescent="0.15">
      <c r="A62" t="s">
        <v>66</v>
      </c>
      <c r="C62" t="s">
        <v>95</v>
      </c>
      <c r="D62" t="s">
        <v>111</v>
      </c>
      <c r="E62" t="s">
        <v>619</v>
      </c>
      <c r="F62">
        <v>26</v>
      </c>
      <c r="G62">
        <v>58</v>
      </c>
      <c r="H62">
        <v>916</v>
      </c>
      <c r="I62">
        <v>999</v>
      </c>
      <c r="J62">
        <v>58</v>
      </c>
      <c r="K62">
        <v>68</v>
      </c>
      <c r="L62">
        <v>44</v>
      </c>
      <c r="M62">
        <v>269</v>
      </c>
      <c r="N62">
        <v>560</v>
      </c>
      <c r="O62">
        <v>5.8058058058058064</v>
      </c>
    </row>
    <row r="63" spans="1:17" hidden="1" x14ac:dyDescent="0.15">
      <c r="A63" t="s">
        <v>66</v>
      </c>
      <c r="C63" t="s">
        <v>95</v>
      </c>
      <c r="D63" t="s">
        <v>111</v>
      </c>
      <c r="E63" t="s">
        <v>21</v>
      </c>
      <c r="F63">
        <v>33</v>
      </c>
      <c r="G63">
        <v>56</v>
      </c>
      <c r="H63">
        <v>910</v>
      </c>
      <c r="I63">
        <v>999</v>
      </c>
      <c r="J63">
        <v>68</v>
      </c>
      <c r="K63">
        <v>105</v>
      </c>
      <c r="L63">
        <v>74</v>
      </c>
      <c r="M63">
        <v>218</v>
      </c>
      <c r="N63">
        <v>534</v>
      </c>
      <c r="O63">
        <v>6.8068068068068071</v>
      </c>
    </row>
    <row r="64" spans="1:17" hidden="1" x14ac:dyDescent="0.15">
      <c r="A64" t="s">
        <v>67</v>
      </c>
      <c r="C64" t="s">
        <v>94</v>
      </c>
      <c r="D64" t="s">
        <v>111</v>
      </c>
      <c r="E64" t="s">
        <v>618</v>
      </c>
      <c r="F64">
        <v>6</v>
      </c>
      <c r="G64">
        <v>37</v>
      </c>
      <c r="H64">
        <v>957</v>
      </c>
      <c r="I64">
        <v>999</v>
      </c>
      <c r="J64">
        <v>113</v>
      </c>
      <c r="K64">
        <v>134</v>
      </c>
      <c r="L64">
        <v>105</v>
      </c>
      <c r="M64">
        <v>294</v>
      </c>
      <c r="N64">
        <v>353</v>
      </c>
      <c r="O64">
        <v>11.311311311311311</v>
      </c>
      <c r="P64">
        <f>AVERAGE(O64:O65)</f>
        <v>11.661661661661661</v>
      </c>
      <c r="Q64">
        <f>O66</f>
        <v>17.117117117117118</v>
      </c>
    </row>
    <row r="65" spans="1:17" hidden="1" x14ac:dyDescent="0.15">
      <c r="A65" t="s">
        <v>67</v>
      </c>
      <c r="C65" t="s">
        <v>94</v>
      </c>
      <c r="D65" t="s">
        <v>111</v>
      </c>
      <c r="E65" t="s">
        <v>619</v>
      </c>
      <c r="F65">
        <v>5</v>
      </c>
      <c r="G65">
        <v>64</v>
      </c>
      <c r="H65">
        <v>931</v>
      </c>
      <c r="I65">
        <v>999</v>
      </c>
      <c r="J65">
        <v>120</v>
      </c>
      <c r="K65">
        <v>122</v>
      </c>
      <c r="L65">
        <v>94</v>
      </c>
      <c r="M65">
        <v>278</v>
      </c>
      <c r="N65">
        <v>385</v>
      </c>
      <c r="O65">
        <v>12.012012012012011</v>
      </c>
    </row>
    <row r="66" spans="1:17" hidden="1" x14ac:dyDescent="0.15">
      <c r="A66" t="s">
        <v>67</v>
      </c>
      <c r="C66" t="s">
        <v>94</v>
      </c>
      <c r="D66" t="s">
        <v>111</v>
      </c>
      <c r="E66" t="s">
        <v>21</v>
      </c>
      <c r="F66">
        <v>17</v>
      </c>
      <c r="G66">
        <v>16</v>
      </c>
      <c r="H66">
        <v>966</v>
      </c>
      <c r="I66">
        <v>999</v>
      </c>
      <c r="J66">
        <v>171</v>
      </c>
      <c r="K66">
        <v>137</v>
      </c>
      <c r="L66">
        <v>156</v>
      </c>
      <c r="M66">
        <v>286</v>
      </c>
      <c r="N66">
        <v>249</v>
      </c>
      <c r="O66">
        <v>17.117117117117118</v>
      </c>
    </row>
    <row r="67" spans="1:17" hidden="1" x14ac:dyDescent="0.15">
      <c r="A67" t="s">
        <v>68</v>
      </c>
      <c r="C67" t="s">
        <v>93</v>
      </c>
      <c r="D67" t="s">
        <v>620</v>
      </c>
      <c r="E67" t="s">
        <v>618</v>
      </c>
      <c r="F67">
        <v>7</v>
      </c>
      <c r="G67">
        <v>64</v>
      </c>
      <c r="H67">
        <v>929</v>
      </c>
      <c r="I67">
        <v>999</v>
      </c>
      <c r="J67">
        <v>121</v>
      </c>
      <c r="K67">
        <v>135</v>
      </c>
      <c r="L67">
        <v>82</v>
      </c>
      <c r="M67">
        <v>227</v>
      </c>
      <c r="N67">
        <v>434</v>
      </c>
      <c r="O67">
        <v>12.112112112112113</v>
      </c>
      <c r="P67">
        <f>AVERAGE(O67:O68)</f>
        <v>11.461461461461461</v>
      </c>
      <c r="Q67">
        <f>O69</f>
        <v>19.119119119119119</v>
      </c>
    </row>
    <row r="68" spans="1:17" hidden="1" x14ac:dyDescent="0.15">
      <c r="A68" t="s">
        <v>68</v>
      </c>
      <c r="C68" t="s">
        <v>93</v>
      </c>
      <c r="D68" t="s">
        <v>620</v>
      </c>
      <c r="E68" t="s">
        <v>619</v>
      </c>
      <c r="F68">
        <v>5</v>
      </c>
      <c r="G68">
        <v>28</v>
      </c>
      <c r="H68">
        <v>967</v>
      </c>
      <c r="I68">
        <v>999</v>
      </c>
      <c r="J68">
        <v>108</v>
      </c>
      <c r="K68">
        <v>125</v>
      </c>
      <c r="L68">
        <v>80</v>
      </c>
      <c r="M68">
        <v>210</v>
      </c>
      <c r="N68">
        <v>476</v>
      </c>
      <c r="O68">
        <v>10.810810810810811</v>
      </c>
    </row>
    <row r="69" spans="1:17" hidden="1" x14ac:dyDescent="0.15">
      <c r="A69" t="s">
        <v>68</v>
      </c>
      <c r="C69" t="s">
        <v>93</v>
      </c>
      <c r="D69" t="s">
        <v>620</v>
      </c>
      <c r="E69" t="s">
        <v>21</v>
      </c>
      <c r="F69">
        <v>5</v>
      </c>
      <c r="G69">
        <v>27</v>
      </c>
      <c r="H69">
        <v>967</v>
      </c>
      <c r="I69">
        <v>999</v>
      </c>
      <c r="J69">
        <v>191</v>
      </c>
      <c r="K69">
        <v>131</v>
      </c>
      <c r="L69">
        <v>75</v>
      </c>
      <c r="M69">
        <v>179</v>
      </c>
      <c r="N69">
        <v>423</v>
      </c>
      <c r="O69">
        <v>19.119119119119119</v>
      </c>
    </row>
    <row r="70" spans="1:17" hidden="1" x14ac:dyDescent="0.15">
      <c r="A70" t="s">
        <v>69</v>
      </c>
      <c r="C70" t="s">
        <v>96</v>
      </c>
      <c r="D70" t="s">
        <v>111</v>
      </c>
      <c r="E70" t="s">
        <v>618</v>
      </c>
      <c r="F70">
        <v>51</v>
      </c>
      <c r="G70">
        <v>17</v>
      </c>
      <c r="H70">
        <v>932</v>
      </c>
      <c r="I70">
        <v>999</v>
      </c>
      <c r="J70">
        <v>117</v>
      </c>
      <c r="K70">
        <v>137</v>
      </c>
      <c r="L70">
        <v>78</v>
      </c>
      <c r="M70">
        <v>204</v>
      </c>
      <c r="N70">
        <v>463</v>
      </c>
      <c r="O70">
        <v>11.711711711711711</v>
      </c>
      <c r="P70">
        <f>AVERAGE(O70:O71)</f>
        <v>12.312312312312311</v>
      </c>
      <c r="Q70">
        <f>O72</f>
        <v>10.41041041041041</v>
      </c>
    </row>
    <row r="71" spans="1:17" hidden="1" x14ac:dyDescent="0.15">
      <c r="A71" t="s">
        <v>69</v>
      </c>
      <c r="C71" t="s">
        <v>96</v>
      </c>
      <c r="D71" t="s">
        <v>111</v>
      </c>
      <c r="E71" t="s">
        <v>619</v>
      </c>
      <c r="F71">
        <v>17</v>
      </c>
      <c r="G71">
        <v>36</v>
      </c>
      <c r="H71">
        <v>947</v>
      </c>
      <c r="I71">
        <v>999</v>
      </c>
      <c r="J71">
        <v>129</v>
      </c>
      <c r="K71">
        <v>156</v>
      </c>
      <c r="L71">
        <v>92</v>
      </c>
      <c r="M71">
        <v>208</v>
      </c>
      <c r="N71">
        <v>414</v>
      </c>
      <c r="O71">
        <v>12.912912912912914</v>
      </c>
    </row>
    <row r="72" spans="1:17" hidden="1" x14ac:dyDescent="0.15">
      <c r="A72" t="s">
        <v>69</v>
      </c>
      <c r="C72" t="s">
        <v>96</v>
      </c>
      <c r="D72" t="s">
        <v>111</v>
      </c>
      <c r="E72" t="s">
        <v>21</v>
      </c>
      <c r="F72">
        <v>23</v>
      </c>
      <c r="G72">
        <v>22</v>
      </c>
      <c r="H72">
        <v>955</v>
      </c>
      <c r="I72">
        <v>999</v>
      </c>
      <c r="J72">
        <v>104</v>
      </c>
      <c r="K72">
        <v>139</v>
      </c>
      <c r="L72">
        <v>86</v>
      </c>
      <c r="M72">
        <v>218</v>
      </c>
      <c r="N72">
        <v>452</v>
      </c>
      <c r="O72">
        <v>10.41041041041041</v>
      </c>
    </row>
    <row r="73" spans="1:17" hidden="1" x14ac:dyDescent="0.15">
      <c r="A73" t="s">
        <v>70</v>
      </c>
      <c r="C73" t="s">
        <v>97</v>
      </c>
      <c r="D73" t="s">
        <v>112</v>
      </c>
      <c r="E73" t="s">
        <v>618</v>
      </c>
      <c r="F73">
        <v>14</v>
      </c>
      <c r="G73">
        <v>36</v>
      </c>
      <c r="H73">
        <v>951</v>
      </c>
      <c r="I73">
        <v>999</v>
      </c>
      <c r="J73">
        <v>127</v>
      </c>
      <c r="K73">
        <v>165</v>
      </c>
      <c r="L73">
        <v>113</v>
      </c>
      <c r="M73">
        <v>261</v>
      </c>
      <c r="N73">
        <v>333</v>
      </c>
      <c r="O73">
        <v>12.712712712712712</v>
      </c>
      <c r="P73">
        <f>AVERAGE(O73:O74)</f>
        <v>13.213213213213212</v>
      </c>
    </row>
    <row r="74" spans="1:17" hidden="1" x14ac:dyDescent="0.15">
      <c r="A74" t="s">
        <v>70</v>
      </c>
      <c r="C74" t="s">
        <v>97</v>
      </c>
      <c r="D74" t="s">
        <v>112</v>
      </c>
      <c r="E74" t="s">
        <v>619</v>
      </c>
      <c r="F74">
        <v>22</v>
      </c>
      <c r="G74">
        <v>75</v>
      </c>
      <c r="H74">
        <v>903</v>
      </c>
      <c r="I74">
        <v>999</v>
      </c>
      <c r="J74">
        <v>137</v>
      </c>
      <c r="K74">
        <v>175</v>
      </c>
      <c r="L74">
        <v>114</v>
      </c>
      <c r="M74">
        <v>232</v>
      </c>
      <c r="N74">
        <v>341</v>
      </c>
      <c r="O74">
        <v>13.713713713713712</v>
      </c>
    </row>
    <row r="75" spans="1:17" hidden="1" x14ac:dyDescent="0.15">
      <c r="A75" t="s">
        <v>71</v>
      </c>
      <c r="C75" t="s">
        <v>96</v>
      </c>
      <c r="D75" t="s">
        <v>111</v>
      </c>
      <c r="E75" t="s">
        <v>618</v>
      </c>
      <c r="F75">
        <v>39</v>
      </c>
      <c r="G75">
        <v>49</v>
      </c>
      <c r="H75">
        <v>912</v>
      </c>
      <c r="I75">
        <v>999</v>
      </c>
      <c r="J75">
        <v>158</v>
      </c>
      <c r="K75">
        <v>166</v>
      </c>
      <c r="L75">
        <v>99</v>
      </c>
      <c r="M75">
        <v>195</v>
      </c>
      <c r="N75">
        <v>381</v>
      </c>
      <c r="O75">
        <v>15.815815815815814</v>
      </c>
      <c r="P75">
        <f>AVERAGE(O75:O76)</f>
        <v>15.765765765765765</v>
      </c>
      <c r="Q75">
        <f>O77</f>
        <v>17.102615694164992</v>
      </c>
    </row>
    <row r="76" spans="1:17" hidden="1" x14ac:dyDescent="0.15">
      <c r="A76" t="s">
        <v>71</v>
      </c>
      <c r="C76" t="s">
        <v>96</v>
      </c>
      <c r="D76" t="s">
        <v>111</v>
      </c>
      <c r="E76" t="s">
        <v>619</v>
      </c>
      <c r="F76">
        <v>44</v>
      </c>
      <c r="G76">
        <v>48</v>
      </c>
      <c r="H76">
        <v>908</v>
      </c>
      <c r="I76">
        <v>999</v>
      </c>
      <c r="J76">
        <v>157</v>
      </c>
      <c r="K76">
        <v>172</v>
      </c>
      <c r="L76">
        <v>91</v>
      </c>
      <c r="M76">
        <v>195</v>
      </c>
      <c r="N76">
        <v>384</v>
      </c>
      <c r="O76">
        <v>15.715715715715717</v>
      </c>
    </row>
    <row r="77" spans="1:17" hidden="1" x14ac:dyDescent="0.15">
      <c r="A77" t="s">
        <v>71</v>
      </c>
      <c r="C77" t="s">
        <v>96</v>
      </c>
      <c r="D77" t="s">
        <v>111</v>
      </c>
      <c r="E77" t="s">
        <v>21</v>
      </c>
      <c r="F77">
        <v>38</v>
      </c>
      <c r="G77">
        <v>42</v>
      </c>
      <c r="H77">
        <v>920</v>
      </c>
      <c r="I77">
        <v>994</v>
      </c>
      <c r="J77">
        <v>170</v>
      </c>
      <c r="K77">
        <v>173</v>
      </c>
      <c r="L77">
        <v>94</v>
      </c>
      <c r="M77">
        <v>179</v>
      </c>
      <c r="N77">
        <v>378</v>
      </c>
      <c r="O77">
        <v>17.102615694164992</v>
      </c>
    </row>
    <row r="78" spans="1:17" hidden="1" x14ac:dyDescent="0.15">
      <c r="A78" t="s">
        <v>72</v>
      </c>
      <c r="C78" t="s">
        <v>98</v>
      </c>
      <c r="D78" t="s">
        <v>113</v>
      </c>
      <c r="E78" t="s">
        <v>618</v>
      </c>
      <c r="F78">
        <v>0</v>
      </c>
      <c r="G78">
        <v>0</v>
      </c>
      <c r="H78">
        <v>1000</v>
      </c>
      <c r="I78">
        <v>999</v>
      </c>
      <c r="J78">
        <v>124</v>
      </c>
      <c r="K78">
        <v>172</v>
      </c>
      <c r="L78">
        <v>143</v>
      </c>
      <c r="M78">
        <v>175</v>
      </c>
      <c r="N78">
        <v>385</v>
      </c>
      <c r="O78">
        <v>12.412412412412413</v>
      </c>
      <c r="P78">
        <f>AVERAGE(O78:O79)</f>
        <v>12.212212212212211</v>
      </c>
      <c r="Q78">
        <f>O80</f>
        <v>15.115115115115115</v>
      </c>
    </row>
    <row r="79" spans="1:17" hidden="1" x14ac:dyDescent="0.15">
      <c r="A79" t="s">
        <v>72</v>
      </c>
      <c r="C79" t="s">
        <v>98</v>
      </c>
      <c r="D79" t="s">
        <v>113</v>
      </c>
      <c r="E79" t="s">
        <v>619</v>
      </c>
      <c r="F79">
        <v>0</v>
      </c>
      <c r="G79">
        <v>0</v>
      </c>
      <c r="H79">
        <v>1000</v>
      </c>
      <c r="I79">
        <v>999</v>
      </c>
      <c r="J79">
        <v>120</v>
      </c>
      <c r="K79">
        <v>171</v>
      </c>
      <c r="L79">
        <v>139</v>
      </c>
      <c r="M79">
        <v>175</v>
      </c>
      <c r="N79">
        <v>394</v>
      </c>
      <c r="O79">
        <v>12.012012012012011</v>
      </c>
    </row>
    <row r="80" spans="1:17" hidden="1" x14ac:dyDescent="0.15">
      <c r="A80" t="s">
        <v>72</v>
      </c>
      <c r="C80" t="s">
        <v>98</v>
      </c>
      <c r="D80" t="s">
        <v>113</v>
      </c>
      <c r="E80" t="s">
        <v>21</v>
      </c>
      <c r="F80">
        <v>0</v>
      </c>
      <c r="G80">
        <v>0</v>
      </c>
      <c r="H80">
        <v>1000</v>
      </c>
      <c r="I80">
        <v>999</v>
      </c>
      <c r="J80">
        <v>151</v>
      </c>
      <c r="K80">
        <v>198</v>
      </c>
      <c r="L80">
        <v>153</v>
      </c>
      <c r="M80">
        <v>141</v>
      </c>
      <c r="N80">
        <v>356</v>
      </c>
      <c r="O80">
        <v>15.115115115115115</v>
      </c>
    </row>
    <row r="81" spans="1:17" hidden="1" x14ac:dyDescent="0.15">
      <c r="A81" t="s">
        <v>73</v>
      </c>
      <c r="C81" t="s">
        <v>99</v>
      </c>
      <c r="D81" t="s">
        <v>111</v>
      </c>
      <c r="E81" t="s">
        <v>618</v>
      </c>
      <c r="F81">
        <v>13</v>
      </c>
      <c r="G81">
        <v>21</v>
      </c>
      <c r="H81">
        <v>965</v>
      </c>
      <c r="I81">
        <v>999</v>
      </c>
      <c r="J81">
        <v>142</v>
      </c>
      <c r="K81">
        <v>132</v>
      </c>
      <c r="L81">
        <v>115</v>
      </c>
      <c r="M81">
        <v>210</v>
      </c>
      <c r="N81">
        <v>400</v>
      </c>
      <c r="O81">
        <v>14.214214214214213</v>
      </c>
      <c r="P81">
        <f>AVERAGE(O81:O82)</f>
        <v>13.419732357608108</v>
      </c>
      <c r="Q81">
        <f>O83</f>
        <v>11.411411411411411</v>
      </c>
    </row>
    <row r="82" spans="1:17" hidden="1" x14ac:dyDescent="0.15">
      <c r="A82" t="s">
        <v>73</v>
      </c>
      <c r="C82" t="s">
        <v>99</v>
      </c>
      <c r="D82" t="s">
        <v>111</v>
      </c>
      <c r="E82" t="s">
        <v>619</v>
      </c>
      <c r="F82">
        <v>21</v>
      </c>
      <c r="G82">
        <v>62</v>
      </c>
      <c r="H82">
        <v>917</v>
      </c>
      <c r="I82">
        <v>998</v>
      </c>
      <c r="J82">
        <v>126</v>
      </c>
      <c r="K82">
        <v>129</v>
      </c>
      <c r="L82">
        <v>109</v>
      </c>
      <c r="M82">
        <v>180</v>
      </c>
      <c r="N82">
        <v>454</v>
      </c>
      <c r="O82">
        <v>12.625250501002002</v>
      </c>
    </row>
    <row r="83" spans="1:17" hidden="1" x14ac:dyDescent="0.15">
      <c r="A83" t="s">
        <v>73</v>
      </c>
      <c r="C83" t="s">
        <v>99</v>
      </c>
      <c r="D83" t="s">
        <v>111</v>
      </c>
      <c r="E83" t="s">
        <v>21</v>
      </c>
      <c r="F83">
        <v>10</v>
      </c>
      <c r="G83">
        <v>7</v>
      </c>
      <c r="H83">
        <v>983</v>
      </c>
      <c r="I83">
        <v>999</v>
      </c>
      <c r="J83">
        <v>114</v>
      </c>
      <c r="K83">
        <v>134</v>
      </c>
      <c r="L83">
        <v>92</v>
      </c>
      <c r="M83">
        <v>195</v>
      </c>
      <c r="N83">
        <v>464</v>
      </c>
      <c r="O83">
        <v>11.411411411411411</v>
      </c>
    </row>
    <row r="84" spans="1:17" hidden="1" x14ac:dyDescent="0.15">
      <c r="A84" t="s">
        <v>74</v>
      </c>
      <c r="C84" t="s">
        <v>100</v>
      </c>
      <c r="D84" t="s">
        <v>114</v>
      </c>
      <c r="E84" t="s">
        <v>618</v>
      </c>
      <c r="F84">
        <v>0</v>
      </c>
      <c r="G84">
        <v>0</v>
      </c>
      <c r="H84">
        <v>1000</v>
      </c>
      <c r="I84">
        <v>999</v>
      </c>
      <c r="J84">
        <v>23</v>
      </c>
      <c r="K84">
        <v>6</v>
      </c>
      <c r="L84">
        <v>15</v>
      </c>
      <c r="M84">
        <v>430</v>
      </c>
      <c r="N84">
        <v>525</v>
      </c>
      <c r="O84">
        <v>2.3023023023023024</v>
      </c>
      <c r="P84">
        <f>AVERAGE(O84:O85)</f>
        <v>2.1521521521521523</v>
      </c>
      <c r="Q84">
        <f>O86</f>
        <v>1.0010010010010011</v>
      </c>
    </row>
    <row r="85" spans="1:17" hidden="1" x14ac:dyDescent="0.15">
      <c r="A85" t="s">
        <v>74</v>
      </c>
      <c r="C85" t="s">
        <v>100</v>
      </c>
      <c r="D85" t="s">
        <v>114</v>
      </c>
      <c r="E85" t="s">
        <v>619</v>
      </c>
      <c r="F85">
        <v>2</v>
      </c>
      <c r="G85">
        <v>0</v>
      </c>
      <c r="H85">
        <v>998</v>
      </c>
      <c r="I85">
        <v>999</v>
      </c>
      <c r="J85">
        <v>20</v>
      </c>
      <c r="K85">
        <v>14</v>
      </c>
      <c r="L85">
        <v>16</v>
      </c>
      <c r="M85">
        <v>464</v>
      </c>
      <c r="N85">
        <v>485</v>
      </c>
      <c r="O85">
        <v>2.0020020020020022</v>
      </c>
    </row>
    <row r="86" spans="1:17" hidden="1" x14ac:dyDescent="0.15">
      <c r="A86" t="s">
        <v>74</v>
      </c>
      <c r="C86" t="s">
        <v>100</v>
      </c>
      <c r="D86" t="s">
        <v>114</v>
      </c>
      <c r="E86" t="s">
        <v>21</v>
      </c>
      <c r="F86">
        <v>0</v>
      </c>
      <c r="G86">
        <v>0</v>
      </c>
      <c r="H86">
        <v>1000</v>
      </c>
      <c r="I86">
        <v>999</v>
      </c>
      <c r="J86">
        <v>10</v>
      </c>
      <c r="K86">
        <v>1</v>
      </c>
      <c r="L86">
        <v>7</v>
      </c>
      <c r="M86">
        <v>107</v>
      </c>
      <c r="N86">
        <v>874</v>
      </c>
      <c r="O86">
        <v>1.0010010010010011</v>
      </c>
    </row>
    <row r="87" spans="1:17" hidden="1" x14ac:dyDescent="0.15">
      <c r="A87" t="s">
        <v>75</v>
      </c>
      <c r="C87" t="s">
        <v>100</v>
      </c>
      <c r="D87" t="s">
        <v>114</v>
      </c>
      <c r="E87" t="s">
        <v>618</v>
      </c>
      <c r="F87">
        <v>0</v>
      </c>
      <c r="G87">
        <v>0</v>
      </c>
      <c r="H87">
        <v>1000</v>
      </c>
      <c r="I87">
        <v>999</v>
      </c>
      <c r="J87">
        <v>34</v>
      </c>
      <c r="K87">
        <v>7</v>
      </c>
      <c r="L87">
        <v>21</v>
      </c>
      <c r="M87">
        <v>491</v>
      </c>
      <c r="N87">
        <v>446</v>
      </c>
      <c r="O87">
        <v>3.4034034034034035</v>
      </c>
      <c r="P87">
        <f>AVERAGE(O87:O88)</f>
        <v>2.8028028028028027</v>
      </c>
      <c r="Q87">
        <f>O89</f>
        <v>0.50200803212851408</v>
      </c>
    </row>
    <row r="88" spans="1:17" hidden="1" x14ac:dyDescent="0.15">
      <c r="A88" t="s">
        <v>75</v>
      </c>
      <c r="C88" t="s">
        <v>100</v>
      </c>
      <c r="D88" t="s">
        <v>114</v>
      </c>
      <c r="E88" t="s">
        <v>619</v>
      </c>
      <c r="F88">
        <v>0</v>
      </c>
      <c r="G88">
        <v>0</v>
      </c>
      <c r="H88">
        <v>1000</v>
      </c>
      <c r="I88">
        <v>999</v>
      </c>
      <c r="J88">
        <v>22</v>
      </c>
      <c r="K88">
        <v>3</v>
      </c>
      <c r="L88">
        <v>19</v>
      </c>
      <c r="M88">
        <v>415</v>
      </c>
      <c r="N88">
        <v>540</v>
      </c>
      <c r="O88">
        <v>2.2022022022022023</v>
      </c>
    </row>
    <row r="89" spans="1:17" hidden="1" x14ac:dyDescent="0.15">
      <c r="A89" t="s">
        <v>75</v>
      </c>
      <c r="C89" t="s">
        <v>100</v>
      </c>
      <c r="D89" t="s">
        <v>114</v>
      </c>
      <c r="E89" t="s">
        <v>21</v>
      </c>
      <c r="F89">
        <v>0</v>
      </c>
      <c r="G89">
        <v>0</v>
      </c>
      <c r="H89">
        <v>1000</v>
      </c>
      <c r="I89">
        <v>996</v>
      </c>
      <c r="J89">
        <v>5</v>
      </c>
      <c r="K89">
        <v>0</v>
      </c>
      <c r="L89">
        <v>1</v>
      </c>
      <c r="M89">
        <v>390</v>
      </c>
      <c r="N89">
        <v>600</v>
      </c>
      <c r="O89">
        <v>0.50200803212851408</v>
      </c>
    </row>
    <row r="90" spans="1:17" x14ac:dyDescent="0.15">
      <c r="A90" t="s">
        <v>76</v>
      </c>
      <c r="C90" t="s">
        <v>101</v>
      </c>
      <c r="D90" t="s">
        <v>111</v>
      </c>
      <c r="E90" t="s">
        <v>618</v>
      </c>
      <c r="F90">
        <v>0</v>
      </c>
      <c r="G90">
        <v>0</v>
      </c>
      <c r="H90">
        <v>1000</v>
      </c>
      <c r="I90">
        <v>999</v>
      </c>
      <c r="J90">
        <v>422</v>
      </c>
      <c r="K90">
        <v>444</v>
      </c>
      <c r="L90">
        <v>116</v>
      </c>
      <c r="M90">
        <v>10</v>
      </c>
      <c r="N90">
        <v>7</v>
      </c>
      <c r="O90">
        <v>42.242242242242241</v>
      </c>
      <c r="P90">
        <f>AVERAGE(O90:O91)</f>
        <v>42.392392392392395</v>
      </c>
      <c r="Q90">
        <f>O92</f>
        <v>61.22244488977956</v>
      </c>
    </row>
    <row r="91" spans="1:17" x14ac:dyDescent="0.15">
      <c r="A91" t="s">
        <v>76</v>
      </c>
      <c r="C91" t="s">
        <v>101</v>
      </c>
      <c r="D91" t="s">
        <v>111</v>
      </c>
      <c r="E91" t="s">
        <v>619</v>
      </c>
      <c r="F91">
        <v>0</v>
      </c>
      <c r="G91">
        <v>3</v>
      </c>
      <c r="H91">
        <v>997</v>
      </c>
      <c r="I91">
        <v>999</v>
      </c>
      <c r="J91">
        <v>425</v>
      </c>
      <c r="K91">
        <v>423</v>
      </c>
      <c r="L91">
        <v>134</v>
      </c>
      <c r="M91">
        <v>9</v>
      </c>
      <c r="N91">
        <v>8</v>
      </c>
      <c r="O91">
        <v>42.542542542542542</v>
      </c>
    </row>
    <row r="92" spans="1:17" x14ac:dyDescent="0.15">
      <c r="A92" t="s">
        <v>76</v>
      </c>
      <c r="C92" t="s">
        <v>101</v>
      </c>
      <c r="D92" t="s">
        <v>111</v>
      </c>
      <c r="E92" t="s">
        <v>21</v>
      </c>
      <c r="F92">
        <v>0</v>
      </c>
      <c r="G92">
        <v>0</v>
      </c>
      <c r="H92">
        <v>1000</v>
      </c>
      <c r="I92">
        <v>998</v>
      </c>
      <c r="J92">
        <v>611</v>
      </c>
      <c r="K92">
        <v>327</v>
      </c>
      <c r="L92">
        <v>43</v>
      </c>
      <c r="M92">
        <v>6</v>
      </c>
      <c r="N92">
        <v>11</v>
      </c>
      <c r="O92">
        <v>61.22244488977956</v>
      </c>
    </row>
    <row r="93" spans="1:17" hidden="1" x14ac:dyDescent="0.15">
      <c r="A93" t="s">
        <v>77</v>
      </c>
      <c r="C93" t="s">
        <v>100</v>
      </c>
      <c r="D93" t="s">
        <v>114</v>
      </c>
      <c r="E93" t="s">
        <v>618</v>
      </c>
      <c r="F93">
        <v>0</v>
      </c>
      <c r="G93">
        <v>14</v>
      </c>
      <c r="H93">
        <v>986</v>
      </c>
      <c r="I93">
        <v>998</v>
      </c>
      <c r="J93">
        <v>647</v>
      </c>
      <c r="K93">
        <v>277</v>
      </c>
      <c r="L93">
        <v>53</v>
      </c>
      <c r="M93">
        <v>12</v>
      </c>
      <c r="N93">
        <v>9</v>
      </c>
      <c r="O93">
        <v>64.829659318637283</v>
      </c>
      <c r="P93">
        <f>AVERAGE(O93:O94)</f>
        <v>65.497912742401724</v>
      </c>
      <c r="Q93">
        <f>O95</f>
        <v>67.167167167167165</v>
      </c>
    </row>
    <row r="94" spans="1:17" hidden="1" x14ac:dyDescent="0.15">
      <c r="A94" t="s">
        <v>77</v>
      </c>
      <c r="C94" t="s">
        <v>100</v>
      </c>
      <c r="D94" t="s">
        <v>114</v>
      </c>
      <c r="E94" t="s">
        <v>619</v>
      </c>
      <c r="F94">
        <v>0</v>
      </c>
      <c r="G94">
        <v>2</v>
      </c>
      <c r="H94">
        <v>997</v>
      </c>
      <c r="I94">
        <v>999</v>
      </c>
      <c r="J94">
        <v>661</v>
      </c>
      <c r="K94">
        <v>283</v>
      </c>
      <c r="L94">
        <v>39</v>
      </c>
      <c r="M94">
        <v>10</v>
      </c>
      <c r="N94">
        <v>6</v>
      </c>
      <c r="O94">
        <v>66.166166166166164</v>
      </c>
    </row>
    <row r="95" spans="1:17" hidden="1" x14ac:dyDescent="0.15">
      <c r="A95" t="s">
        <v>77</v>
      </c>
      <c r="C95" t="s">
        <v>100</v>
      </c>
      <c r="D95" t="s">
        <v>114</v>
      </c>
      <c r="E95" t="s">
        <v>21</v>
      </c>
      <c r="F95">
        <v>0</v>
      </c>
      <c r="G95">
        <v>0</v>
      </c>
      <c r="H95">
        <v>1000</v>
      </c>
      <c r="I95">
        <v>999</v>
      </c>
      <c r="J95">
        <v>671</v>
      </c>
      <c r="K95">
        <v>247</v>
      </c>
      <c r="L95">
        <v>66</v>
      </c>
      <c r="M95">
        <v>11</v>
      </c>
      <c r="N95">
        <v>4</v>
      </c>
      <c r="O95">
        <v>67.167167167167165</v>
      </c>
    </row>
    <row r="96" spans="1:17" hidden="1" x14ac:dyDescent="0.15">
      <c r="A96" t="s">
        <v>78</v>
      </c>
      <c r="C96" t="s">
        <v>621</v>
      </c>
      <c r="D96" t="s">
        <v>111</v>
      </c>
      <c r="E96" t="s">
        <v>618</v>
      </c>
      <c r="F96">
        <v>0</v>
      </c>
      <c r="G96">
        <v>0</v>
      </c>
      <c r="H96">
        <v>1000</v>
      </c>
      <c r="I96">
        <v>998</v>
      </c>
      <c r="J96">
        <v>595</v>
      </c>
      <c r="K96">
        <v>253</v>
      </c>
      <c r="L96">
        <v>99</v>
      </c>
      <c r="M96">
        <v>37</v>
      </c>
      <c r="N96">
        <v>14</v>
      </c>
      <c r="O96">
        <v>59.619238476953903</v>
      </c>
      <c r="P96">
        <f>AVERAGE(O96:O97)</f>
        <v>59.519038076152299</v>
      </c>
      <c r="Q96">
        <f>O98</f>
        <v>67.735470941883761</v>
      </c>
    </row>
    <row r="97" spans="1:17" hidden="1" x14ac:dyDescent="0.15">
      <c r="A97" t="s">
        <v>78</v>
      </c>
      <c r="C97" t="s">
        <v>621</v>
      </c>
      <c r="D97" t="s">
        <v>111</v>
      </c>
      <c r="E97" t="s">
        <v>619</v>
      </c>
      <c r="F97">
        <v>0</v>
      </c>
      <c r="G97">
        <v>3</v>
      </c>
      <c r="H97">
        <v>9997</v>
      </c>
      <c r="I97">
        <v>998</v>
      </c>
      <c r="J97">
        <v>593</v>
      </c>
      <c r="K97">
        <v>256</v>
      </c>
      <c r="L97">
        <v>105</v>
      </c>
      <c r="M97">
        <v>37</v>
      </c>
      <c r="N97">
        <v>7</v>
      </c>
      <c r="O97">
        <v>59.418837675350701</v>
      </c>
    </row>
    <row r="98" spans="1:17" hidden="1" x14ac:dyDescent="0.15">
      <c r="A98" t="s">
        <v>78</v>
      </c>
      <c r="C98" t="s">
        <v>621</v>
      </c>
      <c r="D98" t="s">
        <v>111</v>
      </c>
      <c r="E98" t="s">
        <v>21</v>
      </c>
      <c r="F98">
        <v>0</v>
      </c>
      <c r="G98">
        <v>0</v>
      </c>
      <c r="H98">
        <v>1000</v>
      </c>
      <c r="I98">
        <v>998</v>
      </c>
      <c r="J98">
        <v>676</v>
      </c>
      <c r="K98">
        <v>272</v>
      </c>
      <c r="L98">
        <v>37</v>
      </c>
      <c r="M98">
        <v>5</v>
      </c>
      <c r="N98">
        <v>8</v>
      </c>
      <c r="O98">
        <v>67.735470941883761</v>
      </c>
    </row>
    <row r="99" spans="1:17" hidden="1" x14ac:dyDescent="0.15">
      <c r="A99" t="s">
        <v>79</v>
      </c>
      <c r="C99" t="s">
        <v>102</v>
      </c>
      <c r="D99" t="s">
        <v>111</v>
      </c>
      <c r="E99" t="s">
        <v>618</v>
      </c>
      <c r="F99">
        <v>2</v>
      </c>
      <c r="G99">
        <v>46</v>
      </c>
      <c r="H99">
        <v>952</v>
      </c>
      <c r="I99">
        <v>998</v>
      </c>
      <c r="J99">
        <v>540</v>
      </c>
      <c r="K99">
        <v>228</v>
      </c>
      <c r="L99">
        <v>54</v>
      </c>
      <c r="M99">
        <v>82</v>
      </c>
      <c r="N99">
        <v>94</v>
      </c>
      <c r="O99">
        <v>54.108216432865731</v>
      </c>
      <c r="P99">
        <f>AVERAGE(O99:O100)</f>
        <v>54.131185293509944</v>
      </c>
      <c r="Q99">
        <f>O101</f>
        <v>61.161161161161161</v>
      </c>
    </row>
    <row r="100" spans="1:17" hidden="1" x14ac:dyDescent="0.15">
      <c r="A100" t="s">
        <v>79</v>
      </c>
      <c r="C100" t="s">
        <v>102</v>
      </c>
      <c r="D100" t="s">
        <v>111</v>
      </c>
      <c r="E100" t="s">
        <v>619</v>
      </c>
      <c r="F100">
        <v>2</v>
      </c>
      <c r="G100">
        <v>1</v>
      </c>
      <c r="H100">
        <v>997</v>
      </c>
      <c r="I100">
        <v>999</v>
      </c>
      <c r="J100">
        <v>541</v>
      </c>
      <c r="K100">
        <v>216</v>
      </c>
      <c r="L100">
        <v>55</v>
      </c>
      <c r="M100">
        <v>87</v>
      </c>
      <c r="N100">
        <v>100</v>
      </c>
      <c r="O100">
        <v>54.154154154154156</v>
      </c>
    </row>
    <row r="101" spans="1:17" hidden="1" x14ac:dyDescent="0.15">
      <c r="A101" t="s">
        <v>79</v>
      </c>
      <c r="C101" t="s">
        <v>102</v>
      </c>
      <c r="D101" t="s">
        <v>111</v>
      </c>
      <c r="E101" t="s">
        <v>21</v>
      </c>
      <c r="F101">
        <v>0</v>
      </c>
      <c r="G101">
        <v>3</v>
      </c>
      <c r="H101">
        <v>997</v>
      </c>
      <c r="I101">
        <v>999</v>
      </c>
      <c r="J101">
        <v>611</v>
      </c>
      <c r="K101">
        <v>216</v>
      </c>
      <c r="L101">
        <v>60</v>
      </c>
      <c r="M101">
        <v>81</v>
      </c>
      <c r="N101">
        <v>31</v>
      </c>
      <c r="O101">
        <v>61.161161161161161</v>
      </c>
    </row>
    <row r="102" spans="1:17" hidden="1" x14ac:dyDescent="0.15">
      <c r="A102" t="s">
        <v>80</v>
      </c>
      <c r="C102" t="s">
        <v>103</v>
      </c>
      <c r="D102" t="s">
        <v>115</v>
      </c>
      <c r="E102" t="s">
        <v>618</v>
      </c>
      <c r="F102">
        <v>0</v>
      </c>
      <c r="G102">
        <v>5</v>
      </c>
      <c r="H102">
        <v>995</v>
      </c>
      <c r="I102">
        <v>999</v>
      </c>
      <c r="J102">
        <v>235</v>
      </c>
      <c r="K102">
        <v>296</v>
      </c>
      <c r="L102">
        <v>131</v>
      </c>
      <c r="M102">
        <v>212</v>
      </c>
      <c r="N102">
        <v>125</v>
      </c>
      <c r="O102">
        <v>23.523523523523522</v>
      </c>
      <c r="P102">
        <f>AVERAGE(O102:O103)</f>
        <v>24.774774774774777</v>
      </c>
      <c r="Q102">
        <f>O104</f>
        <v>46.346346346346344</v>
      </c>
    </row>
    <row r="103" spans="1:17" hidden="1" x14ac:dyDescent="0.15">
      <c r="A103" t="s">
        <v>80</v>
      </c>
      <c r="C103" t="s">
        <v>103</v>
      </c>
      <c r="D103" t="s">
        <v>115</v>
      </c>
      <c r="E103" t="s">
        <v>619</v>
      </c>
      <c r="F103">
        <v>0</v>
      </c>
      <c r="G103">
        <v>10</v>
      </c>
      <c r="H103">
        <v>990</v>
      </c>
      <c r="I103">
        <v>999</v>
      </c>
      <c r="J103">
        <v>260</v>
      </c>
      <c r="K103">
        <v>377</v>
      </c>
      <c r="L103">
        <v>156</v>
      </c>
      <c r="M103">
        <v>136</v>
      </c>
      <c r="N103">
        <v>70</v>
      </c>
      <c r="O103">
        <v>26.026026026026027</v>
      </c>
    </row>
    <row r="104" spans="1:17" hidden="1" x14ac:dyDescent="0.15">
      <c r="A104" t="s">
        <v>80</v>
      </c>
      <c r="C104" t="s">
        <v>103</v>
      </c>
      <c r="D104" t="s">
        <v>115</v>
      </c>
      <c r="E104" t="s">
        <v>21</v>
      </c>
      <c r="F104">
        <v>0</v>
      </c>
      <c r="G104">
        <v>0</v>
      </c>
      <c r="H104">
        <v>1000</v>
      </c>
      <c r="I104">
        <v>999</v>
      </c>
      <c r="J104">
        <v>463</v>
      </c>
      <c r="K104">
        <v>460</v>
      </c>
      <c r="L104">
        <v>64</v>
      </c>
      <c r="M104">
        <v>7</v>
      </c>
      <c r="N104">
        <v>5</v>
      </c>
      <c r="O104">
        <v>46.346346346346344</v>
      </c>
    </row>
    <row r="106" spans="1:17" x14ac:dyDescent="0.15">
      <c r="A106" t="s">
        <v>390</v>
      </c>
      <c r="B106" t="s">
        <v>50</v>
      </c>
      <c r="D106">
        <v>2020</v>
      </c>
      <c r="P106">
        <f>AVERAGE(P19,P78)</f>
        <v>13.763763763763764</v>
      </c>
      <c r="Q106">
        <f>AVERAGE(Q19,Q78)</f>
        <v>12.562562562562562</v>
      </c>
    </row>
    <row r="107" spans="1:17" x14ac:dyDescent="0.15">
      <c r="A107" t="s">
        <v>623</v>
      </c>
      <c r="B107" t="s">
        <v>179</v>
      </c>
      <c r="C107" t="s">
        <v>622</v>
      </c>
      <c r="D107">
        <v>2020</v>
      </c>
      <c r="P107">
        <f>AVERAGE(P2,P5,P8)</f>
        <v>11.578244911578244</v>
      </c>
      <c r="Q107">
        <f>AVERAGE(Q2,Q5,Q8)</f>
        <v>15.244083788684726</v>
      </c>
    </row>
    <row r="108" spans="1:17" x14ac:dyDescent="0.15">
      <c r="A108" t="s">
        <v>624</v>
      </c>
      <c r="B108" t="s">
        <v>179</v>
      </c>
      <c r="C108" t="s">
        <v>625</v>
      </c>
      <c r="D108">
        <v>2020</v>
      </c>
      <c r="P108">
        <f>AVERAGE(P61,P64,P67)</f>
        <v>9.8264931598264926</v>
      </c>
      <c r="Q108">
        <f>AVERAGE(Q61,Q64,Q67)</f>
        <v>14.34768101434768</v>
      </c>
    </row>
    <row r="109" spans="1:17" x14ac:dyDescent="0.15">
      <c r="A109" t="s">
        <v>73</v>
      </c>
      <c r="B109" t="s">
        <v>189</v>
      </c>
      <c r="C109" t="s">
        <v>625</v>
      </c>
      <c r="D109">
        <v>2020</v>
      </c>
      <c r="P109">
        <f>P81</f>
        <v>13.419732357608108</v>
      </c>
      <c r="Q109">
        <f>Q81</f>
        <v>11.411411411411411</v>
      </c>
    </row>
    <row r="110" spans="1:17" x14ac:dyDescent="0.15">
      <c r="A110" t="s">
        <v>627</v>
      </c>
      <c r="B110" t="s">
        <v>189</v>
      </c>
      <c r="C110" t="s">
        <v>629</v>
      </c>
      <c r="D110">
        <v>2020</v>
      </c>
      <c r="P110">
        <f>AVERAGE(P22,P25)</f>
        <v>20.745745745745744</v>
      </c>
      <c r="Q110">
        <f>AVERAGE(Q22,Q25)</f>
        <v>30.68068068068068</v>
      </c>
    </row>
    <row r="111" spans="1:17" x14ac:dyDescent="0.15">
      <c r="A111" t="s">
        <v>628</v>
      </c>
      <c r="B111" t="s">
        <v>189</v>
      </c>
      <c r="C111" t="s">
        <v>622</v>
      </c>
      <c r="D111">
        <v>2020</v>
      </c>
      <c r="P111">
        <f>AVERAGE(P31,P34)</f>
        <v>16.116116116116117</v>
      </c>
      <c r="Q111">
        <f>AVERAGE(Q31,Q34)</f>
        <v>14.664664664664663</v>
      </c>
    </row>
    <row r="112" spans="1:17" x14ac:dyDescent="0.15">
      <c r="A112" t="s">
        <v>630</v>
      </c>
      <c r="B112" t="s">
        <v>194</v>
      </c>
      <c r="C112" t="s">
        <v>622</v>
      </c>
      <c r="D112">
        <v>2020</v>
      </c>
      <c r="P112">
        <f>AVERAGE(P11,P14,P16)</f>
        <v>16.466466466466468</v>
      </c>
      <c r="Q112">
        <f>AVERAGE(Q11,Q14,Q16)</f>
        <v>28.767298485608343</v>
      </c>
    </row>
    <row r="113" spans="1:17" x14ac:dyDescent="0.15">
      <c r="A113" t="s">
        <v>393</v>
      </c>
      <c r="B113" t="s">
        <v>194</v>
      </c>
      <c r="C113" t="s">
        <v>632</v>
      </c>
      <c r="D113">
        <v>2020</v>
      </c>
      <c r="P113">
        <f>AVERAGE(P70,P73,P75)</f>
        <v>13.763763763763762</v>
      </c>
      <c r="Q113">
        <f>AVERAGE(Q70,Q73,Q75)</f>
        <v>13.756513052287701</v>
      </c>
    </row>
    <row r="114" spans="1:17" x14ac:dyDescent="0.15">
      <c r="A114" t="s">
        <v>401</v>
      </c>
      <c r="B114" t="s">
        <v>396</v>
      </c>
      <c r="D114">
        <v>2020</v>
      </c>
      <c r="P114">
        <f>AVERAGE(P37,P40,P84,P87)</f>
        <v>2.6780538053083145</v>
      </c>
      <c r="Q114">
        <f>AVERAGE(Q37,Q40,Q84,Q87)</f>
        <v>0.72610260863272913</v>
      </c>
    </row>
    <row r="115" spans="1:17" x14ac:dyDescent="0.15">
      <c r="A115" t="s">
        <v>351</v>
      </c>
      <c r="B115" t="s">
        <v>131</v>
      </c>
      <c r="C115" t="s">
        <v>631</v>
      </c>
      <c r="D115">
        <v>2020</v>
      </c>
      <c r="P115">
        <f>P52</f>
        <v>65.948613944605924</v>
      </c>
      <c r="Q115">
        <f>Q52</f>
        <v>66.066066066066071</v>
      </c>
    </row>
    <row r="116" spans="1:17" x14ac:dyDescent="0.15">
      <c r="A116" t="s">
        <v>351</v>
      </c>
      <c r="B116" t="s">
        <v>131</v>
      </c>
      <c r="C116" t="s">
        <v>633</v>
      </c>
      <c r="D116">
        <v>2020</v>
      </c>
      <c r="P116">
        <f>AVERAGE(P52,P96)</f>
        <v>62.733826010379111</v>
      </c>
      <c r="Q116">
        <f>AVERAGE(Q52,Q96)</f>
        <v>66.900768503974916</v>
      </c>
    </row>
    <row r="117" spans="1:17" x14ac:dyDescent="0.15">
      <c r="A117" t="s">
        <v>634</v>
      </c>
      <c r="B117" t="s">
        <v>131</v>
      </c>
      <c r="D117">
        <v>2020</v>
      </c>
      <c r="P117">
        <f>P99</f>
        <v>54.131185293509944</v>
      </c>
      <c r="Q117">
        <f>Q99</f>
        <v>61.161161161161161</v>
      </c>
    </row>
    <row r="118" spans="1:17" x14ac:dyDescent="0.15">
      <c r="A118" t="s">
        <v>635</v>
      </c>
      <c r="B118" t="s">
        <v>131</v>
      </c>
      <c r="D118">
        <v>2020</v>
      </c>
      <c r="P118">
        <f>P93</f>
        <v>65.497912742401724</v>
      </c>
      <c r="Q118">
        <f>Q93</f>
        <v>67.167167167167165</v>
      </c>
    </row>
    <row r="119" spans="1:17" x14ac:dyDescent="0.15">
      <c r="A119" t="s">
        <v>636</v>
      </c>
      <c r="B119" t="s">
        <v>210</v>
      </c>
      <c r="D119">
        <v>2020</v>
      </c>
      <c r="P119">
        <f>AVERAGE(P43,P90)</f>
        <v>50.154112027859526</v>
      </c>
      <c r="Q119">
        <f>AVERAGE(Q43,Q90)</f>
        <v>60.94155277522011</v>
      </c>
    </row>
    <row r="120" spans="1:17" x14ac:dyDescent="0.15">
      <c r="A120" t="s">
        <v>349</v>
      </c>
      <c r="B120" t="s">
        <v>210</v>
      </c>
      <c r="D120">
        <v>2020</v>
      </c>
      <c r="P120">
        <f>P43</f>
        <v>57.915831663326657</v>
      </c>
      <c r="Q120">
        <f>Q43</f>
        <v>60.66066066066066</v>
      </c>
    </row>
  </sheetData>
  <autoFilter ref="A1:Q104">
    <filterColumn colId="0">
      <filters>
        <filter val="S-15-16-A"/>
        <filter val="S-15-W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N66" sqref="N66"/>
    </sheetView>
  </sheetViews>
  <sheetFormatPr defaultRowHeight="10.5" x14ac:dyDescent="0.15"/>
  <sheetData>
    <row r="1" spans="1:5" x14ac:dyDescent="0.15">
      <c r="A1" t="s">
        <v>125</v>
      </c>
      <c r="B1" t="s">
        <v>4</v>
      </c>
      <c r="C1" t="s">
        <v>411</v>
      </c>
      <c r="D1" t="s">
        <v>412</v>
      </c>
      <c r="E1" t="s">
        <v>413</v>
      </c>
    </row>
    <row r="2" spans="1:5" ht="15" x14ac:dyDescent="0.25">
      <c r="A2" t="s">
        <v>414</v>
      </c>
      <c r="B2" s="87">
        <v>13.5</v>
      </c>
      <c r="C2">
        <v>1.5</v>
      </c>
      <c r="D2" s="138" t="s">
        <v>415</v>
      </c>
      <c r="E2" s="138" t="s">
        <v>416</v>
      </c>
    </row>
    <row r="3" spans="1:5" ht="15" x14ac:dyDescent="0.25">
      <c r="A3" t="s">
        <v>417</v>
      </c>
      <c r="B3" s="87">
        <v>58.2</v>
      </c>
      <c r="C3">
        <v>1.26</v>
      </c>
      <c r="D3" s="138" t="s">
        <v>415</v>
      </c>
      <c r="E3" s="138" t="s">
        <v>416</v>
      </c>
    </row>
    <row r="4" spans="1:5" x14ac:dyDescent="0.15">
      <c r="A4" t="s">
        <v>418</v>
      </c>
      <c r="B4">
        <v>77.599999999999994</v>
      </c>
      <c r="C4">
        <v>1.25</v>
      </c>
      <c r="D4" s="138" t="s">
        <v>419</v>
      </c>
      <c r="E4" s="138" t="s">
        <v>420</v>
      </c>
    </row>
    <row r="5" spans="1:5" x14ac:dyDescent="0.15">
      <c r="A5" t="s">
        <v>421</v>
      </c>
      <c r="B5">
        <v>1.5</v>
      </c>
      <c r="C5">
        <v>1.47</v>
      </c>
      <c r="D5" s="138" t="s">
        <v>419</v>
      </c>
      <c r="E5" s="138" t="s">
        <v>420</v>
      </c>
    </row>
    <row r="6" spans="1:5" x14ac:dyDescent="0.15">
      <c r="A6" t="s">
        <v>422</v>
      </c>
      <c r="B6">
        <v>43</v>
      </c>
      <c r="C6">
        <v>1.62</v>
      </c>
      <c r="D6" s="138" t="s">
        <v>419</v>
      </c>
      <c r="E6" s="138" t="s">
        <v>423</v>
      </c>
    </row>
    <row r="7" spans="1:5" x14ac:dyDescent="0.15">
      <c r="A7" t="s">
        <v>424</v>
      </c>
      <c r="B7">
        <v>11</v>
      </c>
      <c r="C7">
        <v>1.8</v>
      </c>
      <c r="D7" s="138" t="s">
        <v>419</v>
      </c>
      <c r="E7" s="138" t="s">
        <v>423</v>
      </c>
    </row>
    <row r="8" spans="1:5" x14ac:dyDescent="0.15">
      <c r="A8" t="s">
        <v>120</v>
      </c>
      <c r="B8">
        <v>18.600000000000001</v>
      </c>
      <c r="C8">
        <v>1.73</v>
      </c>
      <c r="D8" s="138" t="s">
        <v>425</v>
      </c>
      <c r="E8" s="138" t="s">
        <v>426</v>
      </c>
    </row>
    <row r="9" spans="1:5" x14ac:dyDescent="0.15">
      <c r="A9" t="s">
        <v>427</v>
      </c>
      <c r="B9">
        <v>17.3</v>
      </c>
      <c r="C9">
        <v>1.79</v>
      </c>
      <c r="D9" s="138" t="s">
        <v>425</v>
      </c>
      <c r="E9" s="138" t="s">
        <v>426</v>
      </c>
    </row>
    <row r="10" spans="1:5" x14ac:dyDescent="0.15">
      <c r="A10" t="s">
        <v>428</v>
      </c>
      <c r="B10">
        <v>10</v>
      </c>
      <c r="C10">
        <v>1.58</v>
      </c>
      <c r="D10" s="138" t="s">
        <v>429</v>
      </c>
      <c r="E10" s="138" t="s">
        <v>430</v>
      </c>
    </row>
    <row r="11" spans="1:5" x14ac:dyDescent="0.15">
      <c r="A11" t="s">
        <v>431</v>
      </c>
      <c r="B11">
        <v>20</v>
      </c>
      <c r="C11">
        <v>1.63</v>
      </c>
      <c r="D11" s="138" t="s">
        <v>429</v>
      </c>
      <c r="E11" s="138" t="s">
        <v>430</v>
      </c>
    </row>
    <row r="12" spans="1:5" x14ac:dyDescent="0.15">
      <c r="A12" t="s">
        <v>432</v>
      </c>
      <c r="B12">
        <v>48</v>
      </c>
      <c r="C12">
        <v>1.49</v>
      </c>
      <c r="D12" s="138" t="s">
        <v>429</v>
      </c>
      <c r="E12" s="138" t="s">
        <v>430</v>
      </c>
    </row>
    <row r="13" spans="1:5" x14ac:dyDescent="0.15">
      <c r="A13" t="s">
        <v>433</v>
      </c>
      <c r="B13">
        <v>85</v>
      </c>
      <c r="C13">
        <v>1.49</v>
      </c>
      <c r="D13" s="138" t="s">
        <v>429</v>
      </c>
      <c r="E13" s="138" t="s">
        <v>430</v>
      </c>
    </row>
    <row r="14" spans="1:5" x14ac:dyDescent="0.15">
      <c r="A14" t="s">
        <v>434</v>
      </c>
      <c r="B14">
        <v>63</v>
      </c>
      <c r="C14">
        <v>1.34</v>
      </c>
      <c r="D14" s="138" t="s">
        <v>429</v>
      </c>
      <c r="E14" s="138" t="s">
        <v>430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1"/>
  <sheetViews>
    <sheetView zoomScaleNormal="100" workbookViewId="0">
      <pane xSplit="7" ySplit="1" topLeftCell="H2" activePane="bottomRight" state="frozen"/>
      <selection pane="topRight" activeCell="F1" sqref="F1"/>
      <selection pane="bottomLeft" activeCell="A4" sqref="A4"/>
      <selection pane="bottomRight" activeCell="I12" sqref="H12:I22"/>
    </sheetView>
  </sheetViews>
  <sheetFormatPr defaultRowHeight="10.5" x14ac:dyDescent="0.15"/>
  <cols>
    <col min="1" max="1" width="11.1640625" customWidth="1" collapsed="1"/>
    <col min="2" max="2" width="13.33203125" customWidth="1" collapsed="1"/>
    <col min="3" max="3" width="19.6640625" customWidth="1" collapsed="1"/>
    <col min="4" max="6" width="15.6640625" customWidth="1" collapsed="1"/>
    <col min="16" max="22" width="11.33203125" customWidth="1" collapsed="1"/>
  </cols>
  <sheetData>
    <row r="1" spans="1:32" ht="14.25" customHeight="1" x14ac:dyDescent="0.15">
      <c r="A1" t="s">
        <v>19</v>
      </c>
      <c r="B1" t="s">
        <v>43</v>
      </c>
      <c r="C1" t="s">
        <v>65</v>
      </c>
      <c r="D1" t="s">
        <v>110</v>
      </c>
      <c r="E1" t="s">
        <v>537</v>
      </c>
      <c r="F1" t="s">
        <v>410</v>
      </c>
      <c r="G1" t="s">
        <v>0</v>
      </c>
      <c r="H1" t="s">
        <v>2</v>
      </c>
      <c r="I1" t="s">
        <v>1</v>
      </c>
      <c r="J1" t="s">
        <v>3</v>
      </c>
      <c r="K1" s="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106</v>
      </c>
      <c r="R1" t="s">
        <v>107</v>
      </c>
      <c r="S1" t="s">
        <v>108</v>
      </c>
      <c r="T1" t="s">
        <v>104</v>
      </c>
      <c r="U1" t="s">
        <v>105</v>
      </c>
      <c r="V1" t="s">
        <v>109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</row>
    <row r="2" spans="1:32" ht="15" x14ac:dyDescent="0.15">
      <c r="A2" t="s">
        <v>66</v>
      </c>
      <c r="B2" t="s">
        <v>179</v>
      </c>
      <c r="C2" t="s">
        <v>95</v>
      </c>
      <c r="D2" t="s">
        <v>111</v>
      </c>
      <c r="E2" t="s">
        <v>348</v>
      </c>
      <c r="F2" s="39" t="s">
        <v>399</v>
      </c>
      <c r="G2" t="s">
        <v>177</v>
      </c>
      <c r="H2">
        <v>22</v>
      </c>
      <c r="I2">
        <v>45</v>
      </c>
      <c r="J2">
        <v>933</v>
      </c>
      <c r="K2" s="1">
        <f>SUM(L2:P2)</f>
        <v>999</v>
      </c>
      <c r="L2">
        <v>69</v>
      </c>
      <c r="M2">
        <v>66</v>
      </c>
      <c r="N2">
        <v>56</v>
      </c>
      <c r="O2">
        <v>279</v>
      </c>
      <c r="P2">
        <v>529</v>
      </c>
      <c r="Q2" s="3">
        <f>L2/K2*100</f>
        <v>6.9069069069069062</v>
      </c>
      <c r="R2" s="3">
        <f>(M2+N2)/K2*100</f>
        <v>12.212212212212211</v>
      </c>
      <c r="S2" s="3">
        <f>(O2+P2)/K2*100</f>
        <v>80.880880880880881</v>
      </c>
      <c r="T2" s="3">
        <f>0.01*(Q2*LN(0.001)+R2*LN(0.026)+S2*LN(1.025))</f>
        <v>-0.90284469436831549</v>
      </c>
      <c r="U2">
        <f>EXP(T2)</f>
        <v>0.40541473679943085</v>
      </c>
      <c r="V2" t="e">
        <f>((L2/K2)*#REF!+(M2/K2)*#REF!+(N2/K2)*#REF!+(O2/K2)*#REF!+(P2/K2)*#REF!)/5/1000</f>
        <v>#REF!</v>
      </c>
      <c r="W2">
        <v>5.5</v>
      </c>
      <c r="X2" t="s">
        <v>20</v>
      </c>
      <c r="Y2">
        <v>0.108</v>
      </c>
      <c r="Z2">
        <v>0.98</v>
      </c>
      <c r="AA2">
        <v>2.3E-2</v>
      </c>
      <c r="AB2">
        <v>6.4000000000000001E-2</v>
      </c>
      <c r="AC2">
        <v>12.58</v>
      </c>
      <c r="AD2">
        <v>1.1399999999999999</v>
      </c>
      <c r="AE2">
        <v>42.8</v>
      </c>
      <c r="AF2">
        <v>0.23</v>
      </c>
    </row>
    <row r="3" spans="1:32" ht="15" x14ac:dyDescent="0.15">
      <c r="A3" t="s">
        <v>66</v>
      </c>
      <c r="B3" t="s">
        <v>179</v>
      </c>
      <c r="C3" t="s">
        <v>95</v>
      </c>
      <c r="D3" t="s">
        <v>111</v>
      </c>
      <c r="E3" t="s">
        <v>348</v>
      </c>
      <c r="F3" s="39" t="s">
        <v>399</v>
      </c>
      <c r="G3" t="s">
        <v>175</v>
      </c>
      <c r="H3">
        <v>26</v>
      </c>
      <c r="I3">
        <v>58</v>
      </c>
      <c r="J3">
        <v>916</v>
      </c>
      <c r="K3" s="1">
        <f t="shared" ref="K3:K42" si="0">SUM(L3:P3)</f>
        <v>999</v>
      </c>
      <c r="L3">
        <v>58</v>
      </c>
      <c r="M3">
        <v>68</v>
      </c>
      <c r="N3">
        <v>44</v>
      </c>
      <c r="O3">
        <v>269</v>
      </c>
      <c r="P3">
        <v>560</v>
      </c>
      <c r="Q3" s="3">
        <f t="shared" ref="Q3:Q42" si="1">L3/K3*100</f>
        <v>5.8058058058058064</v>
      </c>
      <c r="R3" s="3">
        <f t="shared" ref="R3:R42" si="2">(M3+N3)/K3*100</f>
        <v>11.211211211211211</v>
      </c>
      <c r="S3" s="3">
        <f t="shared" ref="S3:S42" si="3">(O3+P3)/K3*100</f>
        <v>82.982982982982975</v>
      </c>
      <c r="T3" s="3">
        <f t="shared" ref="T3:T42" si="4">0.01*(Q3*LN(0.001)+R3*LN(0.026)+S3*LN(1.025))</f>
        <v>-0.78973114047161119</v>
      </c>
      <c r="U3">
        <f t="shared" ref="U3:U42" si="5">EXP(T3)</f>
        <v>0.45396683218463402</v>
      </c>
      <c r="V3" t="e">
        <f>((L3/K3)*#REF!+(M3/K3)*#REF!+(N3/K3)*#REF!+(O3/K3)*#REF!+(P3/K3)*#REF!)/5/1000</f>
        <v>#REF!</v>
      </c>
      <c r="W3">
        <v>5.6</v>
      </c>
      <c r="X3" t="s">
        <v>20</v>
      </c>
      <c r="Y3">
        <v>0.11700000000000001</v>
      </c>
      <c r="Z3">
        <v>0.53</v>
      </c>
      <c r="AA3">
        <v>0.22</v>
      </c>
      <c r="AB3">
        <v>8.3000000000000004E-2</v>
      </c>
      <c r="AC3">
        <v>10.83</v>
      </c>
      <c r="AD3">
        <v>1.01</v>
      </c>
      <c r="AE3">
        <v>41.6</v>
      </c>
      <c r="AF3">
        <v>0.22</v>
      </c>
    </row>
    <row r="4" spans="1:32" ht="15" x14ac:dyDescent="0.15">
      <c r="A4" t="s">
        <v>66</v>
      </c>
      <c r="B4" t="s">
        <v>179</v>
      </c>
      <c r="C4" t="s">
        <v>95</v>
      </c>
      <c r="D4" t="s">
        <v>111</v>
      </c>
      <c r="E4" t="s">
        <v>348</v>
      </c>
      <c r="F4" s="39" t="s">
        <v>399</v>
      </c>
      <c r="G4" t="s">
        <v>21</v>
      </c>
      <c r="H4">
        <v>33</v>
      </c>
      <c r="I4">
        <v>56</v>
      </c>
      <c r="J4">
        <v>910</v>
      </c>
      <c r="K4" s="1">
        <f t="shared" si="0"/>
        <v>999</v>
      </c>
      <c r="L4">
        <v>68</v>
      </c>
      <c r="M4">
        <v>105</v>
      </c>
      <c r="N4">
        <v>74</v>
      </c>
      <c r="O4">
        <v>218</v>
      </c>
      <c r="P4">
        <v>534</v>
      </c>
      <c r="Q4" s="3">
        <f t="shared" si="1"/>
        <v>6.8068068068068071</v>
      </c>
      <c r="R4" s="3">
        <f t="shared" si="2"/>
        <v>17.917917917917915</v>
      </c>
      <c r="S4" s="3">
        <f t="shared" si="3"/>
        <v>75.275275275275277</v>
      </c>
      <c r="T4" s="3">
        <f t="shared" si="4"/>
        <v>-1.1055529819167</v>
      </c>
      <c r="U4">
        <f t="shared" si="5"/>
        <v>0.33102777924447607</v>
      </c>
      <c r="V4" t="e">
        <f>((L4/K4)*#REF!+(M4/K4)*#REF!+(N4/K4)*#REF!+(O4/K4)*#REF!+(P4/K4)*#REF!)/5/1000</f>
        <v>#REF!</v>
      </c>
      <c r="W4">
        <v>6.6</v>
      </c>
      <c r="X4" t="s">
        <v>20</v>
      </c>
      <c r="Y4">
        <v>2.4E-2</v>
      </c>
      <c r="Z4">
        <v>0.52</v>
      </c>
      <c r="AA4">
        <v>1.4E-2</v>
      </c>
      <c r="AB4">
        <v>6.8000000000000005E-2</v>
      </c>
      <c r="AC4">
        <v>2.92</v>
      </c>
      <c r="AD4">
        <v>0.28999999999999998</v>
      </c>
      <c r="AE4">
        <v>37.5</v>
      </c>
      <c r="AF4">
        <v>0.13</v>
      </c>
    </row>
    <row r="5" spans="1:32" ht="15" x14ac:dyDescent="0.15">
      <c r="A5" t="s">
        <v>67</v>
      </c>
      <c r="B5" t="s">
        <v>179</v>
      </c>
      <c r="C5" t="s">
        <v>94</v>
      </c>
      <c r="D5" t="s">
        <v>111</v>
      </c>
      <c r="E5" t="s">
        <v>348</v>
      </c>
      <c r="F5" s="39" t="s">
        <v>399</v>
      </c>
      <c r="G5" t="s">
        <v>177</v>
      </c>
      <c r="H5">
        <v>6</v>
      </c>
      <c r="I5">
        <v>37</v>
      </c>
      <c r="J5">
        <v>957</v>
      </c>
      <c r="K5" s="1">
        <f t="shared" si="0"/>
        <v>999</v>
      </c>
      <c r="L5">
        <v>113</v>
      </c>
      <c r="M5">
        <v>134</v>
      </c>
      <c r="N5">
        <v>105</v>
      </c>
      <c r="O5">
        <v>294</v>
      </c>
      <c r="P5">
        <v>353</v>
      </c>
      <c r="Q5" s="3">
        <f t="shared" si="1"/>
        <v>11.311311311311311</v>
      </c>
      <c r="R5" s="3">
        <f t="shared" si="2"/>
        <v>23.923923923923923</v>
      </c>
      <c r="S5" s="3">
        <f t="shared" si="3"/>
        <v>64.764764764764763</v>
      </c>
      <c r="T5" s="3">
        <f t="shared" si="4"/>
        <v>-1.6385071724410489</v>
      </c>
      <c r="U5">
        <f t="shared" si="5"/>
        <v>0.19426983729707792</v>
      </c>
      <c r="V5" t="e">
        <f>((L5/K5)*#REF!+(M5/K5)*#REF!+(N5/K5)*#REF!+(O5/K5)*#REF!+(P5/K5)*#REF!)/5/1000</f>
        <v>#REF!</v>
      </c>
      <c r="W5">
        <v>6.7</v>
      </c>
      <c r="X5" t="s">
        <v>20</v>
      </c>
      <c r="Y5">
        <v>7.0999999999999994E-2</v>
      </c>
      <c r="Z5">
        <v>1.55</v>
      </c>
      <c r="AA5">
        <v>4.9000000000000002E-2</v>
      </c>
      <c r="AB5">
        <v>0.107</v>
      </c>
      <c r="AC5">
        <v>18.34</v>
      </c>
      <c r="AD5">
        <v>1.7</v>
      </c>
      <c r="AE5">
        <v>56.3</v>
      </c>
      <c r="AF5">
        <v>0.28999999999999998</v>
      </c>
    </row>
    <row r="6" spans="1:32" ht="15" x14ac:dyDescent="0.15">
      <c r="A6" t="s">
        <v>67</v>
      </c>
      <c r="B6" t="s">
        <v>179</v>
      </c>
      <c r="C6" t="s">
        <v>94</v>
      </c>
      <c r="D6" t="s">
        <v>111</v>
      </c>
      <c r="E6" t="s">
        <v>348</v>
      </c>
      <c r="F6" s="39" t="s">
        <v>399</v>
      </c>
      <c r="G6" t="s">
        <v>175</v>
      </c>
      <c r="H6">
        <v>5</v>
      </c>
      <c r="I6">
        <v>64</v>
      </c>
      <c r="J6">
        <v>931</v>
      </c>
      <c r="K6" s="1">
        <f t="shared" si="0"/>
        <v>999</v>
      </c>
      <c r="L6">
        <v>120</v>
      </c>
      <c r="M6">
        <v>122</v>
      </c>
      <c r="N6">
        <v>94</v>
      </c>
      <c r="O6">
        <v>278</v>
      </c>
      <c r="P6">
        <v>385</v>
      </c>
      <c r="Q6" s="3">
        <f t="shared" si="1"/>
        <v>12.012012012012011</v>
      </c>
      <c r="R6" s="3">
        <f t="shared" si="2"/>
        <v>21.621621621621621</v>
      </c>
      <c r="S6" s="3">
        <f t="shared" si="3"/>
        <v>66.366366366366364</v>
      </c>
      <c r="T6" s="3">
        <f t="shared" si="4"/>
        <v>-1.6024882075855271</v>
      </c>
      <c r="U6">
        <f t="shared" si="5"/>
        <v>0.20139478201758296</v>
      </c>
      <c r="V6" t="e">
        <f>((L6/K6)*#REF!+(M6/K6)*#REF!+(N6/K6)*#REF!+(O6/K6)*#REF!+(P6/K6)*#REF!)/5/1000</f>
        <v>#REF!</v>
      </c>
      <c r="W6">
        <v>6.9</v>
      </c>
      <c r="X6" t="s">
        <v>20</v>
      </c>
      <c r="Y6">
        <v>7.8E-2</v>
      </c>
      <c r="Z6">
        <v>1.71</v>
      </c>
      <c r="AA6">
        <v>4.4999999999999998E-2</v>
      </c>
      <c r="AB6">
        <v>0.127</v>
      </c>
      <c r="AC6">
        <v>18.38</v>
      </c>
      <c r="AD6">
        <v>1.68</v>
      </c>
      <c r="AE6">
        <v>59.4</v>
      </c>
      <c r="AF6">
        <v>0.31</v>
      </c>
    </row>
    <row r="7" spans="1:32" ht="15" x14ac:dyDescent="0.15">
      <c r="A7" t="s">
        <v>67</v>
      </c>
      <c r="B7" t="s">
        <v>179</v>
      </c>
      <c r="C7" t="s">
        <v>94</v>
      </c>
      <c r="D7" t="s">
        <v>111</v>
      </c>
      <c r="E7" t="s">
        <v>348</v>
      </c>
      <c r="F7" s="39" t="s">
        <v>399</v>
      </c>
      <c r="G7" t="s">
        <v>21</v>
      </c>
      <c r="H7">
        <v>17</v>
      </c>
      <c r="I7">
        <v>16</v>
      </c>
      <c r="J7">
        <v>966</v>
      </c>
      <c r="K7" s="1">
        <f t="shared" si="0"/>
        <v>999</v>
      </c>
      <c r="L7">
        <v>171</v>
      </c>
      <c r="M7">
        <v>137</v>
      </c>
      <c r="N7">
        <v>156</v>
      </c>
      <c r="O7">
        <v>286</v>
      </c>
      <c r="P7">
        <v>249</v>
      </c>
      <c r="Q7" s="3">
        <f t="shared" si="1"/>
        <v>17.117117117117118</v>
      </c>
      <c r="R7" s="3">
        <f t="shared" si="2"/>
        <v>29.32932932932933</v>
      </c>
      <c r="S7" s="3">
        <f t="shared" si="3"/>
        <v>53.553553553553556</v>
      </c>
      <c r="T7" s="3">
        <f t="shared" si="4"/>
        <v>-2.2396052212928614</v>
      </c>
      <c r="U7">
        <f t="shared" si="5"/>
        <v>0.10650054022685841</v>
      </c>
      <c r="V7" t="e">
        <f>((L7/K7)*#REF!+(M7/K7)*#REF!+(N7/K7)*#REF!+(O7/K7)*#REF!+(P7/K7)*#REF!)/5/1000</f>
        <v>#REF!</v>
      </c>
      <c r="W7">
        <v>7.6</v>
      </c>
      <c r="X7" t="s">
        <v>20</v>
      </c>
      <c r="Y7">
        <v>0.01</v>
      </c>
      <c r="Z7">
        <v>2.14</v>
      </c>
      <c r="AA7">
        <v>9.1999999999999998E-2</v>
      </c>
      <c r="AB7">
        <v>0.107</v>
      </c>
      <c r="AC7">
        <v>1.94</v>
      </c>
      <c r="AD7">
        <v>0.28999999999999998</v>
      </c>
      <c r="AE7">
        <v>50.5</v>
      </c>
      <c r="AF7">
        <v>0.16</v>
      </c>
    </row>
    <row r="8" spans="1:32" x14ac:dyDescent="0.15">
      <c r="A8" t="s">
        <v>68</v>
      </c>
      <c r="B8" t="s">
        <v>179</v>
      </c>
      <c r="C8" t="s">
        <v>93</v>
      </c>
      <c r="D8" t="s">
        <v>407</v>
      </c>
      <c r="E8" t="s">
        <v>348</v>
      </c>
      <c r="G8" t="s">
        <v>177</v>
      </c>
      <c r="H8">
        <v>7</v>
      </c>
      <c r="I8">
        <v>64</v>
      </c>
      <c r="J8">
        <v>929</v>
      </c>
      <c r="K8" s="1">
        <f t="shared" si="0"/>
        <v>999</v>
      </c>
      <c r="L8">
        <v>121</v>
      </c>
      <c r="M8">
        <v>135</v>
      </c>
      <c r="N8">
        <v>82</v>
      </c>
      <c r="O8">
        <v>227</v>
      </c>
      <c r="P8">
        <v>434</v>
      </c>
      <c r="Q8" s="3">
        <f t="shared" si="1"/>
        <v>12.112112112112113</v>
      </c>
      <c r="R8" s="3">
        <f t="shared" si="2"/>
        <v>21.721721721721721</v>
      </c>
      <c r="S8" s="3">
        <f t="shared" si="3"/>
        <v>66.166166166166164</v>
      </c>
      <c r="T8" s="3">
        <f t="shared" si="4"/>
        <v>-1.6131056242473127</v>
      </c>
      <c r="U8">
        <f t="shared" si="5"/>
        <v>0.19926780120524348</v>
      </c>
      <c r="V8" t="e">
        <f>((L8/K8)*#REF!+(M8/K8)*#REF!+(N8/K8)*#REF!+(O8/K8)*#REF!+(P8/K8)*#REF!)/5/1000</f>
        <v>#REF!</v>
      </c>
      <c r="W8">
        <v>6.9</v>
      </c>
      <c r="X8" t="s">
        <v>20</v>
      </c>
      <c r="Y8">
        <v>9.9000000000000005E-2</v>
      </c>
      <c r="Z8">
        <v>1.51</v>
      </c>
      <c r="AA8">
        <v>4.3999999999999997E-2</v>
      </c>
      <c r="AB8">
        <v>0.21299999999999999</v>
      </c>
      <c r="AC8">
        <v>16.66</v>
      </c>
      <c r="AD8">
        <v>1.53</v>
      </c>
      <c r="AE8">
        <v>54.5</v>
      </c>
      <c r="AF8">
        <v>0.28999999999999998</v>
      </c>
    </row>
    <row r="9" spans="1:32" x14ac:dyDescent="0.15">
      <c r="A9" t="s">
        <v>68</v>
      </c>
      <c r="B9" t="s">
        <v>179</v>
      </c>
      <c r="C9" t="s">
        <v>93</v>
      </c>
      <c r="D9" t="s">
        <v>407</v>
      </c>
      <c r="E9" t="s">
        <v>348</v>
      </c>
      <c r="G9" t="s">
        <v>175</v>
      </c>
      <c r="H9">
        <v>5</v>
      </c>
      <c r="I9">
        <v>28</v>
      </c>
      <c r="J9">
        <v>967</v>
      </c>
      <c r="K9" s="1">
        <f t="shared" si="0"/>
        <v>999</v>
      </c>
      <c r="L9">
        <v>108</v>
      </c>
      <c r="M9">
        <v>125</v>
      </c>
      <c r="N9">
        <v>80</v>
      </c>
      <c r="O9">
        <v>210</v>
      </c>
      <c r="P9">
        <v>476</v>
      </c>
      <c r="Q9" s="3">
        <f t="shared" si="1"/>
        <v>10.810810810810811</v>
      </c>
      <c r="R9" s="3">
        <f t="shared" si="2"/>
        <v>20.52052052052052</v>
      </c>
      <c r="S9" s="3">
        <f t="shared" si="3"/>
        <v>68.668668668668658</v>
      </c>
      <c r="T9" s="3">
        <f t="shared" si="4"/>
        <v>-1.4787572370270374</v>
      </c>
      <c r="U9">
        <f t="shared" si="5"/>
        <v>0.22792076393566088</v>
      </c>
      <c r="V9" t="e">
        <f>((L9/K9)*#REF!+(M9/K9)*#REF!+(N9/K9)*#REF!+(O9/K9)*#REF!+(P9/K9)*#REF!)/5/1000</f>
        <v>#REF!</v>
      </c>
      <c r="W9">
        <v>6.9</v>
      </c>
      <c r="X9" t="s">
        <v>20</v>
      </c>
      <c r="Y9">
        <v>0.108</v>
      </c>
      <c r="Z9">
        <v>1.68</v>
      </c>
      <c r="AA9">
        <v>0.04</v>
      </c>
      <c r="AB9">
        <v>0.113</v>
      </c>
      <c r="AC9">
        <v>13.51</v>
      </c>
      <c r="AD9">
        <v>1.3</v>
      </c>
      <c r="AE9">
        <v>53.1</v>
      </c>
      <c r="AF9">
        <v>0.24</v>
      </c>
    </row>
    <row r="10" spans="1:32" x14ac:dyDescent="0.15">
      <c r="A10" t="s">
        <v>68</v>
      </c>
      <c r="B10" t="s">
        <v>179</v>
      </c>
      <c r="C10" t="s">
        <v>93</v>
      </c>
      <c r="D10" t="s">
        <v>407</v>
      </c>
      <c r="E10" t="s">
        <v>348</v>
      </c>
      <c r="G10" t="s">
        <v>21</v>
      </c>
      <c r="H10">
        <v>5</v>
      </c>
      <c r="I10">
        <v>27</v>
      </c>
      <c r="J10">
        <v>967</v>
      </c>
      <c r="K10" s="1">
        <f t="shared" si="0"/>
        <v>999</v>
      </c>
      <c r="L10">
        <v>191</v>
      </c>
      <c r="M10">
        <v>131</v>
      </c>
      <c r="N10">
        <v>75</v>
      </c>
      <c r="O10">
        <v>179</v>
      </c>
      <c r="P10">
        <v>423</v>
      </c>
      <c r="Q10" s="3">
        <f t="shared" si="1"/>
        <v>19.119119119119119</v>
      </c>
      <c r="R10" s="3">
        <f t="shared" si="2"/>
        <v>20.62062062062062</v>
      </c>
      <c r="S10" s="3">
        <f t="shared" si="3"/>
        <v>60.260260260260253</v>
      </c>
      <c r="T10" s="3">
        <f t="shared" si="4"/>
        <v>-2.0584044105546342</v>
      </c>
      <c r="U10">
        <f t="shared" si="5"/>
        <v>0.12765749643317317</v>
      </c>
      <c r="V10" t="e">
        <f>((L10/K10)*#REF!+(M10/K10)*#REF!+(N10/K10)*#REF!+(O10/K10)*#REF!+(P10/K10)*#REF!)/5/1000</f>
        <v>#REF!</v>
      </c>
      <c r="W10">
        <v>7.4</v>
      </c>
      <c r="X10" t="s">
        <v>20</v>
      </c>
      <c r="Y10">
        <v>1.7999999999999999E-2</v>
      </c>
      <c r="Z10">
        <v>2.67</v>
      </c>
      <c r="AA10">
        <v>7.8E-2</v>
      </c>
      <c r="AB10">
        <v>7.0999999999999994E-2</v>
      </c>
      <c r="AC10">
        <v>4.4800000000000004</v>
      </c>
      <c r="AD10">
        <v>0.52</v>
      </c>
      <c r="AE10">
        <v>60</v>
      </c>
      <c r="AF10">
        <v>0.43</v>
      </c>
    </row>
    <row r="11" spans="1:32" ht="15" x14ac:dyDescent="0.15">
      <c r="A11" t="s">
        <v>69</v>
      </c>
      <c r="B11" t="s">
        <v>194</v>
      </c>
      <c r="C11" t="s">
        <v>96</v>
      </c>
      <c r="D11" t="s">
        <v>111</v>
      </c>
      <c r="E11" t="s">
        <v>348</v>
      </c>
      <c r="F11" s="112" t="s">
        <v>400</v>
      </c>
      <c r="G11" t="s">
        <v>177</v>
      </c>
      <c r="H11">
        <v>51</v>
      </c>
      <c r="I11">
        <v>17</v>
      </c>
      <c r="J11">
        <v>932</v>
      </c>
      <c r="K11" s="1">
        <f t="shared" si="0"/>
        <v>999</v>
      </c>
      <c r="L11">
        <v>117</v>
      </c>
      <c r="M11">
        <v>137</v>
      </c>
      <c r="N11">
        <v>78</v>
      </c>
      <c r="O11">
        <v>204</v>
      </c>
      <c r="P11">
        <v>463</v>
      </c>
      <c r="Q11" s="3">
        <f t="shared" si="1"/>
        <v>11.711711711711711</v>
      </c>
      <c r="R11" s="3">
        <f t="shared" si="2"/>
        <v>21.521521521521521</v>
      </c>
      <c r="S11" s="3">
        <f t="shared" si="3"/>
        <v>66.766766766766779</v>
      </c>
      <c r="T11" s="3">
        <f t="shared" si="4"/>
        <v>-1.5779920163660393</v>
      </c>
      <c r="U11">
        <f t="shared" si="5"/>
        <v>0.20638910835477764</v>
      </c>
      <c r="V11" t="e">
        <f>((L11/K11)*#REF!+(M11/K11)*#REF!+(N11/K11)*#REF!+(O11/K11)*#REF!+(P11/K11)*#REF!)/5/1000</f>
        <v>#REF!</v>
      </c>
      <c r="W11">
        <v>5.5</v>
      </c>
      <c r="X11" t="s">
        <v>20</v>
      </c>
      <c r="Y11">
        <v>6.4000000000000001E-2</v>
      </c>
      <c r="Z11">
        <v>0.84</v>
      </c>
      <c r="AA11">
        <v>5.2999999999999999E-2</v>
      </c>
      <c r="AB11">
        <v>0.152</v>
      </c>
      <c r="AC11">
        <v>17.809999999999999</v>
      </c>
      <c r="AD11">
        <v>1.37</v>
      </c>
      <c r="AE11">
        <v>75.599999999999994</v>
      </c>
      <c r="AF11">
        <v>0.28999999999999998</v>
      </c>
    </row>
    <row r="12" spans="1:32" ht="15" x14ac:dyDescent="0.15">
      <c r="A12" t="s">
        <v>69</v>
      </c>
      <c r="B12" t="s">
        <v>194</v>
      </c>
      <c r="C12" t="s">
        <v>96</v>
      </c>
      <c r="D12" t="s">
        <v>111</v>
      </c>
      <c r="E12" t="s">
        <v>348</v>
      </c>
      <c r="F12" s="112" t="s">
        <v>400</v>
      </c>
      <c r="G12" t="s">
        <v>175</v>
      </c>
      <c r="H12">
        <v>17</v>
      </c>
      <c r="I12">
        <v>36</v>
      </c>
      <c r="J12">
        <v>947</v>
      </c>
      <c r="K12" s="1">
        <f t="shared" si="0"/>
        <v>999</v>
      </c>
      <c r="L12">
        <v>129</v>
      </c>
      <c r="M12">
        <v>156</v>
      </c>
      <c r="N12">
        <v>92</v>
      </c>
      <c r="O12">
        <v>208</v>
      </c>
      <c r="P12">
        <v>414</v>
      </c>
      <c r="Q12" s="3">
        <f t="shared" si="1"/>
        <v>12.912912912912914</v>
      </c>
      <c r="R12" s="3">
        <f t="shared" si="2"/>
        <v>24.824824824824827</v>
      </c>
      <c r="S12" s="3">
        <f t="shared" si="3"/>
        <v>62.262262262262254</v>
      </c>
      <c r="T12" s="3">
        <f t="shared" si="4"/>
        <v>-1.7826396333490764</v>
      </c>
      <c r="U12">
        <f t="shared" si="5"/>
        <v>0.16819359138153769</v>
      </c>
      <c r="V12" t="e">
        <f>((L12/K12)*#REF!+(M12/K12)*#REF!+(N12/K12)*#REF!+(O12/K12)*#REF!+(P12/K12)*#REF!)/5/1000</f>
        <v>#REF!</v>
      </c>
      <c r="W12">
        <v>5.6</v>
      </c>
      <c r="X12" t="s">
        <v>20</v>
      </c>
      <c r="Y12">
        <v>6.4000000000000001E-2</v>
      </c>
      <c r="Z12">
        <v>0.97</v>
      </c>
      <c r="AA12">
        <v>5.3999999999999999E-2</v>
      </c>
      <c r="AB12">
        <v>0.13500000000000001</v>
      </c>
      <c r="AC12">
        <v>17.329999999999998</v>
      </c>
      <c r="AD12">
        <v>1.32</v>
      </c>
      <c r="AE12">
        <v>75.900000000000006</v>
      </c>
      <c r="AF12">
        <v>0.28999999999999998</v>
      </c>
    </row>
    <row r="13" spans="1:32" ht="15" x14ac:dyDescent="0.15">
      <c r="A13" t="s">
        <v>69</v>
      </c>
      <c r="B13" t="s">
        <v>194</v>
      </c>
      <c r="C13" t="s">
        <v>96</v>
      </c>
      <c r="D13" t="s">
        <v>111</v>
      </c>
      <c r="E13" t="s">
        <v>348</v>
      </c>
      <c r="F13" s="112" t="s">
        <v>400</v>
      </c>
      <c r="G13" t="s">
        <v>21</v>
      </c>
      <c r="H13">
        <v>23</v>
      </c>
      <c r="I13">
        <v>22</v>
      </c>
      <c r="J13">
        <v>955</v>
      </c>
      <c r="K13" s="1">
        <f t="shared" si="0"/>
        <v>999</v>
      </c>
      <c r="L13">
        <v>104</v>
      </c>
      <c r="M13">
        <v>139</v>
      </c>
      <c r="N13">
        <v>86</v>
      </c>
      <c r="O13">
        <v>218</v>
      </c>
      <c r="P13">
        <v>452</v>
      </c>
      <c r="Q13" s="3">
        <f t="shared" si="1"/>
        <v>10.41041041041041</v>
      </c>
      <c r="R13" s="3">
        <f t="shared" si="2"/>
        <v>22.522522522522522</v>
      </c>
      <c r="S13" s="3">
        <f t="shared" si="3"/>
        <v>67.067067067067072</v>
      </c>
      <c r="T13" s="3">
        <f t="shared" si="4"/>
        <v>-1.5245602755703109</v>
      </c>
      <c r="U13">
        <f t="shared" si="5"/>
        <v>0.21771677120277527</v>
      </c>
      <c r="V13" t="e">
        <f>((L13/K13)*#REF!+(M13/K13)*#REF!+(N13/K13)*#REF!+(O13/K13)*#REF!+(P13/K13)*#REF!)/5/1000</f>
        <v>#REF!</v>
      </c>
      <c r="W13">
        <v>6.6</v>
      </c>
      <c r="X13" t="s">
        <v>20</v>
      </c>
      <c r="Y13">
        <v>2.7E-2</v>
      </c>
      <c r="Z13">
        <v>1.2</v>
      </c>
      <c r="AA13">
        <v>2.9000000000000001E-2</v>
      </c>
      <c r="AB13">
        <v>5.6000000000000001E-2</v>
      </c>
      <c r="AC13">
        <v>10.24</v>
      </c>
      <c r="AD13">
        <v>0.92</v>
      </c>
      <c r="AE13">
        <v>71.099999999999994</v>
      </c>
      <c r="AF13">
        <v>0.34</v>
      </c>
    </row>
    <row r="14" spans="1:32" x14ac:dyDescent="0.15">
      <c r="A14" t="s">
        <v>70</v>
      </c>
      <c r="B14" t="s">
        <v>194</v>
      </c>
      <c r="C14" t="s">
        <v>97</v>
      </c>
      <c r="D14" t="s">
        <v>112</v>
      </c>
      <c r="E14" t="s">
        <v>346</v>
      </c>
      <c r="F14" t="s">
        <v>70</v>
      </c>
      <c r="G14" t="s">
        <v>177</v>
      </c>
      <c r="H14">
        <v>14</v>
      </c>
      <c r="I14">
        <v>36</v>
      </c>
      <c r="J14">
        <v>951</v>
      </c>
      <c r="K14" s="1">
        <f t="shared" si="0"/>
        <v>999</v>
      </c>
      <c r="L14">
        <v>127</v>
      </c>
      <c r="M14">
        <v>165</v>
      </c>
      <c r="N14">
        <v>113</v>
      </c>
      <c r="O14">
        <v>261</v>
      </c>
      <c r="P14">
        <v>333</v>
      </c>
      <c r="Q14" s="3">
        <f t="shared" si="1"/>
        <v>12.712712712712712</v>
      </c>
      <c r="R14" s="3">
        <f t="shared" si="2"/>
        <v>27.827827827827829</v>
      </c>
      <c r="S14" s="3">
        <f t="shared" si="3"/>
        <v>59.45945945945946</v>
      </c>
      <c r="T14" s="3">
        <f t="shared" si="4"/>
        <v>-1.8791017402793924</v>
      </c>
      <c r="U14">
        <f t="shared" si="5"/>
        <v>0.15272723288131446</v>
      </c>
      <c r="V14" t="e">
        <f>((L14/K14)*#REF!+(M14/K14)*#REF!+(N14/K14)*#REF!+(O14/K14)*#REF!+(P14/K14)*#REF!)/5/1000</f>
        <v>#REF!</v>
      </c>
      <c r="W14">
        <v>5.2</v>
      </c>
      <c r="X14" t="s">
        <v>20</v>
      </c>
      <c r="Y14">
        <v>6.5000000000000002E-2</v>
      </c>
      <c r="Z14">
        <v>0.77</v>
      </c>
      <c r="AA14">
        <v>4.1000000000000002E-2</v>
      </c>
      <c r="AB14">
        <v>0.14099999999999999</v>
      </c>
      <c r="AC14">
        <v>15.87</v>
      </c>
      <c r="AD14">
        <v>1.39</v>
      </c>
      <c r="AE14">
        <v>61.7</v>
      </c>
      <c r="AF14">
        <v>0.31</v>
      </c>
    </row>
    <row r="15" spans="1:32" x14ac:dyDescent="0.15">
      <c r="A15" t="s">
        <v>70</v>
      </c>
      <c r="B15" t="s">
        <v>194</v>
      </c>
      <c r="C15" t="s">
        <v>97</v>
      </c>
      <c r="D15" t="s">
        <v>112</v>
      </c>
      <c r="E15" t="s">
        <v>346</v>
      </c>
      <c r="F15" t="s">
        <v>70</v>
      </c>
      <c r="G15" t="s">
        <v>175</v>
      </c>
      <c r="H15">
        <v>22</v>
      </c>
      <c r="I15">
        <v>75</v>
      </c>
      <c r="J15">
        <v>903</v>
      </c>
      <c r="K15" s="1">
        <f t="shared" si="0"/>
        <v>999</v>
      </c>
      <c r="L15">
        <v>137</v>
      </c>
      <c r="M15">
        <v>175</v>
      </c>
      <c r="N15">
        <v>114</v>
      </c>
      <c r="O15">
        <v>232</v>
      </c>
      <c r="P15">
        <v>341</v>
      </c>
      <c r="Q15" s="3">
        <f t="shared" si="1"/>
        <v>13.713713713713712</v>
      </c>
      <c r="R15" s="3">
        <f t="shared" si="2"/>
        <v>28.928928928928926</v>
      </c>
      <c r="S15" s="3">
        <f t="shared" si="3"/>
        <v>57.357357357357351</v>
      </c>
      <c r="T15" s="3">
        <f t="shared" si="4"/>
        <v>-1.9889539362801794</v>
      </c>
      <c r="U15">
        <f t="shared" si="5"/>
        <v>0.13683849238627008</v>
      </c>
      <c r="V15" t="e">
        <f>((L15/K15)*#REF!+(M15/K15)*#REF!+(N15/K15)*#REF!+(O15/K15)*#REF!+(P15/K15)*#REF!)/5/1000</f>
        <v>#REF!</v>
      </c>
      <c r="W15">
        <v>5.3</v>
      </c>
      <c r="X15" t="s">
        <v>20</v>
      </c>
      <c r="Y15">
        <v>5.3999999999999999E-2</v>
      </c>
      <c r="Z15">
        <v>0.81</v>
      </c>
      <c r="AA15">
        <v>3.1E-2</v>
      </c>
      <c r="AB15">
        <v>0.105</v>
      </c>
      <c r="AC15">
        <v>13.85</v>
      </c>
      <c r="AD15">
        <v>1.28</v>
      </c>
      <c r="AE15">
        <v>64.599999999999994</v>
      </c>
      <c r="AF15">
        <v>0.32</v>
      </c>
    </row>
    <row r="16" spans="1:32" ht="15" x14ac:dyDescent="0.15">
      <c r="A16" t="s">
        <v>71</v>
      </c>
      <c r="B16" t="s">
        <v>194</v>
      </c>
      <c r="C16" t="s">
        <v>96</v>
      </c>
      <c r="D16" t="s">
        <v>111</v>
      </c>
      <c r="E16" t="s">
        <v>348</v>
      </c>
      <c r="F16" s="112" t="s">
        <v>400</v>
      </c>
      <c r="G16" t="s">
        <v>177</v>
      </c>
      <c r="H16">
        <v>39</v>
      </c>
      <c r="I16">
        <v>49</v>
      </c>
      <c r="J16">
        <v>912</v>
      </c>
      <c r="K16" s="1">
        <f t="shared" si="0"/>
        <v>999</v>
      </c>
      <c r="L16">
        <v>158</v>
      </c>
      <c r="M16">
        <v>166</v>
      </c>
      <c r="N16">
        <v>99</v>
      </c>
      <c r="O16">
        <v>195</v>
      </c>
      <c r="P16">
        <v>381</v>
      </c>
      <c r="Q16" s="3">
        <f t="shared" si="1"/>
        <v>15.815815815815814</v>
      </c>
      <c r="R16" s="3">
        <f t="shared" si="2"/>
        <v>26.526526526526528</v>
      </c>
      <c r="S16" s="3">
        <f t="shared" si="3"/>
        <v>57.657657657657658</v>
      </c>
      <c r="T16" s="3">
        <f t="shared" si="4"/>
        <v>-2.046408363945643</v>
      </c>
      <c r="U16">
        <f t="shared" si="5"/>
        <v>0.12919810383440303</v>
      </c>
      <c r="V16" t="e">
        <f>((L16/K16)*#REF!+(M16/K16)*#REF!+(N16/K16)*#REF!+(O16/K16)*#REF!+(P16/K16)*#REF!)/5/1000</f>
        <v>#REF!</v>
      </c>
      <c r="W16">
        <v>6.4</v>
      </c>
      <c r="X16" t="s">
        <v>20</v>
      </c>
      <c r="Y16">
        <v>6.7000000000000004E-2</v>
      </c>
      <c r="Z16">
        <v>1.52</v>
      </c>
      <c r="AA16">
        <v>5.2999999999999999E-2</v>
      </c>
      <c r="AB16">
        <v>9.9000000000000005E-2</v>
      </c>
      <c r="AC16">
        <v>10.94</v>
      </c>
      <c r="AD16">
        <v>1.08</v>
      </c>
      <c r="AE16">
        <v>68.400000000000006</v>
      </c>
      <c r="AF16">
        <v>0.26</v>
      </c>
    </row>
    <row r="17" spans="1:32" ht="15" x14ac:dyDescent="0.15">
      <c r="A17" t="s">
        <v>71</v>
      </c>
      <c r="B17" t="s">
        <v>194</v>
      </c>
      <c r="C17" t="s">
        <v>96</v>
      </c>
      <c r="D17" t="s">
        <v>111</v>
      </c>
      <c r="E17" t="s">
        <v>348</v>
      </c>
      <c r="F17" s="112" t="s">
        <v>400</v>
      </c>
      <c r="G17" t="s">
        <v>175</v>
      </c>
      <c r="H17">
        <v>44</v>
      </c>
      <c r="I17">
        <v>48</v>
      </c>
      <c r="J17">
        <v>908</v>
      </c>
      <c r="K17" s="1">
        <f t="shared" si="0"/>
        <v>999</v>
      </c>
      <c r="L17">
        <v>157</v>
      </c>
      <c r="M17">
        <v>172</v>
      </c>
      <c r="N17">
        <v>91</v>
      </c>
      <c r="O17">
        <v>195</v>
      </c>
      <c r="P17">
        <v>384</v>
      </c>
      <c r="Q17" s="3">
        <f t="shared" si="1"/>
        <v>15.715715715715717</v>
      </c>
      <c r="R17" s="3">
        <f t="shared" si="2"/>
        <v>26.326326326326328</v>
      </c>
      <c r="S17" s="3">
        <f t="shared" si="3"/>
        <v>57.957957957957959</v>
      </c>
      <c r="T17" s="3">
        <f t="shared" si="4"/>
        <v>-2.0321129179009239</v>
      </c>
      <c r="U17">
        <f t="shared" si="5"/>
        <v>0.13105831293705858</v>
      </c>
      <c r="V17" t="e">
        <f>((L17/K17)*#REF!+(M17/K17)*#REF!+(N17/K17)*#REF!+(O17/K17)*#REF!+(P17/K17)*#REF!)/5/1000</f>
        <v>#REF!</v>
      </c>
      <c r="W17">
        <v>6.9</v>
      </c>
      <c r="X17" t="s">
        <v>20</v>
      </c>
      <c r="Y17">
        <v>7.5999999999999998E-2</v>
      </c>
      <c r="Z17">
        <v>1.59</v>
      </c>
      <c r="AA17">
        <v>5.7000000000000002E-2</v>
      </c>
      <c r="AB17">
        <v>0.11700000000000001</v>
      </c>
      <c r="AC17">
        <v>10.48</v>
      </c>
      <c r="AD17">
        <v>1.02</v>
      </c>
      <c r="AE17">
        <v>64.099999999999994</v>
      </c>
      <c r="AF17">
        <v>0.28000000000000003</v>
      </c>
    </row>
    <row r="18" spans="1:32" ht="15" x14ac:dyDescent="0.15">
      <c r="A18" t="s">
        <v>71</v>
      </c>
      <c r="B18" t="s">
        <v>194</v>
      </c>
      <c r="C18" t="s">
        <v>96</v>
      </c>
      <c r="D18" t="s">
        <v>111</v>
      </c>
      <c r="E18" t="s">
        <v>348</v>
      </c>
      <c r="F18" s="112" t="s">
        <v>400</v>
      </c>
      <c r="G18" t="s">
        <v>21</v>
      </c>
      <c r="H18">
        <v>38</v>
      </c>
      <c r="I18">
        <v>42</v>
      </c>
      <c r="J18">
        <v>920</v>
      </c>
      <c r="K18" s="1">
        <f t="shared" si="0"/>
        <v>994</v>
      </c>
      <c r="L18">
        <v>170</v>
      </c>
      <c r="M18">
        <v>173</v>
      </c>
      <c r="N18">
        <v>94</v>
      </c>
      <c r="O18">
        <v>179</v>
      </c>
      <c r="P18">
        <v>378</v>
      </c>
      <c r="Q18" s="3">
        <f t="shared" si="1"/>
        <v>17.102615694164992</v>
      </c>
      <c r="R18" s="3">
        <f t="shared" si="2"/>
        <v>26.861167002012071</v>
      </c>
      <c r="S18" s="3">
        <f t="shared" si="3"/>
        <v>56.03621730382293</v>
      </c>
      <c r="T18" s="3">
        <f t="shared" si="4"/>
        <v>-2.1479109618215508</v>
      </c>
      <c r="U18">
        <f t="shared" si="5"/>
        <v>0.11672775197647661</v>
      </c>
      <c r="V18" t="e">
        <f>((L18/K18)*#REF!+(M18/K18)*#REF!+(N18/K18)*#REF!+(O18/K18)*#REF!+(P18/K18)*#REF!)/5/1000</f>
        <v>#REF!</v>
      </c>
      <c r="W18">
        <v>7.7</v>
      </c>
      <c r="X18">
        <v>6</v>
      </c>
      <c r="Y18">
        <v>3.4000000000000002E-2</v>
      </c>
      <c r="Z18">
        <v>2.8</v>
      </c>
      <c r="AA18">
        <v>5.7000000000000002E-2</v>
      </c>
      <c r="AB18">
        <v>6.6000000000000003E-2</v>
      </c>
      <c r="AC18">
        <v>4.33</v>
      </c>
      <c r="AD18">
        <v>0.49</v>
      </c>
      <c r="AE18">
        <v>65.599999999999994</v>
      </c>
      <c r="AF18">
        <v>0.2</v>
      </c>
    </row>
    <row r="19" spans="1:32" x14ac:dyDescent="0.15">
      <c r="A19" t="s">
        <v>72</v>
      </c>
      <c r="B19" t="s">
        <v>50</v>
      </c>
      <c r="C19" t="s">
        <v>398</v>
      </c>
      <c r="D19" t="s">
        <v>113</v>
      </c>
      <c r="E19" t="s">
        <v>350</v>
      </c>
      <c r="F19" t="s">
        <v>72</v>
      </c>
      <c r="G19" t="s">
        <v>177</v>
      </c>
      <c r="H19">
        <v>0</v>
      </c>
      <c r="I19">
        <v>0</v>
      </c>
      <c r="J19">
        <v>1000</v>
      </c>
      <c r="K19" s="1">
        <f t="shared" si="0"/>
        <v>999</v>
      </c>
      <c r="L19">
        <v>124</v>
      </c>
      <c r="M19">
        <v>172</v>
      </c>
      <c r="N19">
        <v>143</v>
      </c>
      <c r="O19">
        <v>175</v>
      </c>
      <c r="P19">
        <v>385</v>
      </c>
      <c r="Q19" s="3">
        <f t="shared" si="1"/>
        <v>12.412412412412413</v>
      </c>
      <c r="R19" s="3">
        <f t="shared" si="2"/>
        <v>31.531531531531531</v>
      </c>
      <c r="S19" s="3">
        <f t="shared" si="3"/>
        <v>56.056056056056057</v>
      </c>
      <c r="T19" s="3">
        <f t="shared" si="4"/>
        <v>-1.9943706656113949</v>
      </c>
      <c r="U19">
        <f t="shared" si="5"/>
        <v>0.13609927917729195</v>
      </c>
      <c r="V19" t="e">
        <f>((L19/K19)*#REF!+(M19/K19)*#REF!+(N19/K19)*#REF!+(O19/K19)*#REF!+(P19/K19)*#REF!)/5/1000</f>
        <v>#REF!</v>
      </c>
      <c r="W19">
        <v>5.4</v>
      </c>
      <c r="X19" t="s">
        <v>20</v>
      </c>
      <c r="Y19">
        <v>0.114</v>
      </c>
      <c r="Z19">
        <v>1.03</v>
      </c>
      <c r="AA19">
        <v>7.2999999999999995E-2</v>
      </c>
      <c r="AB19">
        <v>5.5E-2</v>
      </c>
      <c r="AC19">
        <v>54.46</v>
      </c>
      <c r="AD19">
        <v>2.69</v>
      </c>
      <c r="AE19">
        <v>27.2</v>
      </c>
      <c r="AF19">
        <v>0.21</v>
      </c>
    </row>
    <row r="20" spans="1:32" x14ac:dyDescent="0.15">
      <c r="A20" t="s">
        <v>72</v>
      </c>
      <c r="B20" t="s">
        <v>50</v>
      </c>
      <c r="C20" t="s">
        <v>398</v>
      </c>
      <c r="D20" t="s">
        <v>113</v>
      </c>
      <c r="E20" t="s">
        <v>350</v>
      </c>
      <c r="F20" t="s">
        <v>72</v>
      </c>
      <c r="G20" t="s">
        <v>175</v>
      </c>
      <c r="H20">
        <v>0</v>
      </c>
      <c r="I20">
        <v>0</v>
      </c>
      <c r="J20">
        <v>1000</v>
      </c>
      <c r="K20" s="1">
        <f t="shared" si="0"/>
        <v>999</v>
      </c>
      <c r="L20">
        <v>120</v>
      </c>
      <c r="M20">
        <v>171</v>
      </c>
      <c r="N20">
        <v>139</v>
      </c>
      <c r="O20">
        <v>175</v>
      </c>
      <c r="P20">
        <v>394</v>
      </c>
      <c r="Q20" s="3">
        <f t="shared" si="1"/>
        <v>12.012012012012011</v>
      </c>
      <c r="R20" s="3">
        <f t="shared" si="2"/>
        <v>31.031031031031031</v>
      </c>
      <c r="S20" s="3">
        <f t="shared" si="3"/>
        <v>56.956956956956958</v>
      </c>
      <c r="T20" s="3">
        <f t="shared" si="4"/>
        <v>-1.9482229695813196</v>
      </c>
      <c r="U20">
        <f t="shared" si="5"/>
        <v>0.14252712171180645</v>
      </c>
      <c r="V20" t="e">
        <f>((L20/K20)*#REF!+(M20/K20)*#REF!+(N20/K20)*#REF!+(O20/K20)*#REF!+(P20/K20)*#REF!)/5/1000</f>
        <v>#REF!</v>
      </c>
      <c r="W20">
        <v>5.5</v>
      </c>
      <c r="X20" t="s">
        <v>20</v>
      </c>
      <c r="Y20">
        <v>0.112</v>
      </c>
      <c r="Z20">
        <v>1</v>
      </c>
      <c r="AA20">
        <v>6.9000000000000006E-2</v>
      </c>
      <c r="AB20">
        <v>2.7E-2</v>
      </c>
      <c r="AC20">
        <v>52.84</v>
      </c>
      <c r="AD20">
        <v>2.57</v>
      </c>
      <c r="AE20">
        <v>27.3</v>
      </c>
      <c r="AF20">
        <v>0.25</v>
      </c>
    </row>
    <row r="21" spans="1:32" x14ac:dyDescent="0.15">
      <c r="A21" t="s">
        <v>72</v>
      </c>
      <c r="B21" t="s">
        <v>50</v>
      </c>
      <c r="C21" t="s">
        <v>398</v>
      </c>
      <c r="D21" t="s">
        <v>113</v>
      </c>
      <c r="F21" t="s">
        <v>72</v>
      </c>
      <c r="G21" t="s">
        <v>21</v>
      </c>
      <c r="H21">
        <v>0</v>
      </c>
      <c r="I21">
        <v>0</v>
      </c>
      <c r="J21">
        <v>1000</v>
      </c>
      <c r="K21" s="1">
        <f t="shared" si="0"/>
        <v>999</v>
      </c>
      <c r="L21">
        <v>151</v>
      </c>
      <c r="M21">
        <v>198</v>
      </c>
      <c r="N21">
        <v>153</v>
      </c>
      <c r="O21">
        <v>141</v>
      </c>
      <c r="P21">
        <v>356</v>
      </c>
      <c r="Q21" s="3">
        <f t="shared" si="1"/>
        <v>15.115115115115115</v>
      </c>
      <c r="R21" s="3">
        <f t="shared" si="2"/>
        <v>35.135135135135137</v>
      </c>
      <c r="S21" s="3">
        <f t="shared" si="3"/>
        <v>49.749749749749753</v>
      </c>
      <c r="T21" s="3">
        <f t="shared" si="4"/>
        <v>-2.3141431799260044</v>
      </c>
      <c r="U21">
        <f t="shared" si="5"/>
        <v>9.8850845115707867E-2</v>
      </c>
      <c r="V21" t="e">
        <f>((L21/K21)*#REF!+(M21/K21)*#REF!+(N21/K21)*#REF!+(O21/K21)*#REF!+(P21/K21)*#REF!)/5/1000</f>
        <v>#REF!</v>
      </c>
      <c r="W21">
        <v>5.3</v>
      </c>
      <c r="X21" t="s">
        <v>20</v>
      </c>
      <c r="Y21">
        <v>0.251</v>
      </c>
      <c r="Z21">
        <v>0.33</v>
      </c>
      <c r="AA21">
        <v>2.5000000000000001E-2</v>
      </c>
      <c r="AB21">
        <v>2.9000000000000001E-2</v>
      </c>
      <c r="AC21">
        <v>11.52</v>
      </c>
      <c r="AD21">
        <v>0.49</v>
      </c>
      <c r="AE21">
        <v>45.9</v>
      </c>
      <c r="AF21">
        <v>0.05</v>
      </c>
    </row>
    <row r="22" spans="1:32" x14ac:dyDescent="0.15">
      <c r="A22" t="s">
        <v>73</v>
      </c>
      <c r="B22" t="s">
        <v>189</v>
      </c>
      <c r="C22" t="s">
        <v>99</v>
      </c>
      <c r="D22" t="s">
        <v>111</v>
      </c>
      <c r="E22" t="s">
        <v>348</v>
      </c>
      <c r="F22" t="s">
        <v>73</v>
      </c>
      <c r="G22" t="s">
        <v>177</v>
      </c>
      <c r="H22">
        <v>13</v>
      </c>
      <c r="I22">
        <v>21</v>
      </c>
      <c r="J22">
        <v>965</v>
      </c>
      <c r="K22" s="1">
        <f t="shared" si="0"/>
        <v>999</v>
      </c>
      <c r="L22">
        <v>142</v>
      </c>
      <c r="M22">
        <v>132</v>
      </c>
      <c r="N22">
        <v>115</v>
      </c>
      <c r="O22">
        <v>210</v>
      </c>
      <c r="P22">
        <v>400</v>
      </c>
      <c r="Q22" s="3">
        <f t="shared" si="1"/>
        <v>14.214214214214213</v>
      </c>
      <c r="R22" s="3">
        <f t="shared" si="2"/>
        <v>24.724724724724727</v>
      </c>
      <c r="S22" s="3">
        <f t="shared" si="3"/>
        <v>61.061061061061061</v>
      </c>
      <c r="T22" s="3">
        <f t="shared" si="4"/>
        <v>-1.8691736385912101</v>
      </c>
      <c r="U22">
        <f t="shared" si="5"/>
        <v>0.15425107629939253</v>
      </c>
      <c r="V22" t="e">
        <f>((L22/K22)*#REF!+(M22/K22)*#REF!+(N22/K22)*#REF!+(O22/K22)*#REF!+(P22/K22)*#REF!)/5/1000</f>
        <v>#REF!</v>
      </c>
      <c r="W22">
        <v>6.8</v>
      </c>
      <c r="X22">
        <v>1</v>
      </c>
      <c r="Y22">
        <v>6.3E-2</v>
      </c>
      <c r="Z22">
        <v>1.62</v>
      </c>
      <c r="AA22">
        <v>7.2999999999999995E-2</v>
      </c>
      <c r="AB22">
        <v>0.112</v>
      </c>
      <c r="AC22">
        <v>19.420000000000002</v>
      </c>
      <c r="AD22">
        <v>1.57</v>
      </c>
      <c r="AE22">
        <v>66.2</v>
      </c>
      <c r="AF22">
        <v>0.23</v>
      </c>
    </row>
    <row r="23" spans="1:32" x14ac:dyDescent="0.15">
      <c r="A23" t="s">
        <v>73</v>
      </c>
      <c r="B23" t="s">
        <v>189</v>
      </c>
      <c r="C23" t="s">
        <v>99</v>
      </c>
      <c r="D23" t="s">
        <v>111</v>
      </c>
      <c r="E23" t="s">
        <v>348</v>
      </c>
      <c r="F23" t="s">
        <v>73</v>
      </c>
      <c r="G23" t="s">
        <v>175</v>
      </c>
      <c r="H23">
        <v>21</v>
      </c>
      <c r="I23">
        <v>62</v>
      </c>
      <c r="J23">
        <v>917</v>
      </c>
      <c r="K23" s="1">
        <f t="shared" si="0"/>
        <v>998</v>
      </c>
      <c r="L23">
        <v>126</v>
      </c>
      <c r="M23">
        <v>129</v>
      </c>
      <c r="N23">
        <v>109</v>
      </c>
      <c r="O23">
        <v>180</v>
      </c>
      <c r="P23">
        <v>454</v>
      </c>
      <c r="Q23" s="3">
        <f t="shared" si="1"/>
        <v>12.625250501002002</v>
      </c>
      <c r="R23" s="3">
        <f t="shared" si="2"/>
        <v>23.847695390781563</v>
      </c>
      <c r="S23" s="3">
        <f t="shared" si="3"/>
        <v>63.527054108216433</v>
      </c>
      <c r="T23" s="3">
        <f t="shared" si="4"/>
        <v>-1.7267944179539978</v>
      </c>
      <c r="U23">
        <f t="shared" si="5"/>
        <v>0.17785362153127093</v>
      </c>
      <c r="V23" t="e">
        <f>((L23/K23)*#REF!+(M23/K23)*#REF!+(N23/K23)*#REF!+(O23/K23)*#REF!+(P23/K23)*#REF!)/5/1000</f>
        <v>#REF!</v>
      </c>
      <c r="W23">
        <v>6.2</v>
      </c>
      <c r="X23">
        <v>2</v>
      </c>
      <c r="Y23">
        <v>7.5999999999999998E-2</v>
      </c>
      <c r="Z23">
        <v>1.18</v>
      </c>
      <c r="AA23">
        <v>7.0999999999999994E-2</v>
      </c>
      <c r="AB23">
        <v>0.126</v>
      </c>
      <c r="AC23">
        <v>20.41</v>
      </c>
      <c r="AD23">
        <v>1.61</v>
      </c>
      <c r="AE23">
        <v>67.3</v>
      </c>
      <c r="AF23">
        <v>0.25</v>
      </c>
    </row>
    <row r="24" spans="1:32" x14ac:dyDescent="0.15">
      <c r="A24" t="s">
        <v>73</v>
      </c>
      <c r="B24" t="s">
        <v>189</v>
      </c>
      <c r="C24" t="s">
        <v>99</v>
      </c>
      <c r="D24" t="s">
        <v>111</v>
      </c>
      <c r="E24" t="s">
        <v>348</v>
      </c>
      <c r="F24" t="s">
        <v>73</v>
      </c>
      <c r="G24" t="s">
        <v>21</v>
      </c>
      <c r="H24">
        <v>10</v>
      </c>
      <c r="I24">
        <v>7</v>
      </c>
      <c r="J24">
        <v>983</v>
      </c>
      <c r="K24" s="1">
        <f t="shared" si="0"/>
        <v>999</v>
      </c>
      <c r="L24">
        <v>114</v>
      </c>
      <c r="M24">
        <v>134</v>
      </c>
      <c r="N24">
        <v>92</v>
      </c>
      <c r="O24">
        <v>195</v>
      </c>
      <c r="P24">
        <v>464</v>
      </c>
      <c r="Q24" s="3">
        <f t="shared" si="1"/>
        <v>11.411411411411411</v>
      </c>
      <c r="R24" s="3">
        <f t="shared" si="2"/>
        <v>22.622622622622622</v>
      </c>
      <c r="S24" s="3">
        <f t="shared" si="3"/>
        <v>65.965965965965964</v>
      </c>
      <c r="T24" s="3">
        <f t="shared" si="4"/>
        <v>-1.5976321777417588</v>
      </c>
      <c r="U24">
        <f t="shared" si="5"/>
        <v>0.202375139485515</v>
      </c>
      <c r="V24" t="e">
        <f>((L24/K24)*#REF!+(M24/K24)*#REF!+(N24/K24)*#REF!+(O24/K24)*#REF!+(P24/K24)*#REF!)/5/1000</f>
        <v>#REF!</v>
      </c>
      <c r="W24">
        <v>5.7</v>
      </c>
      <c r="X24" t="s">
        <v>20</v>
      </c>
      <c r="Y24">
        <v>2.3E-2</v>
      </c>
      <c r="Z24">
        <v>0.76</v>
      </c>
      <c r="AA24">
        <v>5.2999999999999999E-2</v>
      </c>
      <c r="AB24">
        <v>5.2999999999999999E-2</v>
      </c>
      <c r="AC24">
        <v>2.74</v>
      </c>
      <c r="AD24">
        <v>0.25</v>
      </c>
      <c r="AE24">
        <v>39</v>
      </c>
      <c r="AF24">
        <v>0.09</v>
      </c>
    </row>
    <row r="25" spans="1:32" ht="16.5" x14ac:dyDescent="0.15">
      <c r="A25" t="s">
        <v>74</v>
      </c>
      <c r="B25" t="s">
        <v>396</v>
      </c>
      <c r="C25" t="s">
        <v>100</v>
      </c>
      <c r="D25" t="s">
        <v>114</v>
      </c>
      <c r="E25" t="s">
        <v>346</v>
      </c>
      <c r="F25" s="86" t="s">
        <v>397</v>
      </c>
      <c r="G25" t="s">
        <v>177</v>
      </c>
      <c r="H25">
        <v>0</v>
      </c>
      <c r="I25">
        <v>0</v>
      </c>
      <c r="J25">
        <v>1000</v>
      </c>
      <c r="K25" s="1">
        <f t="shared" si="0"/>
        <v>999</v>
      </c>
      <c r="L25">
        <v>23</v>
      </c>
      <c r="M25">
        <v>6</v>
      </c>
      <c r="N25">
        <v>15</v>
      </c>
      <c r="O25">
        <v>430</v>
      </c>
      <c r="P25">
        <v>525</v>
      </c>
      <c r="Q25" s="3">
        <f t="shared" si="1"/>
        <v>2.3023023023023024</v>
      </c>
      <c r="R25" s="3">
        <f t="shared" si="2"/>
        <v>2.1021021021021022</v>
      </c>
      <c r="S25" s="3">
        <f t="shared" si="3"/>
        <v>95.595595595595597</v>
      </c>
      <c r="T25" s="3">
        <f t="shared" si="4"/>
        <v>-0.21215191186482305</v>
      </c>
      <c r="U25">
        <f t="shared" si="5"/>
        <v>0.8088418155645698</v>
      </c>
      <c r="V25" t="e">
        <f>((L25/K25)*#REF!+(M25/K25)*#REF!+(N25/K25)*#REF!+(O25/K25)*#REF!+(P25/K25)*#REF!)/5/1000</f>
        <v>#REF!</v>
      </c>
      <c r="W25">
        <v>5.9</v>
      </c>
      <c r="X25" t="s">
        <v>20</v>
      </c>
      <c r="Y25">
        <v>0.108</v>
      </c>
      <c r="Z25">
        <v>0.4</v>
      </c>
      <c r="AA25">
        <v>6.5000000000000002E-2</v>
      </c>
      <c r="AB25">
        <v>2.5999999999999999E-2</v>
      </c>
      <c r="AC25">
        <v>14.01</v>
      </c>
      <c r="AD25">
        <v>0.97</v>
      </c>
      <c r="AE25">
        <v>22.9</v>
      </c>
      <c r="AF25">
        <v>0.08</v>
      </c>
    </row>
    <row r="26" spans="1:32" ht="16.5" x14ac:dyDescent="0.15">
      <c r="A26" t="s">
        <v>74</v>
      </c>
      <c r="B26" t="s">
        <v>396</v>
      </c>
      <c r="C26" t="s">
        <v>100</v>
      </c>
      <c r="D26" t="s">
        <v>114</v>
      </c>
      <c r="E26" t="s">
        <v>346</v>
      </c>
      <c r="F26" s="86" t="s">
        <v>397</v>
      </c>
      <c r="G26" t="s">
        <v>175</v>
      </c>
      <c r="H26">
        <v>2</v>
      </c>
      <c r="I26">
        <v>0</v>
      </c>
      <c r="J26">
        <v>998</v>
      </c>
      <c r="K26" s="1">
        <f t="shared" si="0"/>
        <v>999</v>
      </c>
      <c r="L26">
        <v>20</v>
      </c>
      <c r="M26">
        <v>14</v>
      </c>
      <c r="N26">
        <v>16</v>
      </c>
      <c r="O26">
        <v>464</v>
      </c>
      <c r="P26">
        <v>485</v>
      </c>
      <c r="Q26" s="3">
        <f t="shared" si="1"/>
        <v>2.0020020020020022</v>
      </c>
      <c r="R26" s="3">
        <f t="shared" si="2"/>
        <v>3.0030030030030028</v>
      </c>
      <c r="S26" s="3">
        <f t="shared" si="3"/>
        <v>94.994994994994997</v>
      </c>
      <c r="T26" s="3">
        <f t="shared" si="4"/>
        <v>-0.22443601447467459</v>
      </c>
      <c r="U26">
        <f t="shared" si="5"/>
        <v>0.79896669736826165</v>
      </c>
      <c r="V26" t="e">
        <f>((L26/K26)*#REF!+(M26/K26)*#REF!+(N26/K26)*#REF!+(O26/K26)*#REF!+(P26/K26)*#REF!)/5/1000</f>
        <v>#REF!</v>
      </c>
      <c r="W26">
        <v>6.2</v>
      </c>
      <c r="X26" t="s">
        <v>20</v>
      </c>
      <c r="Y26">
        <v>0.129</v>
      </c>
      <c r="Z26">
        <v>0.43</v>
      </c>
      <c r="AA26">
        <v>7.1999999999999995E-2</v>
      </c>
      <c r="AB26">
        <v>4.4999999999999998E-2</v>
      </c>
      <c r="AC26">
        <v>18.170000000000002</v>
      </c>
      <c r="AD26">
        <v>1.1200000000000001</v>
      </c>
      <c r="AE26">
        <v>21.2</v>
      </c>
      <c r="AF26">
        <v>0.08</v>
      </c>
    </row>
    <row r="27" spans="1:32" ht="16.5" x14ac:dyDescent="0.15">
      <c r="A27" t="s">
        <v>74</v>
      </c>
      <c r="B27" t="s">
        <v>396</v>
      </c>
      <c r="C27" t="s">
        <v>100</v>
      </c>
      <c r="D27" t="s">
        <v>114</v>
      </c>
      <c r="E27" t="s">
        <v>346</v>
      </c>
      <c r="F27" s="86" t="s">
        <v>397</v>
      </c>
      <c r="G27" t="s">
        <v>21</v>
      </c>
      <c r="H27">
        <v>0</v>
      </c>
      <c r="I27">
        <v>0</v>
      </c>
      <c r="J27">
        <v>1000</v>
      </c>
      <c r="K27" s="1">
        <f t="shared" si="0"/>
        <v>999</v>
      </c>
      <c r="L27">
        <v>10</v>
      </c>
      <c r="M27">
        <v>1</v>
      </c>
      <c r="N27">
        <v>7</v>
      </c>
      <c r="O27">
        <v>107</v>
      </c>
      <c r="P27">
        <v>874</v>
      </c>
      <c r="Q27" s="3">
        <f t="shared" si="1"/>
        <v>1.0010010010010011</v>
      </c>
      <c r="R27" s="3">
        <f t="shared" si="2"/>
        <v>0.80080080080080074</v>
      </c>
      <c r="S27" s="3">
        <f t="shared" si="3"/>
        <v>98.198198198198199</v>
      </c>
      <c r="T27" s="3">
        <f t="shared" si="4"/>
        <v>-7.4125495261613869E-2</v>
      </c>
      <c r="U27">
        <f t="shared" si="5"/>
        <v>0.92855515725666271</v>
      </c>
      <c r="V27" t="e">
        <f>((L27/K27)*#REF!+(M27/K27)*#REF!+(N27/K27)*#REF!+(O27/K27)*#REF!+(P27/K27)*#REF!)/5/1000</f>
        <v>#REF!</v>
      </c>
      <c r="W27">
        <v>5.7</v>
      </c>
      <c r="X27">
        <v>1</v>
      </c>
      <c r="Y27">
        <v>2.8000000000000001E-2</v>
      </c>
      <c r="Z27">
        <v>0.11</v>
      </c>
      <c r="AA27">
        <v>2.8000000000000001E-2</v>
      </c>
      <c r="AB27">
        <v>1.4E-2</v>
      </c>
      <c r="AC27">
        <v>21.81</v>
      </c>
      <c r="AD27">
        <v>0.72</v>
      </c>
      <c r="AE27">
        <v>6.6</v>
      </c>
      <c r="AF27">
        <v>0.02</v>
      </c>
    </row>
    <row r="28" spans="1:32" ht="16.5" x14ac:dyDescent="0.15">
      <c r="A28" t="s">
        <v>75</v>
      </c>
      <c r="B28" t="s">
        <v>396</v>
      </c>
      <c r="C28" t="s">
        <v>100</v>
      </c>
      <c r="D28" t="s">
        <v>114</v>
      </c>
      <c r="E28" t="s">
        <v>346</v>
      </c>
      <c r="F28" s="86" t="s">
        <v>397</v>
      </c>
      <c r="G28" t="s">
        <v>177</v>
      </c>
      <c r="H28">
        <v>0</v>
      </c>
      <c r="I28">
        <v>0</v>
      </c>
      <c r="J28">
        <v>1000</v>
      </c>
      <c r="K28" s="1">
        <f t="shared" si="0"/>
        <v>999</v>
      </c>
      <c r="L28">
        <v>34</v>
      </c>
      <c r="M28">
        <v>7</v>
      </c>
      <c r="N28">
        <v>21</v>
      </c>
      <c r="O28">
        <v>491</v>
      </c>
      <c r="P28">
        <v>446</v>
      </c>
      <c r="Q28" s="3">
        <f t="shared" si="1"/>
        <v>3.4034034034034035</v>
      </c>
      <c r="R28" s="3">
        <f t="shared" si="2"/>
        <v>2.8028028028028027</v>
      </c>
      <c r="S28" s="3">
        <f t="shared" si="3"/>
        <v>93.793793793793796</v>
      </c>
      <c r="T28" s="3">
        <f t="shared" si="4"/>
        <v>-0.31423137761272574</v>
      </c>
      <c r="U28">
        <f t="shared" si="5"/>
        <v>0.73035002196351773</v>
      </c>
      <c r="V28" t="e">
        <f>((L28/K28)*#REF!+(M28/K28)*#REF!+(N28/K28)*#REF!+(O28/K28)*#REF!+(P28/K28)*#REF!)/5/1000</f>
        <v>#REF!</v>
      </c>
      <c r="W28">
        <v>5.2</v>
      </c>
      <c r="X28" t="s">
        <v>20</v>
      </c>
      <c r="Y28">
        <v>0.13200000000000001</v>
      </c>
      <c r="Z28">
        <v>0.41</v>
      </c>
      <c r="AA28">
        <v>6.7000000000000004E-2</v>
      </c>
      <c r="AB28">
        <v>3.2000000000000001E-2</v>
      </c>
      <c r="AC28">
        <v>29.77</v>
      </c>
      <c r="AD28">
        <v>1.98</v>
      </c>
      <c r="AE28">
        <v>25.1</v>
      </c>
      <c r="AF28">
        <v>0.09</v>
      </c>
    </row>
    <row r="29" spans="1:32" ht="16.5" x14ac:dyDescent="0.15">
      <c r="A29" t="s">
        <v>75</v>
      </c>
      <c r="B29" t="s">
        <v>396</v>
      </c>
      <c r="C29" t="s">
        <v>100</v>
      </c>
      <c r="D29" t="s">
        <v>114</v>
      </c>
      <c r="E29" t="s">
        <v>346</v>
      </c>
      <c r="F29" s="86" t="s">
        <v>397</v>
      </c>
      <c r="G29" t="s">
        <v>175</v>
      </c>
      <c r="H29">
        <v>0</v>
      </c>
      <c r="I29">
        <v>0</v>
      </c>
      <c r="J29">
        <v>1000</v>
      </c>
      <c r="K29" s="1">
        <f t="shared" si="0"/>
        <v>999</v>
      </c>
      <c r="L29">
        <v>22</v>
      </c>
      <c r="M29">
        <v>3</v>
      </c>
      <c r="N29">
        <v>19</v>
      </c>
      <c r="O29">
        <v>415</v>
      </c>
      <c r="P29">
        <v>540</v>
      </c>
      <c r="Q29" s="3">
        <f t="shared" si="1"/>
        <v>2.2022022022022023</v>
      </c>
      <c r="R29" s="3">
        <f t="shared" si="2"/>
        <v>2.2022022022022023</v>
      </c>
      <c r="S29" s="3">
        <f t="shared" si="3"/>
        <v>95.595595595595597</v>
      </c>
      <c r="T29" s="3">
        <f t="shared" si="4"/>
        <v>-0.20889055396890563</v>
      </c>
      <c r="U29">
        <f t="shared" si="5"/>
        <v>0.81148404449140077</v>
      </c>
      <c r="V29" t="e">
        <f>((L29/K29)*#REF!+(M29/K29)*#REF!+(N29/K29)*#REF!+(O29/K29)*#REF!+(P29/K29)*#REF!)/5/1000</f>
        <v>#REF!</v>
      </c>
      <c r="W29">
        <v>5.8</v>
      </c>
      <c r="X29" t="s">
        <v>20</v>
      </c>
      <c r="Y29">
        <v>0.13200000000000001</v>
      </c>
      <c r="Z29">
        <v>0.36</v>
      </c>
      <c r="AA29">
        <v>4.7E-2</v>
      </c>
      <c r="AB29">
        <v>3.7999999999999999E-2</v>
      </c>
      <c r="AC29">
        <v>20.43</v>
      </c>
      <c r="AD29">
        <v>1.17</v>
      </c>
      <c r="AE29">
        <v>23.1</v>
      </c>
      <c r="AF29">
        <v>0.09</v>
      </c>
    </row>
    <row r="30" spans="1:32" ht="16.5" x14ac:dyDescent="0.15">
      <c r="A30" t="s">
        <v>75</v>
      </c>
      <c r="B30" t="s">
        <v>396</v>
      </c>
      <c r="C30" t="s">
        <v>100</v>
      </c>
      <c r="D30" t="s">
        <v>114</v>
      </c>
      <c r="E30" t="s">
        <v>346</v>
      </c>
      <c r="F30" s="86" t="s">
        <v>397</v>
      </c>
      <c r="G30" t="s">
        <v>21</v>
      </c>
      <c r="H30">
        <v>0</v>
      </c>
      <c r="I30">
        <v>0</v>
      </c>
      <c r="J30">
        <v>1000</v>
      </c>
      <c r="K30" s="1">
        <f t="shared" si="0"/>
        <v>996</v>
      </c>
      <c r="L30">
        <v>5</v>
      </c>
      <c r="M30">
        <v>0</v>
      </c>
      <c r="N30">
        <v>1</v>
      </c>
      <c r="O30">
        <v>390</v>
      </c>
      <c r="P30">
        <v>600</v>
      </c>
      <c r="Q30" s="3">
        <f t="shared" si="1"/>
        <v>0.50200803212851408</v>
      </c>
      <c r="R30" s="3">
        <f t="shared" si="2"/>
        <v>0.1004016064257028</v>
      </c>
      <c r="S30" s="3">
        <f t="shared" si="3"/>
        <v>99.397590361445793</v>
      </c>
      <c r="T30" s="3">
        <f t="shared" si="4"/>
        <v>-1.379794043313618E-2</v>
      </c>
      <c r="U30">
        <f t="shared" si="5"/>
        <v>0.98629681483712606</v>
      </c>
      <c r="V30" t="e">
        <f>((L30/K30)*#REF!+(M30/K30)*#REF!+(N30/K30)*#REF!+(O30/K30)*#REF!+(P30/K30)*#REF!)/5/1000</f>
        <v>#REF!</v>
      </c>
      <c r="W30">
        <v>6.6</v>
      </c>
      <c r="X30" t="s">
        <v>20</v>
      </c>
      <c r="Y30">
        <v>0.06</v>
      </c>
      <c r="Z30">
        <v>1.2</v>
      </c>
      <c r="AA30">
        <v>1.4999999999999999E-2</v>
      </c>
      <c r="AB30">
        <v>1.4999999999999999E-2</v>
      </c>
      <c r="AC30">
        <v>1.45</v>
      </c>
      <c r="AD30">
        <v>0.09</v>
      </c>
      <c r="AE30">
        <v>11.6</v>
      </c>
      <c r="AF30">
        <v>0.03</v>
      </c>
    </row>
    <row r="31" spans="1:32" x14ac:dyDescent="0.15">
      <c r="A31" t="s">
        <v>76</v>
      </c>
      <c r="B31" t="s">
        <v>210</v>
      </c>
      <c r="C31" t="s">
        <v>101</v>
      </c>
      <c r="D31" t="s">
        <v>111</v>
      </c>
      <c r="E31" t="s">
        <v>348</v>
      </c>
      <c r="F31" t="s">
        <v>76</v>
      </c>
      <c r="G31" t="s">
        <v>177</v>
      </c>
      <c r="H31">
        <v>0</v>
      </c>
      <c r="I31">
        <v>0</v>
      </c>
      <c r="J31">
        <v>1000</v>
      </c>
      <c r="K31" s="1">
        <f t="shared" si="0"/>
        <v>999</v>
      </c>
      <c r="L31">
        <v>422</v>
      </c>
      <c r="M31">
        <v>444</v>
      </c>
      <c r="N31">
        <v>116</v>
      </c>
      <c r="O31">
        <v>10</v>
      </c>
      <c r="P31">
        <v>7</v>
      </c>
      <c r="Q31" s="3">
        <f t="shared" si="1"/>
        <v>42.242242242242241</v>
      </c>
      <c r="R31" s="3">
        <f t="shared" si="2"/>
        <v>56.056056056056057</v>
      </c>
      <c r="S31" s="3">
        <f t="shared" si="3"/>
        <v>1.7017017017017018</v>
      </c>
      <c r="T31" s="3">
        <f t="shared" si="4"/>
        <v>-4.9634252735279203</v>
      </c>
      <c r="U31">
        <f t="shared" si="5"/>
        <v>6.9889477291794899E-3</v>
      </c>
      <c r="V31" t="e">
        <f>((L31/K31)*#REF!+(M31/K31)*#REF!+(N31/K31)*#REF!+(O31/K31)*#REF!+(P31/K31)*#REF!)/5/1000</f>
        <v>#REF!</v>
      </c>
      <c r="W31">
        <v>6.4</v>
      </c>
      <c r="X31" t="s">
        <v>20</v>
      </c>
      <c r="Y31">
        <v>9.5000000000000001E-2</v>
      </c>
      <c r="Z31">
        <v>2.11</v>
      </c>
      <c r="AA31">
        <v>0.253</v>
      </c>
      <c r="AB31">
        <v>0.29499999999999998</v>
      </c>
      <c r="AC31">
        <v>17.059999999999999</v>
      </c>
      <c r="AD31">
        <v>1.71</v>
      </c>
      <c r="AE31">
        <v>127</v>
      </c>
      <c r="AF31">
        <v>0.22</v>
      </c>
    </row>
    <row r="32" spans="1:32" x14ac:dyDescent="0.15">
      <c r="A32" t="s">
        <v>76</v>
      </c>
      <c r="B32" t="s">
        <v>210</v>
      </c>
      <c r="C32" t="s">
        <v>101</v>
      </c>
      <c r="D32" t="s">
        <v>111</v>
      </c>
      <c r="E32" t="s">
        <v>348</v>
      </c>
      <c r="F32" t="s">
        <v>76</v>
      </c>
      <c r="G32" t="s">
        <v>175</v>
      </c>
      <c r="H32">
        <v>0</v>
      </c>
      <c r="I32">
        <v>3</v>
      </c>
      <c r="J32">
        <v>997</v>
      </c>
      <c r="K32" s="1">
        <f t="shared" si="0"/>
        <v>999</v>
      </c>
      <c r="L32">
        <v>425</v>
      </c>
      <c r="M32">
        <v>423</v>
      </c>
      <c r="N32">
        <v>134</v>
      </c>
      <c r="O32">
        <v>9</v>
      </c>
      <c r="P32">
        <v>8</v>
      </c>
      <c r="Q32" s="3">
        <f t="shared" si="1"/>
        <v>42.542542542542542</v>
      </c>
      <c r="R32" s="3">
        <f t="shared" si="2"/>
        <v>55.755755755755757</v>
      </c>
      <c r="S32" s="3">
        <f t="shared" si="3"/>
        <v>1.7017017017017018</v>
      </c>
      <c r="T32" s="3">
        <f t="shared" si="4"/>
        <v>-4.9732093472156729</v>
      </c>
      <c r="U32">
        <f t="shared" si="5"/>
        <v>6.9209007806097442E-3</v>
      </c>
      <c r="V32" t="e">
        <f>((L32/K32)*#REF!+(M32/K32)*#REF!+(N32/K32)*#REF!+(O32/K32)*#REF!+(P32/K32)*#REF!)/5/1000</f>
        <v>#REF!</v>
      </c>
      <c r="W32">
        <v>5.9</v>
      </c>
      <c r="X32" t="s">
        <v>20</v>
      </c>
      <c r="Y32">
        <v>8.4000000000000005E-2</v>
      </c>
      <c r="Z32">
        <v>1.77</v>
      </c>
      <c r="AA32">
        <v>0.254</v>
      </c>
      <c r="AB32">
        <v>0.23699999999999999</v>
      </c>
      <c r="AC32">
        <v>14.77</v>
      </c>
      <c r="AD32">
        <v>1.47</v>
      </c>
      <c r="AE32">
        <v>127</v>
      </c>
      <c r="AF32">
        <v>0.2</v>
      </c>
    </row>
    <row r="33" spans="1:32" x14ac:dyDescent="0.15">
      <c r="A33" t="s">
        <v>76</v>
      </c>
      <c r="B33" t="s">
        <v>210</v>
      </c>
      <c r="C33" t="s">
        <v>101</v>
      </c>
      <c r="D33" t="s">
        <v>111</v>
      </c>
      <c r="E33" t="s">
        <v>348</v>
      </c>
      <c r="F33" t="s">
        <v>76</v>
      </c>
      <c r="G33" t="s">
        <v>21</v>
      </c>
      <c r="H33">
        <v>0</v>
      </c>
      <c r="I33">
        <v>0</v>
      </c>
      <c r="J33">
        <v>1000</v>
      </c>
      <c r="K33" s="1">
        <f t="shared" si="0"/>
        <v>998</v>
      </c>
      <c r="L33">
        <v>611</v>
      </c>
      <c r="M33">
        <v>327</v>
      </c>
      <c r="N33">
        <v>43</v>
      </c>
      <c r="O33">
        <v>6</v>
      </c>
      <c r="P33">
        <v>11</v>
      </c>
      <c r="Q33" s="3">
        <f t="shared" si="1"/>
        <v>61.22244488977956</v>
      </c>
      <c r="R33" s="3">
        <f t="shared" si="2"/>
        <v>37.074148296593187</v>
      </c>
      <c r="S33" s="3">
        <f t="shared" si="3"/>
        <v>1.7034068136272544</v>
      </c>
      <c r="T33" s="3">
        <f t="shared" si="4"/>
        <v>-5.5817559470936793</v>
      </c>
      <c r="U33">
        <f t="shared" si="5"/>
        <v>3.76594690600134E-3</v>
      </c>
      <c r="V33" t="e">
        <f>((L33/K33)*#REF!+(M33/K33)*#REF!+(N33/K33)*#REF!+(O33/K33)*#REF!+(P33/K33)*#REF!)/5/1000</f>
        <v>#REF!</v>
      </c>
      <c r="W33">
        <v>4.5</v>
      </c>
      <c r="X33">
        <v>2</v>
      </c>
      <c r="Y33">
        <v>8.3000000000000004E-2</v>
      </c>
      <c r="Z33">
        <v>0.83</v>
      </c>
      <c r="AA33">
        <v>0.33800000000000002</v>
      </c>
      <c r="AB33">
        <v>0.27600000000000002</v>
      </c>
      <c r="AC33">
        <v>15.4</v>
      </c>
      <c r="AD33">
        <v>1.64</v>
      </c>
      <c r="AE33">
        <v>148</v>
      </c>
      <c r="AF33">
        <v>0.2</v>
      </c>
    </row>
    <row r="34" spans="1:32" x14ac:dyDescent="0.15">
      <c r="A34" t="s">
        <v>77</v>
      </c>
      <c r="B34" t="s">
        <v>131</v>
      </c>
      <c r="C34" t="s">
        <v>100</v>
      </c>
      <c r="D34" t="s">
        <v>114</v>
      </c>
      <c r="E34" t="s">
        <v>348</v>
      </c>
      <c r="G34" t="s">
        <v>177</v>
      </c>
      <c r="H34">
        <v>0</v>
      </c>
      <c r="I34">
        <v>14</v>
      </c>
      <c r="J34">
        <v>986</v>
      </c>
      <c r="K34" s="1">
        <f t="shared" si="0"/>
        <v>998</v>
      </c>
      <c r="L34">
        <v>647</v>
      </c>
      <c r="M34">
        <v>277</v>
      </c>
      <c r="N34">
        <v>53</v>
      </c>
      <c r="O34">
        <v>12</v>
      </c>
      <c r="P34">
        <v>9</v>
      </c>
      <c r="Q34" s="3">
        <f t="shared" si="1"/>
        <v>64.829659318637283</v>
      </c>
      <c r="R34" s="3">
        <f t="shared" si="2"/>
        <v>33.06613226452906</v>
      </c>
      <c r="S34" s="3">
        <f t="shared" si="3"/>
        <v>2.1042084168336674</v>
      </c>
      <c r="T34" s="3">
        <f t="shared" si="4"/>
        <v>-5.6845556163868345</v>
      </c>
      <c r="U34">
        <f t="shared" si="5"/>
        <v>3.3980429487676421E-3</v>
      </c>
      <c r="V34" t="e">
        <f>((L34/K34)*#REF!+(M34/K34)*#REF!+(N34/K34)*#REF!+(O34/K34)*#REF!+(P34/K34)*#REF!)/5/1000</f>
        <v>#REF!</v>
      </c>
      <c r="W34">
        <v>6.3</v>
      </c>
      <c r="X34">
        <v>2</v>
      </c>
      <c r="Y34">
        <v>3.4000000000000002E-2</v>
      </c>
      <c r="Z34">
        <v>4.7300000000000004</v>
      </c>
      <c r="AA34">
        <v>0.46100000000000002</v>
      </c>
      <c r="AB34">
        <v>0.19800000000000001</v>
      </c>
      <c r="AC34">
        <v>32.299999999999997</v>
      </c>
      <c r="AD34">
        <v>3.56</v>
      </c>
      <c r="AE34">
        <v>146</v>
      </c>
      <c r="AF34">
        <v>0.27</v>
      </c>
    </row>
    <row r="35" spans="1:32" x14ac:dyDescent="0.15">
      <c r="A35" t="s">
        <v>77</v>
      </c>
      <c r="B35" t="s">
        <v>131</v>
      </c>
      <c r="C35" t="s">
        <v>100</v>
      </c>
      <c r="D35" t="s">
        <v>114</v>
      </c>
      <c r="E35" t="s">
        <v>348</v>
      </c>
      <c r="G35" t="s">
        <v>175</v>
      </c>
      <c r="H35">
        <v>0</v>
      </c>
      <c r="I35">
        <v>2</v>
      </c>
      <c r="J35">
        <v>997</v>
      </c>
      <c r="K35" s="1">
        <f t="shared" si="0"/>
        <v>999</v>
      </c>
      <c r="L35">
        <v>661</v>
      </c>
      <c r="M35">
        <v>283</v>
      </c>
      <c r="N35">
        <v>39</v>
      </c>
      <c r="O35">
        <v>10</v>
      </c>
      <c r="P35">
        <v>6</v>
      </c>
      <c r="Q35" s="3">
        <f t="shared" si="1"/>
        <v>66.166166166166164</v>
      </c>
      <c r="R35" s="3">
        <f t="shared" si="2"/>
        <v>32.232232232232235</v>
      </c>
      <c r="S35" s="3">
        <f t="shared" si="3"/>
        <v>1.6016016016016015</v>
      </c>
      <c r="T35" s="3">
        <f t="shared" si="4"/>
        <v>-5.7465678400351123</v>
      </c>
      <c r="U35">
        <f t="shared" si="5"/>
        <v>3.1937233769379794E-3</v>
      </c>
      <c r="V35" t="e">
        <f>((L35/K35)*#REF!+(M35/K35)*#REF!+(N35/K35)*#REF!+(O35/K35)*#REF!+(P35/K35)*#REF!)/5/1000</f>
        <v>#REF!</v>
      </c>
      <c r="W35">
        <v>6.3</v>
      </c>
      <c r="X35" t="s">
        <v>20</v>
      </c>
      <c r="Y35">
        <v>2.4E-2</v>
      </c>
      <c r="Z35">
        <v>4.9800000000000004</v>
      </c>
      <c r="AA35">
        <v>0.47</v>
      </c>
      <c r="AB35">
        <v>0.16700000000000001</v>
      </c>
      <c r="AC35">
        <v>32.17</v>
      </c>
      <c r="AD35">
        <v>3.54</v>
      </c>
      <c r="AE35">
        <v>147</v>
      </c>
      <c r="AF35">
        <v>0.28000000000000003</v>
      </c>
    </row>
    <row r="36" spans="1:32" x14ac:dyDescent="0.15">
      <c r="A36" t="s">
        <v>77</v>
      </c>
      <c r="B36" t="s">
        <v>131</v>
      </c>
      <c r="C36" t="s">
        <v>100</v>
      </c>
      <c r="D36" t="s">
        <v>114</v>
      </c>
      <c r="E36" t="s">
        <v>348</v>
      </c>
      <c r="G36" t="s">
        <v>21</v>
      </c>
      <c r="H36">
        <v>0</v>
      </c>
      <c r="I36">
        <v>0</v>
      </c>
      <c r="J36">
        <v>1000</v>
      </c>
      <c r="K36" s="1">
        <f t="shared" si="0"/>
        <v>999</v>
      </c>
      <c r="L36">
        <v>671</v>
      </c>
      <c r="M36">
        <v>247</v>
      </c>
      <c r="N36">
        <v>66</v>
      </c>
      <c r="O36">
        <v>11</v>
      </c>
      <c r="P36">
        <v>4</v>
      </c>
      <c r="Q36" s="3">
        <f t="shared" si="1"/>
        <v>67.167167167167165</v>
      </c>
      <c r="R36" s="3">
        <f t="shared" si="2"/>
        <v>31.331331331331331</v>
      </c>
      <c r="S36" s="3">
        <f t="shared" si="3"/>
        <v>1.5015015015015014</v>
      </c>
      <c r="T36" s="3">
        <f t="shared" si="4"/>
        <v>-5.78285944837722</v>
      </c>
      <c r="U36">
        <f t="shared" si="5"/>
        <v>3.0798960013036962E-3</v>
      </c>
      <c r="V36" t="e">
        <f>((L36/K36)*#REF!+(M36/K36)*#REF!+(N36/K36)*#REF!+(O36/K36)*#REF!+(P36/K36)*#REF!)/5/1000</f>
        <v>#REF!</v>
      </c>
      <c r="W36">
        <v>7.1</v>
      </c>
      <c r="X36" t="s">
        <v>20</v>
      </c>
      <c r="Y36">
        <v>4.0000000000000001E-3</v>
      </c>
      <c r="Z36">
        <v>3.81</v>
      </c>
      <c r="AA36">
        <v>0.372</v>
      </c>
      <c r="AB36">
        <v>0.189</v>
      </c>
      <c r="AC36">
        <v>8.5500000000000007</v>
      </c>
      <c r="AD36">
        <v>1.1499999999999999</v>
      </c>
      <c r="AE36">
        <v>140</v>
      </c>
      <c r="AF36">
        <v>0.25</v>
      </c>
    </row>
    <row r="37" spans="1:32" x14ac:dyDescent="0.15">
      <c r="A37" t="s">
        <v>78</v>
      </c>
      <c r="B37" t="s">
        <v>131</v>
      </c>
      <c r="C37" t="s">
        <v>403</v>
      </c>
      <c r="D37" t="s">
        <v>111</v>
      </c>
      <c r="E37" t="s">
        <v>348</v>
      </c>
      <c r="G37" t="s">
        <v>177</v>
      </c>
      <c r="H37">
        <v>0</v>
      </c>
      <c r="I37">
        <v>0</v>
      </c>
      <c r="J37">
        <v>1000</v>
      </c>
      <c r="K37" s="1">
        <f t="shared" si="0"/>
        <v>998</v>
      </c>
      <c r="L37">
        <v>595</v>
      </c>
      <c r="M37">
        <v>253</v>
      </c>
      <c r="N37">
        <v>99</v>
      </c>
      <c r="O37">
        <v>37</v>
      </c>
      <c r="P37">
        <v>14</v>
      </c>
      <c r="Q37" s="3">
        <f t="shared" si="1"/>
        <v>59.619238476953903</v>
      </c>
      <c r="R37" s="3">
        <f t="shared" si="2"/>
        <v>35.270541082164328</v>
      </c>
      <c r="S37" s="3">
        <f t="shared" si="3"/>
        <v>5.110220440881764</v>
      </c>
      <c r="T37" s="3">
        <f t="shared" si="4"/>
        <v>-5.404343631834081</v>
      </c>
      <c r="U37">
        <f t="shared" si="5"/>
        <v>4.4970051237025266E-3</v>
      </c>
      <c r="V37" t="e">
        <f>((L37/K37)*#REF!+(M37/K37)*#REF!+(N37/K37)*#REF!+(O37/K37)*#REF!+(P37/K37)*#REF!)/5/1000</f>
        <v>#REF!</v>
      </c>
      <c r="W37">
        <v>6.9</v>
      </c>
      <c r="X37">
        <v>2</v>
      </c>
      <c r="Y37">
        <v>6.5000000000000002E-2</v>
      </c>
      <c r="Z37">
        <v>5.01</v>
      </c>
      <c r="AA37">
        <v>0.27700000000000002</v>
      </c>
      <c r="AB37">
        <v>0.193</v>
      </c>
      <c r="AC37">
        <v>27.14</v>
      </c>
      <c r="AD37">
        <v>2.95</v>
      </c>
      <c r="AE37">
        <v>137</v>
      </c>
      <c r="AF37">
        <v>0.3</v>
      </c>
    </row>
    <row r="38" spans="1:32" x14ac:dyDescent="0.15">
      <c r="A38" t="s">
        <v>78</v>
      </c>
      <c r="B38" t="s">
        <v>131</v>
      </c>
      <c r="C38" t="s">
        <v>403</v>
      </c>
      <c r="D38" t="s">
        <v>111</v>
      </c>
      <c r="E38" t="s">
        <v>348</v>
      </c>
      <c r="G38" t="s">
        <v>175</v>
      </c>
      <c r="H38">
        <v>0</v>
      </c>
      <c r="I38">
        <v>3</v>
      </c>
      <c r="J38">
        <v>9997</v>
      </c>
      <c r="K38" s="1">
        <f t="shared" si="0"/>
        <v>998</v>
      </c>
      <c r="L38">
        <v>593</v>
      </c>
      <c r="M38">
        <v>256</v>
      </c>
      <c r="N38">
        <v>105</v>
      </c>
      <c r="O38">
        <v>37</v>
      </c>
      <c r="P38">
        <v>7</v>
      </c>
      <c r="Q38" s="3">
        <f t="shared" si="1"/>
        <v>59.418837675350701</v>
      </c>
      <c r="R38" s="3">
        <f t="shared" si="2"/>
        <v>36.172344689378754</v>
      </c>
      <c r="S38" s="3">
        <f t="shared" si="3"/>
        <v>4.408817635270541</v>
      </c>
      <c r="T38" s="3">
        <f t="shared" si="4"/>
        <v>-5.4235863837367013</v>
      </c>
      <c r="U38">
        <f t="shared" si="5"/>
        <v>4.4112976383962662E-3</v>
      </c>
      <c r="V38" t="e">
        <f>((L38/K38)*#REF!+(M38/K38)*#REF!+(N38/K38)*#REF!+(O38/K38)*#REF!+(P38/K38)*#REF!)/5/1000</f>
        <v>#REF!</v>
      </c>
      <c r="W38">
        <v>6.9</v>
      </c>
      <c r="X38">
        <v>2</v>
      </c>
      <c r="Y38">
        <v>5.8999999999999997E-2</v>
      </c>
      <c r="Z38">
        <v>5.27</v>
      </c>
      <c r="AA38">
        <v>0.28299999999999997</v>
      </c>
      <c r="AB38">
        <v>0.182</v>
      </c>
      <c r="AC38">
        <v>29.02</v>
      </c>
      <c r="AD38">
        <v>3.16</v>
      </c>
      <c r="AE38">
        <v>135</v>
      </c>
      <c r="AF38">
        <v>0.32</v>
      </c>
    </row>
    <row r="39" spans="1:32" x14ac:dyDescent="0.15">
      <c r="A39" t="s">
        <v>78</v>
      </c>
      <c r="B39" t="s">
        <v>131</v>
      </c>
      <c r="C39" t="s">
        <v>403</v>
      </c>
      <c r="D39" t="s">
        <v>111</v>
      </c>
      <c r="E39" t="s">
        <v>348</v>
      </c>
      <c r="G39" t="s">
        <v>21</v>
      </c>
      <c r="H39">
        <v>0</v>
      </c>
      <c r="I39">
        <v>0</v>
      </c>
      <c r="J39">
        <v>1000</v>
      </c>
      <c r="K39" s="1">
        <f t="shared" si="0"/>
        <v>998</v>
      </c>
      <c r="L39">
        <v>676</v>
      </c>
      <c r="M39">
        <v>272</v>
      </c>
      <c r="N39">
        <v>37</v>
      </c>
      <c r="O39">
        <v>5</v>
      </c>
      <c r="P39">
        <v>8</v>
      </c>
      <c r="Q39" s="3">
        <f t="shared" si="1"/>
        <v>67.735470941883761</v>
      </c>
      <c r="R39" s="3">
        <f t="shared" si="2"/>
        <v>30.961923847695388</v>
      </c>
      <c r="S39" s="3">
        <f t="shared" si="3"/>
        <v>1.3026052104208417</v>
      </c>
      <c r="T39" s="3">
        <f t="shared" si="4"/>
        <v>-5.8086834825501921</v>
      </c>
      <c r="U39">
        <f t="shared" si="5"/>
        <v>3.0013788400611008E-3</v>
      </c>
      <c r="V39" t="e">
        <f>((L39/K39)*#REF!+(M39/K39)*#REF!+(N39/K39)*#REF!+(O39/K39)*#REF!+(P39/K39)*#REF!)/5/1000</f>
        <v>#REF!</v>
      </c>
      <c r="W39">
        <v>7.4</v>
      </c>
      <c r="X39">
        <v>2</v>
      </c>
      <c r="Y39">
        <v>1.7999999999999999E-2</v>
      </c>
      <c r="Z39">
        <v>4.29</v>
      </c>
      <c r="AA39">
        <v>0.23100000000000001</v>
      </c>
      <c r="AB39">
        <v>0.19600000000000001</v>
      </c>
      <c r="AC39">
        <v>8.1300000000000008</v>
      </c>
      <c r="AD39">
        <v>1.1599999999999999</v>
      </c>
      <c r="AE39">
        <v>146</v>
      </c>
      <c r="AF39">
        <v>0.22</v>
      </c>
    </row>
    <row r="40" spans="1:32" x14ac:dyDescent="0.15">
      <c r="A40" s="133" t="s">
        <v>79</v>
      </c>
      <c r="B40" s="133" t="s">
        <v>131</v>
      </c>
      <c r="C40" s="133" t="s">
        <v>102</v>
      </c>
      <c r="D40" t="s">
        <v>111</v>
      </c>
      <c r="E40" t="s">
        <v>348</v>
      </c>
      <c r="F40" s="133" t="s">
        <v>79</v>
      </c>
      <c r="G40" t="s">
        <v>177</v>
      </c>
      <c r="H40">
        <v>2</v>
      </c>
      <c r="I40">
        <v>46</v>
      </c>
      <c r="J40">
        <v>952</v>
      </c>
      <c r="K40" s="1">
        <f t="shared" si="0"/>
        <v>998</v>
      </c>
      <c r="L40">
        <v>540</v>
      </c>
      <c r="M40">
        <v>228</v>
      </c>
      <c r="N40">
        <v>54</v>
      </c>
      <c r="O40">
        <v>82</v>
      </c>
      <c r="P40">
        <v>94</v>
      </c>
      <c r="Q40" s="3">
        <f t="shared" si="1"/>
        <v>54.108216432865731</v>
      </c>
      <c r="R40" s="3">
        <f t="shared" si="2"/>
        <v>28.256513026052104</v>
      </c>
      <c r="S40" s="3">
        <f t="shared" si="3"/>
        <v>17.635270541082164</v>
      </c>
      <c r="T40" s="3">
        <f t="shared" si="4"/>
        <v>-4.7645748655163862</v>
      </c>
      <c r="U40">
        <f t="shared" si="5"/>
        <v>8.5265123864122234E-3</v>
      </c>
      <c r="V40" t="e">
        <f>((L40/K40)*#REF!+(M40/K40)*#REF!+(N40/K40)*#REF!+(O40/K40)*#REF!+(P40/K40)*#REF!)/5/1000</f>
        <v>#REF!</v>
      </c>
      <c r="W40">
        <v>5.4</v>
      </c>
      <c r="X40">
        <v>2</v>
      </c>
      <c r="Y40">
        <v>3.5000000000000003E-2</v>
      </c>
      <c r="Z40">
        <v>2.71</v>
      </c>
      <c r="AA40">
        <v>0.17599999999999999</v>
      </c>
      <c r="AB40">
        <v>0.14499999999999999</v>
      </c>
      <c r="AC40">
        <v>36.83</v>
      </c>
      <c r="AD40">
        <v>3.78</v>
      </c>
      <c r="AE40">
        <v>119</v>
      </c>
      <c r="AF40">
        <v>0.32</v>
      </c>
    </row>
    <row r="41" spans="1:32" x14ac:dyDescent="0.15">
      <c r="A41" s="133" t="s">
        <v>79</v>
      </c>
      <c r="B41" s="133" t="s">
        <v>131</v>
      </c>
      <c r="C41" s="133" t="s">
        <v>102</v>
      </c>
      <c r="D41" t="s">
        <v>111</v>
      </c>
      <c r="E41" t="s">
        <v>348</v>
      </c>
      <c r="F41" s="133" t="s">
        <v>79</v>
      </c>
      <c r="G41" t="s">
        <v>175</v>
      </c>
      <c r="H41">
        <v>2</v>
      </c>
      <c r="I41">
        <v>1</v>
      </c>
      <c r="J41">
        <v>997</v>
      </c>
      <c r="K41" s="1">
        <f t="shared" si="0"/>
        <v>999</v>
      </c>
      <c r="L41">
        <v>541</v>
      </c>
      <c r="M41">
        <v>216</v>
      </c>
      <c r="N41">
        <v>55</v>
      </c>
      <c r="O41">
        <v>87</v>
      </c>
      <c r="P41">
        <v>100</v>
      </c>
      <c r="Q41" s="3">
        <f t="shared" si="1"/>
        <v>54.154154154154156</v>
      </c>
      <c r="R41" s="3">
        <f t="shared" si="2"/>
        <v>27.127127127127125</v>
      </c>
      <c r="S41" s="3">
        <f t="shared" si="3"/>
        <v>18.718718718718719</v>
      </c>
      <c r="T41" s="3">
        <f t="shared" si="4"/>
        <v>-4.7262618680433182</v>
      </c>
      <c r="U41">
        <f t="shared" si="5"/>
        <v>8.8595272990216883E-3</v>
      </c>
      <c r="V41" t="e">
        <f>((L41/K41)*#REF!+(M41/K41)*#REF!+(N41/K41)*#REF!+(O41/K41)*#REF!+(P41/K41)*#REF!)/5/1000</f>
        <v>#REF!</v>
      </c>
      <c r="W41">
        <v>5.5</v>
      </c>
      <c r="X41" t="s">
        <v>20</v>
      </c>
      <c r="Y41">
        <v>3.1E-2</v>
      </c>
      <c r="Z41">
        <v>2.61</v>
      </c>
      <c r="AA41">
        <v>0.17699999999999999</v>
      </c>
      <c r="AB41">
        <v>0.154</v>
      </c>
      <c r="AC41">
        <v>32.36</v>
      </c>
      <c r="AD41">
        <v>3.33</v>
      </c>
      <c r="AE41">
        <v>118</v>
      </c>
      <c r="AF41">
        <v>0.31</v>
      </c>
    </row>
    <row r="42" spans="1:32" x14ac:dyDescent="0.15">
      <c r="A42" s="133" t="s">
        <v>79</v>
      </c>
      <c r="B42" s="133" t="s">
        <v>131</v>
      </c>
      <c r="C42" s="133" t="s">
        <v>102</v>
      </c>
      <c r="D42" t="s">
        <v>111</v>
      </c>
      <c r="E42" t="s">
        <v>348</v>
      </c>
      <c r="F42" s="133" t="s">
        <v>79</v>
      </c>
      <c r="G42" t="s">
        <v>21</v>
      </c>
      <c r="H42">
        <v>0</v>
      </c>
      <c r="I42">
        <v>3</v>
      </c>
      <c r="J42">
        <v>997</v>
      </c>
      <c r="K42" s="1">
        <f t="shared" si="0"/>
        <v>999</v>
      </c>
      <c r="L42">
        <v>611</v>
      </c>
      <c r="M42">
        <v>216</v>
      </c>
      <c r="N42">
        <v>60</v>
      </c>
      <c r="O42">
        <v>81</v>
      </c>
      <c r="P42">
        <v>31</v>
      </c>
      <c r="Q42" s="3">
        <f t="shared" si="1"/>
        <v>61.161161161161161</v>
      </c>
      <c r="R42" s="3">
        <f t="shared" si="2"/>
        <v>27.627627627627625</v>
      </c>
      <c r="S42" s="3">
        <f t="shared" si="3"/>
        <v>11.211211211211211</v>
      </c>
      <c r="T42" s="3">
        <f t="shared" si="4"/>
        <v>-5.2304091244775828</v>
      </c>
      <c r="U42">
        <f t="shared" si="5"/>
        <v>5.3513354924002617E-3</v>
      </c>
      <c r="V42" t="e">
        <f>((L42/K42)*#REF!+(M42/K42)*#REF!+(N42/K42)*#REF!+(O42/K42)*#REF!+(P42/K42)*#REF!)/5/1000</f>
        <v>#REF!</v>
      </c>
      <c r="W42">
        <v>5.7</v>
      </c>
      <c r="X42" t="s">
        <v>20</v>
      </c>
      <c r="Y42">
        <v>1.7000000000000001E-2</v>
      </c>
      <c r="Z42">
        <v>2.41</v>
      </c>
      <c r="AA42">
        <v>0.154</v>
      </c>
      <c r="AB42">
        <v>0.35</v>
      </c>
      <c r="AC42">
        <v>17.59</v>
      </c>
      <c r="AD42">
        <v>1.98</v>
      </c>
      <c r="AE42">
        <v>126</v>
      </c>
      <c r="AF42">
        <v>0.19</v>
      </c>
    </row>
    <row r="1048571" spans="2:2" x14ac:dyDescent="0.15">
      <c r="B1048571" t="s">
        <v>131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workbookViewId="0">
      <pane xSplit="7" ySplit="1" topLeftCell="W14" activePane="bottomRight" state="frozen"/>
      <selection pane="topRight" activeCell="E1" sqref="E1"/>
      <selection pane="bottomLeft" activeCell="A4" sqref="A4"/>
      <selection pane="bottomRight" activeCell="AH19" sqref="AH19"/>
    </sheetView>
  </sheetViews>
  <sheetFormatPr defaultRowHeight="10.5" x14ac:dyDescent="0.15"/>
  <cols>
    <col min="1" max="1" width="18.5" customWidth="1" collapsed="1"/>
    <col min="2" max="6" width="14" customWidth="1" collapsed="1"/>
    <col min="8" max="8" width="10" customWidth="1" collapsed="1"/>
    <col min="9" max="9" width="11" customWidth="1" collapsed="1"/>
    <col min="12" max="12" width="9.6640625" customWidth="1" collapsed="1"/>
    <col min="13" max="13" width="11.33203125" customWidth="1" collapsed="1"/>
    <col min="14" max="14" width="12.1640625" customWidth="1" collapsed="1"/>
    <col min="15" max="15" width="13" customWidth="1" collapsed="1"/>
    <col min="16" max="22" width="15.1640625" customWidth="1" collapsed="1"/>
  </cols>
  <sheetData>
    <row r="1" spans="1:32" x14ac:dyDescent="0.15">
      <c r="A1" t="s">
        <v>19</v>
      </c>
      <c r="B1" t="s">
        <v>43</v>
      </c>
      <c r="C1" t="s">
        <v>65</v>
      </c>
      <c r="D1" t="s">
        <v>110</v>
      </c>
      <c r="E1" t="s">
        <v>537</v>
      </c>
      <c r="F1" t="s">
        <v>410</v>
      </c>
      <c r="G1" t="s">
        <v>0</v>
      </c>
      <c r="H1" t="s">
        <v>2</v>
      </c>
      <c r="I1" t="s">
        <v>1</v>
      </c>
      <c r="J1" t="s">
        <v>3</v>
      </c>
      <c r="K1" s="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106</v>
      </c>
      <c r="R1" t="s">
        <v>107</v>
      </c>
      <c r="S1" t="s">
        <v>108</v>
      </c>
      <c r="T1" t="s">
        <v>104</v>
      </c>
      <c r="U1" t="s">
        <v>105</v>
      </c>
      <c r="V1" t="s">
        <v>109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</row>
    <row r="2" spans="1:32" x14ac:dyDescent="0.15">
      <c r="A2" t="s">
        <v>22</v>
      </c>
      <c r="B2" t="s">
        <v>44</v>
      </c>
      <c r="C2" t="s">
        <v>179</v>
      </c>
      <c r="D2" t="s">
        <v>83</v>
      </c>
      <c r="E2" t="s">
        <v>346</v>
      </c>
      <c r="F2" t="s">
        <v>22</v>
      </c>
      <c r="G2" t="s">
        <v>177</v>
      </c>
      <c r="H2">
        <v>6</v>
      </c>
      <c r="I2">
        <v>5</v>
      </c>
      <c r="J2">
        <v>989</v>
      </c>
      <c r="K2">
        <f>SUM(L2:P2)</f>
        <v>999</v>
      </c>
      <c r="L2">
        <v>103</v>
      </c>
      <c r="M2">
        <v>110</v>
      </c>
      <c r="N2">
        <v>94</v>
      </c>
      <c r="O2">
        <v>343</v>
      </c>
      <c r="P2">
        <v>349</v>
      </c>
      <c r="Q2">
        <f>L2/K2*100</f>
        <v>10.31031031031031</v>
      </c>
      <c r="R2">
        <f>(M2+N2)/K2*100</f>
        <v>20.42042042042042</v>
      </c>
      <c r="S2">
        <f>(O2+P2)/K2*100</f>
        <v>69.269269269269273</v>
      </c>
      <c r="T2">
        <f>0.01*(Q2*LN(0.001)+R2*LN(0.026)+S2*LN(1.025))</f>
        <v>-1.4403822712498464</v>
      </c>
      <c r="U2">
        <f>EXP(T2)</f>
        <v>0.23683720532076308</v>
      </c>
      <c r="V2" t="e">
        <f>((L2/K2)*#REF!+(M2/K2)*#REF!+(N2/K2)*#REF!+(O2/K2)*#REF!+(P2/K2)*#REF!)/5/1000</f>
        <v>#REF!</v>
      </c>
      <c r="W2">
        <v>6.1</v>
      </c>
      <c r="X2" t="s">
        <v>20</v>
      </c>
      <c r="Y2">
        <v>7.3999999999999996E-2</v>
      </c>
      <c r="Z2">
        <v>0.95</v>
      </c>
      <c r="AA2">
        <v>7.5999999999999998E-2</v>
      </c>
      <c r="AB2">
        <v>0.18099999999999999</v>
      </c>
      <c r="AC2">
        <v>15.83</v>
      </c>
      <c r="AD2">
        <v>1.31</v>
      </c>
      <c r="AE2">
        <v>50.4</v>
      </c>
      <c r="AF2">
        <v>0.25</v>
      </c>
    </row>
    <row r="3" spans="1:32" x14ac:dyDescent="0.15">
      <c r="A3" t="s">
        <v>22</v>
      </c>
      <c r="B3" t="s">
        <v>44</v>
      </c>
      <c r="C3" t="s">
        <v>179</v>
      </c>
      <c r="D3" t="s">
        <v>83</v>
      </c>
      <c r="E3" t="s">
        <v>346</v>
      </c>
      <c r="F3" t="s">
        <v>22</v>
      </c>
      <c r="G3" t="s">
        <v>175</v>
      </c>
      <c r="H3">
        <v>6</v>
      </c>
      <c r="I3">
        <v>5</v>
      </c>
      <c r="J3">
        <v>989</v>
      </c>
      <c r="K3">
        <f t="shared" ref="K3:K60" si="0">SUM(L3:P3)</f>
        <v>999</v>
      </c>
      <c r="L3">
        <v>106</v>
      </c>
      <c r="M3">
        <v>112</v>
      </c>
      <c r="N3">
        <v>96</v>
      </c>
      <c r="O3">
        <v>336</v>
      </c>
      <c r="P3">
        <v>349</v>
      </c>
      <c r="Q3">
        <f t="shared" ref="Q3:Q60" si="1">L3/K3*100</f>
        <v>10.61061061061061</v>
      </c>
      <c r="R3">
        <f t="shared" ref="R3:R60" si="2">(M3+N3)/K3*100</f>
        <v>20.820820820820821</v>
      </c>
      <c r="S3">
        <f t="shared" ref="S3:S60" si="3">(O3+P3)/K3*100</f>
        <v>68.568568568568566</v>
      </c>
      <c r="T3">
        <f t="shared" ref="T3:T60" si="4">0.01*(Q3*LN(0.001)+R3*LN(0.026)+S3*LN(1.025))</f>
        <v>-1.4759125506181368</v>
      </c>
      <c r="U3">
        <f t="shared" ref="U3:U60" si="5">EXP(T3)</f>
        <v>0.22857005010505743</v>
      </c>
      <c r="V3" t="e">
        <f>((L3/K3)*#REF!+(M3/K3)*#REF!+(N3/K3)*#REF!+(O3/K3)*#REF!+(P3/K3)*#REF!)/5/1000</f>
        <v>#REF!</v>
      </c>
      <c r="W3">
        <v>6.3</v>
      </c>
      <c r="X3" t="s">
        <v>20</v>
      </c>
      <c r="Y3">
        <v>6.6000000000000003E-2</v>
      </c>
      <c r="Z3">
        <v>0.93</v>
      </c>
      <c r="AA3">
        <v>7.0000000000000007E-2</v>
      </c>
      <c r="AB3">
        <v>7.5999999999999998E-2</v>
      </c>
      <c r="AC3">
        <v>11.7</v>
      </c>
      <c r="AD3">
        <v>1.02</v>
      </c>
      <c r="AE3">
        <v>49.8</v>
      </c>
      <c r="AF3">
        <v>0.28000000000000003</v>
      </c>
    </row>
    <row r="4" spans="1:32" x14ac:dyDescent="0.15">
      <c r="A4" t="s">
        <v>22</v>
      </c>
      <c r="B4" t="s">
        <v>44</v>
      </c>
      <c r="C4" t="s">
        <v>179</v>
      </c>
      <c r="D4" t="s">
        <v>83</v>
      </c>
      <c r="E4" t="s">
        <v>346</v>
      </c>
      <c r="F4" t="s">
        <v>22</v>
      </c>
      <c r="G4" t="s">
        <v>21</v>
      </c>
      <c r="H4">
        <v>13</v>
      </c>
      <c r="I4">
        <v>18</v>
      </c>
      <c r="J4">
        <v>968</v>
      </c>
      <c r="K4">
        <f t="shared" si="0"/>
        <v>999</v>
      </c>
      <c r="L4">
        <v>138</v>
      </c>
      <c r="M4">
        <v>129</v>
      </c>
      <c r="N4">
        <v>95</v>
      </c>
      <c r="O4">
        <v>305</v>
      </c>
      <c r="P4">
        <v>332</v>
      </c>
      <c r="Q4">
        <f t="shared" si="1"/>
        <v>13.813813813813812</v>
      </c>
      <c r="R4">
        <f t="shared" si="2"/>
        <v>22.422422422422422</v>
      </c>
      <c r="S4">
        <f t="shared" si="3"/>
        <v>63.763763763763762</v>
      </c>
      <c r="T4">
        <f t="shared" si="4"/>
        <v>-1.7568214136683233</v>
      </c>
      <c r="U4">
        <f t="shared" si="5"/>
        <v>0.17259259331721419</v>
      </c>
      <c r="V4" t="e">
        <f>((L4/K4)*#REF!+(M4/K4)*#REF!+(N4/K4)*#REF!+(O4/K4)*#REF!+(P4/K4)*#REF!)/5/1000</f>
        <v>#REF!</v>
      </c>
      <c r="W4">
        <v>6.7</v>
      </c>
      <c r="X4" t="s">
        <v>20</v>
      </c>
      <c r="Y4">
        <v>1.2999999999999999E-2</v>
      </c>
      <c r="Z4">
        <v>0.82</v>
      </c>
      <c r="AA4">
        <v>4.9000000000000002E-2</v>
      </c>
      <c r="AB4">
        <v>5.3999999999999999E-2</v>
      </c>
      <c r="AC4">
        <v>2.81</v>
      </c>
      <c r="AD4">
        <v>0.28999999999999998</v>
      </c>
      <c r="AE4">
        <v>43.2</v>
      </c>
      <c r="AF4">
        <v>0.11</v>
      </c>
    </row>
    <row r="5" spans="1:32" x14ac:dyDescent="0.15">
      <c r="A5" t="s">
        <v>23</v>
      </c>
      <c r="B5" t="s">
        <v>45</v>
      </c>
      <c r="C5" t="s">
        <v>179</v>
      </c>
      <c r="D5" t="s">
        <v>83</v>
      </c>
      <c r="E5" t="s">
        <v>346</v>
      </c>
      <c r="F5" t="s">
        <v>23</v>
      </c>
      <c r="G5" t="s">
        <v>177</v>
      </c>
      <c r="H5">
        <v>8</v>
      </c>
      <c r="I5">
        <v>10</v>
      </c>
      <c r="J5">
        <v>982</v>
      </c>
      <c r="K5">
        <f t="shared" si="0"/>
        <v>999</v>
      </c>
      <c r="L5">
        <v>121</v>
      </c>
      <c r="M5">
        <v>123</v>
      </c>
      <c r="N5">
        <v>102</v>
      </c>
      <c r="O5">
        <v>330</v>
      </c>
      <c r="P5">
        <v>323</v>
      </c>
      <c r="Q5">
        <f t="shared" si="1"/>
        <v>12.112112112112113</v>
      </c>
      <c r="R5">
        <f t="shared" si="2"/>
        <v>22.522522522522522</v>
      </c>
      <c r="S5">
        <f t="shared" si="3"/>
        <v>65.365365365365363</v>
      </c>
      <c r="T5">
        <f t="shared" si="4"/>
        <v>-1.6425298593107842</v>
      </c>
      <c r="U5">
        <f t="shared" si="5"/>
        <v>0.19348992030603543</v>
      </c>
      <c r="V5" t="e">
        <f>((L5/K5)*#REF!+(M5/K5)*#REF!+(N5/K5)*#REF!+(O5/K5)*#REF!+(P5/K5)*#REF!)/5/1000</f>
        <v>#REF!</v>
      </c>
      <c r="W5">
        <v>5.9</v>
      </c>
      <c r="X5" t="s">
        <v>20</v>
      </c>
      <c r="Z5">
        <v>1.31</v>
      </c>
      <c r="AA5">
        <v>9.5000000000000001E-2</v>
      </c>
      <c r="AB5">
        <v>0.20399999999999999</v>
      </c>
      <c r="AC5">
        <v>23.61</v>
      </c>
      <c r="AD5">
        <v>1.92</v>
      </c>
      <c r="AE5">
        <v>51</v>
      </c>
      <c r="AF5">
        <v>0.3</v>
      </c>
    </row>
    <row r="6" spans="1:32" x14ac:dyDescent="0.15">
      <c r="A6" t="s">
        <v>23</v>
      </c>
      <c r="B6" t="s">
        <v>45</v>
      </c>
      <c r="C6" t="s">
        <v>179</v>
      </c>
      <c r="D6" t="s">
        <v>83</v>
      </c>
      <c r="E6" t="s">
        <v>346</v>
      </c>
      <c r="F6" t="s">
        <v>23</v>
      </c>
      <c r="G6" t="s">
        <v>175</v>
      </c>
      <c r="H6">
        <v>9</v>
      </c>
      <c r="I6">
        <v>14</v>
      </c>
      <c r="J6">
        <v>977</v>
      </c>
      <c r="K6">
        <f t="shared" si="0"/>
        <v>999</v>
      </c>
      <c r="L6">
        <v>112</v>
      </c>
      <c r="M6">
        <v>122</v>
      </c>
      <c r="N6">
        <v>95</v>
      </c>
      <c r="O6">
        <v>324</v>
      </c>
      <c r="P6">
        <v>346</v>
      </c>
      <c r="Q6">
        <f t="shared" si="1"/>
        <v>11.211211211211211</v>
      </c>
      <c r="R6">
        <f t="shared" si="2"/>
        <v>21.721721721721721</v>
      </c>
      <c r="S6">
        <f t="shared" si="3"/>
        <v>67.067067067067072</v>
      </c>
      <c r="T6">
        <f t="shared" si="4"/>
        <v>-1.55065113873765</v>
      </c>
      <c r="U6">
        <f t="shared" si="5"/>
        <v>0.21210981593385608</v>
      </c>
      <c r="V6" t="e">
        <f>((L6/K6)*#REF!+(M6/K6)*#REF!+(N6/K6)*#REF!+(O6/K6)*#REF!+(P6/K6)*#REF!)/5/1000</f>
        <v>#REF!</v>
      </c>
      <c r="W6">
        <v>6.2</v>
      </c>
      <c r="X6" t="s">
        <v>20</v>
      </c>
      <c r="Z6">
        <v>1.26</v>
      </c>
      <c r="AA6">
        <v>7.4999999999999997E-2</v>
      </c>
      <c r="AB6">
        <v>9.1999999999999998E-2</v>
      </c>
      <c r="AC6">
        <v>17.61</v>
      </c>
      <c r="AD6">
        <v>1.52</v>
      </c>
      <c r="AE6">
        <v>48.2</v>
      </c>
      <c r="AF6">
        <v>0.26</v>
      </c>
    </row>
    <row r="7" spans="1:32" x14ac:dyDescent="0.15">
      <c r="A7" t="s">
        <v>23</v>
      </c>
      <c r="B7" t="s">
        <v>45</v>
      </c>
      <c r="C7" t="s">
        <v>179</v>
      </c>
      <c r="D7" t="s">
        <v>83</v>
      </c>
      <c r="E7" t="s">
        <v>346</v>
      </c>
      <c r="F7" t="s">
        <v>23</v>
      </c>
      <c r="G7" t="s">
        <v>21</v>
      </c>
      <c r="H7">
        <v>34</v>
      </c>
      <c r="I7">
        <v>15</v>
      </c>
      <c r="J7">
        <v>951</v>
      </c>
      <c r="K7">
        <f t="shared" si="0"/>
        <v>999</v>
      </c>
      <c r="L7">
        <v>146</v>
      </c>
      <c r="M7">
        <v>117</v>
      </c>
      <c r="N7">
        <v>89</v>
      </c>
      <c r="O7">
        <v>288</v>
      </c>
      <c r="P7">
        <v>359</v>
      </c>
      <c r="Q7">
        <f t="shared" si="1"/>
        <v>14.614614614614615</v>
      </c>
      <c r="R7">
        <f t="shared" si="2"/>
        <v>20.62062062062062</v>
      </c>
      <c r="S7">
        <f t="shared" si="3"/>
        <v>64.764764764764763</v>
      </c>
      <c r="T7">
        <f t="shared" si="4"/>
        <v>-1.7461319830063229</v>
      </c>
      <c r="U7">
        <f t="shared" si="5"/>
        <v>0.1744474056587329</v>
      </c>
      <c r="V7" t="e">
        <f>((L7/K7)*#REF!+(M7/K7)*#REF!+(N7/K7)*#REF!+(O7/K7)*#REF!+(P7/K7)*#REF!)/5/1000</f>
        <v>#REF!</v>
      </c>
      <c r="W7">
        <v>6.9</v>
      </c>
      <c r="X7" t="s">
        <v>20</v>
      </c>
      <c r="Z7">
        <v>1.0900000000000001</v>
      </c>
      <c r="AA7">
        <v>5.3999999999999999E-2</v>
      </c>
      <c r="AB7">
        <v>5.1999999999999998E-2</v>
      </c>
      <c r="AC7">
        <v>3.17</v>
      </c>
      <c r="AD7">
        <v>0.32</v>
      </c>
      <c r="AE7">
        <v>41.7</v>
      </c>
      <c r="AF7">
        <v>0.14000000000000001</v>
      </c>
    </row>
    <row r="8" spans="1:32" x14ac:dyDescent="0.15">
      <c r="A8" t="s">
        <v>24</v>
      </c>
      <c r="B8" t="s">
        <v>46</v>
      </c>
      <c r="C8" t="s">
        <v>179</v>
      </c>
      <c r="D8" t="s">
        <v>83</v>
      </c>
      <c r="E8" t="s">
        <v>346</v>
      </c>
      <c r="F8" t="s">
        <v>24</v>
      </c>
      <c r="G8" t="s">
        <v>177</v>
      </c>
      <c r="H8">
        <v>7</v>
      </c>
      <c r="I8">
        <v>15</v>
      </c>
      <c r="J8">
        <v>978</v>
      </c>
      <c r="K8">
        <f t="shared" si="0"/>
        <v>999</v>
      </c>
      <c r="L8">
        <v>122</v>
      </c>
      <c r="M8">
        <v>138</v>
      </c>
      <c r="N8">
        <v>108</v>
      </c>
      <c r="O8">
        <v>305</v>
      </c>
      <c r="P8">
        <v>326</v>
      </c>
      <c r="Q8">
        <f t="shared" si="1"/>
        <v>12.212212212212211</v>
      </c>
      <c r="R8">
        <f t="shared" si="2"/>
        <v>24.624624624624623</v>
      </c>
      <c r="S8">
        <f t="shared" si="3"/>
        <v>63.163163163163162</v>
      </c>
      <c r="T8">
        <f t="shared" si="4"/>
        <v>-1.7267078636312487</v>
      </c>
      <c r="U8">
        <f t="shared" si="5"/>
        <v>0.17786901619725889</v>
      </c>
      <c r="V8" t="e">
        <f>((L8/K8)*#REF!+(M8/K8)*#REF!+(N8/K8)*#REF!+(O8/K8)*#REF!+(P8/K8)*#REF!)/5/1000</f>
        <v>#REF!</v>
      </c>
      <c r="W8">
        <v>6.2</v>
      </c>
      <c r="X8" t="s">
        <v>20</v>
      </c>
      <c r="Z8">
        <v>1.31</v>
      </c>
      <c r="AA8">
        <v>6.7000000000000004E-2</v>
      </c>
      <c r="AB8">
        <v>0.152</v>
      </c>
      <c r="AC8">
        <v>18.079999999999998</v>
      </c>
      <c r="AD8">
        <v>1.43</v>
      </c>
      <c r="AE8">
        <v>53.1</v>
      </c>
      <c r="AF8">
        <v>0.25</v>
      </c>
    </row>
    <row r="9" spans="1:32" x14ac:dyDescent="0.15">
      <c r="A9" t="s">
        <v>24</v>
      </c>
      <c r="B9" t="s">
        <v>46</v>
      </c>
      <c r="C9" t="s">
        <v>179</v>
      </c>
      <c r="D9" t="s">
        <v>83</v>
      </c>
      <c r="E9" t="s">
        <v>346</v>
      </c>
      <c r="F9" t="s">
        <v>24</v>
      </c>
      <c r="G9" t="s">
        <v>175</v>
      </c>
      <c r="H9">
        <v>12</v>
      </c>
      <c r="I9">
        <v>64</v>
      </c>
      <c r="J9">
        <v>924</v>
      </c>
      <c r="K9">
        <f t="shared" si="0"/>
        <v>999</v>
      </c>
      <c r="L9">
        <v>130</v>
      </c>
      <c r="M9">
        <v>145</v>
      </c>
      <c r="N9">
        <v>113</v>
      </c>
      <c r="O9">
        <v>302</v>
      </c>
      <c r="P9">
        <v>309</v>
      </c>
      <c r="Q9">
        <f t="shared" si="1"/>
        <v>13.013013013013014</v>
      </c>
      <c r="R9">
        <f t="shared" si="2"/>
        <v>25.825825825825827</v>
      </c>
      <c r="S9">
        <f t="shared" si="3"/>
        <v>61.161161161161161</v>
      </c>
      <c r="T9">
        <f t="shared" si="4"/>
        <v>-1.8263593144572674</v>
      </c>
      <c r="U9">
        <f t="shared" si="5"/>
        <v>0.16099864753168616</v>
      </c>
      <c r="V9" t="e">
        <f>((L9/K9)*#REF!+(M9/K9)*#REF!+(N9/K9)*#REF!+(O9/K9)*#REF!+(P9/K9)*#REF!)/5/1000</f>
        <v>#REF!</v>
      </c>
      <c r="W9">
        <v>6.3</v>
      </c>
      <c r="X9" t="s">
        <v>20</v>
      </c>
      <c r="Z9">
        <v>1.34</v>
      </c>
      <c r="AA9">
        <v>5.7000000000000002E-2</v>
      </c>
      <c r="AB9">
        <v>7.1999999999999995E-2</v>
      </c>
      <c r="AC9">
        <v>17.38</v>
      </c>
      <c r="AD9">
        <v>1.43</v>
      </c>
      <c r="AE9">
        <v>56.4</v>
      </c>
      <c r="AF9">
        <v>0.28999999999999998</v>
      </c>
    </row>
    <row r="10" spans="1:32" x14ac:dyDescent="0.15">
      <c r="A10" t="s">
        <v>24</v>
      </c>
      <c r="B10" t="s">
        <v>46</v>
      </c>
      <c r="C10" t="s">
        <v>179</v>
      </c>
      <c r="D10" t="s">
        <v>83</v>
      </c>
      <c r="E10" t="s">
        <v>346</v>
      </c>
      <c r="F10" t="s">
        <v>24</v>
      </c>
      <c r="G10" t="s">
        <v>21</v>
      </c>
      <c r="H10">
        <v>17</v>
      </c>
      <c r="I10">
        <v>6</v>
      </c>
      <c r="J10">
        <v>977</v>
      </c>
      <c r="K10">
        <f t="shared" si="0"/>
        <v>994</v>
      </c>
      <c r="L10">
        <v>172</v>
      </c>
      <c r="M10">
        <v>160</v>
      </c>
      <c r="N10">
        <v>115</v>
      </c>
      <c r="O10">
        <v>253</v>
      </c>
      <c r="P10">
        <v>294</v>
      </c>
      <c r="Q10">
        <f t="shared" si="1"/>
        <v>17.303822937625753</v>
      </c>
      <c r="R10">
        <f t="shared" si="2"/>
        <v>27.665995975855129</v>
      </c>
      <c r="S10">
        <f t="shared" si="3"/>
        <v>55.030181086519114</v>
      </c>
      <c r="T10">
        <f t="shared" si="4"/>
        <v>-2.1914317934227108</v>
      </c>
      <c r="U10">
        <f t="shared" si="5"/>
        <v>0.11175662161451758</v>
      </c>
      <c r="V10" t="e">
        <f>((L10/K10)*#REF!+(M10/K10)*#REF!+(N10/K10)*#REF!+(O10/K10)*#REF!+(P10/K10)*#REF!)/5/1000</f>
        <v>#REF!</v>
      </c>
      <c r="W10">
        <v>7.8</v>
      </c>
      <c r="X10">
        <v>6</v>
      </c>
      <c r="Z10">
        <v>4.24</v>
      </c>
      <c r="AA10">
        <v>6.6000000000000003E-2</v>
      </c>
      <c r="AB10">
        <v>4.5999999999999999E-2</v>
      </c>
      <c r="AC10">
        <v>22.13</v>
      </c>
      <c r="AD10">
        <v>1.69</v>
      </c>
      <c r="AE10">
        <v>64.400000000000006</v>
      </c>
      <c r="AF10">
        <v>0.33</v>
      </c>
    </row>
    <row r="11" spans="1:32" x14ac:dyDescent="0.15">
      <c r="A11" t="s">
        <v>25</v>
      </c>
      <c r="B11" t="s">
        <v>47</v>
      </c>
      <c r="C11" t="s">
        <v>195</v>
      </c>
      <c r="D11" t="s">
        <v>83</v>
      </c>
      <c r="E11" t="s">
        <v>346</v>
      </c>
      <c r="F11" t="s">
        <v>25</v>
      </c>
      <c r="G11" t="s">
        <v>177</v>
      </c>
      <c r="H11">
        <v>25</v>
      </c>
      <c r="I11">
        <v>64</v>
      </c>
      <c r="J11">
        <v>911</v>
      </c>
      <c r="K11">
        <f t="shared" si="0"/>
        <v>999</v>
      </c>
      <c r="L11">
        <v>160</v>
      </c>
      <c r="M11">
        <v>160</v>
      </c>
      <c r="N11">
        <v>96</v>
      </c>
      <c r="O11">
        <v>239</v>
      </c>
      <c r="P11">
        <v>344</v>
      </c>
      <c r="Q11">
        <f t="shared" si="1"/>
        <v>16.016016016016017</v>
      </c>
      <c r="R11">
        <f t="shared" si="2"/>
        <v>25.625625625625624</v>
      </c>
      <c r="S11">
        <f t="shared" si="3"/>
        <v>58.358358358358352</v>
      </c>
      <c r="T11">
        <f t="shared" si="4"/>
        <v>-2.0271848740569403</v>
      </c>
      <c r="U11">
        <f t="shared" si="5"/>
        <v>0.13170576808268319</v>
      </c>
      <c r="V11" t="e">
        <f>((L11/K11)*#REF!+(M11/K11)*#REF!+(N11/K11)*#REF!+(O11/K11)*#REF!+(P11/K11)*#REF!)/5/1000</f>
        <v>#REF!</v>
      </c>
      <c r="W11">
        <v>5.8</v>
      </c>
      <c r="X11" t="s">
        <v>20</v>
      </c>
      <c r="Z11">
        <v>1.37</v>
      </c>
      <c r="AA11">
        <v>6.6000000000000003E-2</v>
      </c>
      <c r="AB11">
        <v>0.17</v>
      </c>
      <c r="AC11">
        <v>27</v>
      </c>
      <c r="AD11">
        <v>2.06</v>
      </c>
      <c r="AE11">
        <v>76.099999999999994</v>
      </c>
      <c r="AF11">
        <v>0.38</v>
      </c>
    </row>
    <row r="12" spans="1:32" x14ac:dyDescent="0.15">
      <c r="A12" t="s">
        <v>25</v>
      </c>
      <c r="B12" t="s">
        <v>47</v>
      </c>
      <c r="C12" t="s">
        <v>195</v>
      </c>
      <c r="D12" t="s">
        <v>83</v>
      </c>
      <c r="E12" t="s">
        <v>346</v>
      </c>
      <c r="F12" t="s">
        <v>25</v>
      </c>
      <c r="G12" t="s">
        <v>175</v>
      </c>
      <c r="H12">
        <v>41</v>
      </c>
      <c r="I12">
        <v>68</v>
      </c>
      <c r="J12">
        <v>892</v>
      </c>
      <c r="K12">
        <f t="shared" si="0"/>
        <v>999</v>
      </c>
      <c r="L12">
        <v>165</v>
      </c>
      <c r="M12">
        <v>164</v>
      </c>
      <c r="N12">
        <v>97</v>
      </c>
      <c r="O12">
        <v>253</v>
      </c>
      <c r="P12">
        <v>320</v>
      </c>
      <c r="Q12">
        <f t="shared" si="1"/>
        <v>16.516516516516518</v>
      </c>
      <c r="R12">
        <f t="shared" si="2"/>
        <v>26.126126126126124</v>
      </c>
      <c r="S12">
        <f t="shared" si="3"/>
        <v>57.357357357357351</v>
      </c>
      <c r="T12">
        <f t="shared" si="4"/>
        <v>-2.0802719573658668</v>
      </c>
      <c r="U12">
        <f t="shared" si="5"/>
        <v>0.12489624112670671</v>
      </c>
      <c r="V12" t="e">
        <f>((L12/K12)*#REF!+(M12/K12)*#REF!+(N12/K12)*#REF!+(O12/K12)*#REF!+(P12/K12)*#REF!)/5/1000</f>
        <v>#REF!</v>
      </c>
      <c r="W12">
        <v>5.8</v>
      </c>
      <c r="X12" t="s">
        <v>20</v>
      </c>
      <c r="Z12">
        <v>1.33</v>
      </c>
      <c r="AA12">
        <v>5.8000000000000003E-2</v>
      </c>
      <c r="AB12">
        <v>0.105</v>
      </c>
      <c r="AC12">
        <v>22.5</v>
      </c>
      <c r="AD12">
        <v>1.75</v>
      </c>
      <c r="AE12">
        <v>75.3</v>
      </c>
      <c r="AF12">
        <v>0.39</v>
      </c>
    </row>
    <row r="13" spans="1:32" x14ac:dyDescent="0.15">
      <c r="A13" t="s">
        <v>25</v>
      </c>
      <c r="B13" t="s">
        <v>47</v>
      </c>
      <c r="C13" t="s">
        <v>195</v>
      </c>
      <c r="D13" t="s">
        <v>83</v>
      </c>
      <c r="E13" t="s">
        <v>346</v>
      </c>
      <c r="F13" t="s">
        <v>25</v>
      </c>
      <c r="G13" t="s">
        <v>21</v>
      </c>
      <c r="H13">
        <v>30</v>
      </c>
      <c r="I13">
        <v>38</v>
      </c>
      <c r="J13">
        <v>932</v>
      </c>
      <c r="K13">
        <f t="shared" si="0"/>
        <v>999</v>
      </c>
      <c r="L13">
        <v>221</v>
      </c>
      <c r="M13">
        <v>179</v>
      </c>
      <c r="N13">
        <v>97</v>
      </c>
      <c r="O13">
        <v>225</v>
      </c>
      <c r="P13">
        <v>277</v>
      </c>
      <c r="Q13">
        <f t="shared" si="1"/>
        <v>22.122122122122121</v>
      </c>
      <c r="R13">
        <f t="shared" si="2"/>
        <v>27.627627627627625</v>
      </c>
      <c r="S13">
        <f t="shared" si="3"/>
        <v>50.250250250250247</v>
      </c>
      <c r="T13">
        <f t="shared" si="4"/>
        <v>-2.5240480857255521</v>
      </c>
      <c r="U13">
        <f t="shared" si="5"/>
        <v>8.0134557721013702E-2</v>
      </c>
      <c r="V13" t="e">
        <f>((L13/K13)*#REF!+(M13/K13)*#REF!+(N13/K13)*#REF!+(O13/K13)*#REF!+(P13/K13)*#REF!)/5/1000</f>
        <v>#REF!</v>
      </c>
      <c r="W13">
        <v>6.3</v>
      </c>
      <c r="X13" t="s">
        <v>20</v>
      </c>
      <c r="Z13">
        <v>1.5</v>
      </c>
      <c r="AA13">
        <v>7.0000000000000007E-2</v>
      </c>
      <c r="AB13">
        <v>5.0999999999999997E-2</v>
      </c>
      <c r="AC13">
        <v>4.38</v>
      </c>
      <c r="AD13">
        <v>0.4</v>
      </c>
      <c r="AE13">
        <v>58.5</v>
      </c>
      <c r="AF13">
        <v>0.21</v>
      </c>
    </row>
    <row r="14" spans="1:32" x14ac:dyDescent="0.15">
      <c r="A14" s="143" t="s">
        <v>25</v>
      </c>
      <c r="B14" s="142" t="s">
        <v>48</v>
      </c>
      <c r="C14" s="142" t="s">
        <v>195</v>
      </c>
      <c r="D14" s="142" t="s">
        <v>83</v>
      </c>
      <c r="E14" t="s">
        <v>346</v>
      </c>
      <c r="F14" s="143" t="s">
        <v>26</v>
      </c>
      <c r="G14" s="142" t="s">
        <v>177</v>
      </c>
      <c r="H14">
        <v>42</v>
      </c>
      <c r="I14">
        <v>45</v>
      </c>
      <c r="J14">
        <v>913</v>
      </c>
      <c r="K14">
        <f t="shared" si="0"/>
        <v>999</v>
      </c>
      <c r="L14">
        <v>120</v>
      </c>
      <c r="M14">
        <v>164</v>
      </c>
      <c r="N14">
        <v>101</v>
      </c>
      <c r="O14">
        <v>249</v>
      </c>
      <c r="P14">
        <v>365</v>
      </c>
      <c r="Q14">
        <f t="shared" si="1"/>
        <v>12.012012012012011</v>
      </c>
      <c r="R14">
        <f t="shared" si="2"/>
        <v>26.526526526526528</v>
      </c>
      <c r="S14">
        <f t="shared" si="3"/>
        <v>61.461461461461461</v>
      </c>
      <c r="T14">
        <f t="shared" si="4"/>
        <v>-1.782711647349291</v>
      </c>
      <c r="U14">
        <f t="shared" si="5"/>
        <v>0.16818147952432871</v>
      </c>
      <c r="V14" t="e">
        <f>((L14/K14)*#REF!+(M14/K14)*#REF!+(N14/K14)*#REF!+(O14/K14)*#REF!+(P14/K14)*#REF!)/5/1000</f>
        <v>#REF!</v>
      </c>
      <c r="W14">
        <v>5.6</v>
      </c>
      <c r="X14" t="s">
        <v>20</v>
      </c>
      <c r="Z14">
        <v>0.72</v>
      </c>
      <c r="AA14">
        <v>5.8999999999999997E-2</v>
      </c>
      <c r="AB14">
        <v>0.14099999999999999</v>
      </c>
      <c r="AC14">
        <v>16.399999999999999</v>
      </c>
      <c r="AD14">
        <v>1.39</v>
      </c>
      <c r="AE14">
        <v>62.9</v>
      </c>
      <c r="AF14">
        <v>0.32</v>
      </c>
    </row>
    <row r="15" spans="1:32" x14ac:dyDescent="0.15">
      <c r="A15" s="143" t="s">
        <v>26</v>
      </c>
      <c r="B15" s="142" t="s">
        <v>48</v>
      </c>
      <c r="C15" s="142" t="s">
        <v>195</v>
      </c>
      <c r="D15" s="142" t="s">
        <v>83</v>
      </c>
      <c r="E15" t="s">
        <v>346</v>
      </c>
      <c r="F15" s="143" t="s">
        <v>26</v>
      </c>
      <c r="G15" s="142" t="s">
        <v>175</v>
      </c>
      <c r="H15">
        <v>39</v>
      </c>
      <c r="I15">
        <v>96</v>
      </c>
      <c r="J15">
        <v>865</v>
      </c>
      <c r="K15">
        <f t="shared" si="0"/>
        <v>999</v>
      </c>
      <c r="L15">
        <v>118</v>
      </c>
      <c r="M15">
        <v>158</v>
      </c>
      <c r="N15">
        <v>104</v>
      </c>
      <c r="O15">
        <v>219</v>
      </c>
      <c r="P15">
        <v>400</v>
      </c>
      <c r="Q15">
        <f t="shared" si="1"/>
        <v>11.811811811811811</v>
      </c>
      <c r="R15">
        <f t="shared" si="2"/>
        <v>26.226226226226224</v>
      </c>
      <c r="S15">
        <f t="shared" si="3"/>
        <v>61.961961961961961</v>
      </c>
      <c r="T15">
        <f t="shared" si="4"/>
        <v>-1.7577987846427865</v>
      </c>
      <c r="U15">
        <f t="shared" si="5"/>
        <v>0.17242398873413312</v>
      </c>
      <c r="V15" t="e">
        <f>((L15/K15)*#REF!+(M15/K15)*#REF!+(N15/K15)*#REF!+(O15/K15)*#REF!+(P15/K15)*#REF!)/5/1000</f>
        <v>#REF!</v>
      </c>
      <c r="W15">
        <v>5.5</v>
      </c>
      <c r="X15" t="s">
        <v>20</v>
      </c>
      <c r="Z15">
        <v>0.66</v>
      </c>
      <c r="AA15">
        <v>4.5999999999999999E-2</v>
      </c>
      <c r="AB15">
        <v>8.7999999999999995E-2</v>
      </c>
      <c r="AC15">
        <v>12.79</v>
      </c>
      <c r="AD15">
        <v>1.1599999999999999</v>
      </c>
      <c r="AE15">
        <v>64.7</v>
      </c>
      <c r="AF15">
        <v>0.34</v>
      </c>
    </row>
    <row r="16" spans="1:32" x14ac:dyDescent="0.15">
      <c r="A16" t="s">
        <v>27</v>
      </c>
      <c r="B16" t="s">
        <v>49</v>
      </c>
      <c r="C16" t="s">
        <v>195</v>
      </c>
      <c r="D16" t="s">
        <v>83</v>
      </c>
      <c r="E16" t="s">
        <v>346</v>
      </c>
      <c r="F16" t="s">
        <v>27</v>
      </c>
      <c r="G16" t="s">
        <v>177</v>
      </c>
      <c r="H16">
        <v>20</v>
      </c>
      <c r="I16">
        <v>12</v>
      </c>
      <c r="J16">
        <v>968</v>
      </c>
      <c r="K16">
        <f t="shared" si="0"/>
        <v>999</v>
      </c>
      <c r="L16">
        <v>213</v>
      </c>
      <c r="M16">
        <v>212</v>
      </c>
      <c r="N16">
        <v>119</v>
      </c>
      <c r="O16">
        <v>201</v>
      </c>
      <c r="P16">
        <v>254</v>
      </c>
      <c r="Q16">
        <f t="shared" si="1"/>
        <v>21.321321321321321</v>
      </c>
      <c r="R16">
        <f t="shared" si="2"/>
        <v>33.133133133133136</v>
      </c>
      <c r="S16">
        <f t="shared" si="3"/>
        <v>45.545545545545544</v>
      </c>
      <c r="T16">
        <f t="shared" si="4"/>
        <v>-2.6708246035561092</v>
      </c>
      <c r="U16">
        <f t="shared" si="5"/>
        <v>6.9195143216370367E-2</v>
      </c>
      <c r="V16" t="e">
        <f>((L16/K16)*#REF!+(M16/K16)*#REF!+(N16/K16)*#REF!+(O16/K16)*#REF!+(P16/K16)*#REF!)/5/1000</f>
        <v>#REF!</v>
      </c>
      <c r="W16">
        <v>6</v>
      </c>
      <c r="X16" t="s">
        <v>20</v>
      </c>
      <c r="Z16">
        <v>1.94</v>
      </c>
      <c r="AA16">
        <v>0.10299999999999999</v>
      </c>
      <c r="AB16">
        <v>0.19700000000000001</v>
      </c>
      <c r="AC16">
        <v>21.25</v>
      </c>
      <c r="AD16">
        <v>1.81</v>
      </c>
      <c r="AE16">
        <v>78.8</v>
      </c>
      <c r="AF16">
        <v>0.59</v>
      </c>
    </row>
    <row r="17" spans="1:32" x14ac:dyDescent="0.15">
      <c r="A17" t="s">
        <v>27</v>
      </c>
      <c r="B17" t="s">
        <v>49</v>
      </c>
      <c r="C17" t="s">
        <v>195</v>
      </c>
      <c r="D17" t="s">
        <v>83</v>
      </c>
      <c r="E17" t="s">
        <v>346</v>
      </c>
      <c r="F17" t="s">
        <v>27</v>
      </c>
      <c r="G17" t="s">
        <v>175</v>
      </c>
      <c r="H17">
        <v>30</v>
      </c>
      <c r="I17">
        <v>54</v>
      </c>
      <c r="J17">
        <v>916</v>
      </c>
      <c r="K17">
        <f t="shared" si="0"/>
        <v>999</v>
      </c>
      <c r="L17">
        <v>211</v>
      </c>
      <c r="M17">
        <v>201</v>
      </c>
      <c r="N17">
        <v>120</v>
      </c>
      <c r="O17">
        <v>193</v>
      </c>
      <c r="P17">
        <v>274</v>
      </c>
      <c r="Q17">
        <f t="shared" si="1"/>
        <v>21.121121121121121</v>
      </c>
      <c r="R17">
        <f t="shared" si="2"/>
        <v>32.132132132132128</v>
      </c>
      <c r="S17">
        <f t="shared" si="3"/>
        <v>46.746746746746751</v>
      </c>
      <c r="T17">
        <f t="shared" si="4"/>
        <v>-2.6201655351690669</v>
      </c>
      <c r="U17">
        <f t="shared" si="5"/>
        <v>7.279081239064196E-2</v>
      </c>
      <c r="V17" t="e">
        <f>((L17/K17)*#REF!+(M17/K17)*#REF!+(N17/K17)*#REF!+(O17/K17)*#REF!+(P17/K17)*#REF!)/5/1000</f>
        <v>#REF!</v>
      </c>
      <c r="W17">
        <v>6.1</v>
      </c>
      <c r="X17" t="s">
        <v>20</v>
      </c>
      <c r="Z17">
        <v>2.02</v>
      </c>
      <c r="AA17">
        <v>8.8999999999999996E-2</v>
      </c>
      <c r="AB17">
        <v>0.109</v>
      </c>
      <c r="AC17">
        <v>12.82</v>
      </c>
      <c r="AD17">
        <v>1.24</v>
      </c>
      <c r="AE17">
        <v>79.2</v>
      </c>
      <c r="AF17">
        <v>0.67</v>
      </c>
    </row>
    <row r="18" spans="1:32" x14ac:dyDescent="0.15">
      <c r="A18" t="s">
        <v>27</v>
      </c>
      <c r="B18" t="s">
        <v>49</v>
      </c>
      <c r="C18" t="s">
        <v>195</v>
      </c>
      <c r="D18" t="s">
        <v>83</v>
      </c>
      <c r="E18" t="s">
        <v>346</v>
      </c>
      <c r="F18" t="s">
        <v>27</v>
      </c>
      <c r="G18" t="s">
        <v>21</v>
      </c>
      <c r="H18">
        <v>2</v>
      </c>
      <c r="I18">
        <v>20</v>
      </c>
      <c r="J18">
        <v>978</v>
      </c>
      <c r="K18">
        <f t="shared" si="0"/>
        <v>994</v>
      </c>
      <c r="L18">
        <v>352</v>
      </c>
      <c r="M18">
        <v>307</v>
      </c>
      <c r="N18">
        <v>141</v>
      </c>
      <c r="O18">
        <v>105</v>
      </c>
      <c r="P18">
        <v>89</v>
      </c>
      <c r="Q18">
        <f t="shared" si="1"/>
        <v>35.412474849094565</v>
      </c>
      <c r="R18">
        <f t="shared" si="2"/>
        <v>45.070422535211272</v>
      </c>
      <c r="S18">
        <f t="shared" si="3"/>
        <v>19.517102615694164</v>
      </c>
      <c r="T18">
        <f t="shared" si="4"/>
        <v>-4.0863044339130328</v>
      </c>
      <c r="U18">
        <f t="shared" si="5"/>
        <v>1.6801208948982821E-2</v>
      </c>
      <c r="V18" t="e">
        <f>((L18/K18)*#REF!+(M18/K18)*#REF!+(N18/K18)*#REF!+(O18/K18)*#REF!+(P18/K18)*#REF!)/5/1000</f>
        <v>#REF!</v>
      </c>
      <c r="W18">
        <v>7.5</v>
      </c>
      <c r="X18">
        <v>6</v>
      </c>
      <c r="Z18">
        <v>4.24</v>
      </c>
      <c r="AA18">
        <v>0.106</v>
      </c>
      <c r="AB18">
        <v>0.129</v>
      </c>
      <c r="AC18">
        <v>3.78</v>
      </c>
      <c r="AD18">
        <v>0.53</v>
      </c>
      <c r="AE18">
        <v>81.8</v>
      </c>
      <c r="AF18">
        <v>0.34</v>
      </c>
    </row>
    <row r="19" spans="1:32" x14ac:dyDescent="0.15">
      <c r="A19" t="s">
        <v>28</v>
      </c>
      <c r="B19" t="s">
        <v>50</v>
      </c>
      <c r="C19" t="s">
        <v>50</v>
      </c>
      <c r="D19" t="s">
        <v>91</v>
      </c>
      <c r="E19" t="s">
        <v>346</v>
      </c>
      <c r="F19" t="s">
        <v>28</v>
      </c>
      <c r="G19" t="s">
        <v>177</v>
      </c>
      <c r="H19">
        <v>1</v>
      </c>
      <c r="I19">
        <v>5</v>
      </c>
      <c r="J19">
        <v>993</v>
      </c>
      <c r="K19">
        <f t="shared" si="0"/>
        <v>999</v>
      </c>
      <c r="L19">
        <v>145</v>
      </c>
      <c r="M19">
        <v>199</v>
      </c>
      <c r="N19">
        <v>177</v>
      </c>
      <c r="O19">
        <v>287</v>
      </c>
      <c r="P19">
        <v>191</v>
      </c>
      <c r="Q19">
        <f t="shared" si="1"/>
        <v>14.514514514514515</v>
      </c>
      <c r="R19">
        <f t="shared" si="2"/>
        <v>37.637637637637638</v>
      </c>
      <c r="S19">
        <f t="shared" si="3"/>
        <v>47.847847847847845</v>
      </c>
      <c r="T19">
        <f t="shared" si="4"/>
        <v>-2.3644575908262446</v>
      </c>
      <c r="U19">
        <f t="shared" si="5"/>
        <v>9.4000273153670405E-2</v>
      </c>
      <c r="V19" t="e">
        <f>((L19/K19)*#REF!+(M19/K19)*#REF!+(N19/K19)*#REF!+(O19/K19)*#REF!+(P19/K19)*#REF!)/5/1000</f>
        <v>#REF!</v>
      </c>
      <c r="W19">
        <v>5.6</v>
      </c>
      <c r="X19" t="s">
        <v>20</v>
      </c>
      <c r="Z19">
        <v>0.9</v>
      </c>
      <c r="AA19">
        <v>7.0000000000000007E-2</v>
      </c>
      <c r="AB19">
        <v>0.18</v>
      </c>
      <c r="AC19">
        <v>19.850000000000001</v>
      </c>
      <c r="AD19">
        <v>1.24</v>
      </c>
      <c r="AE19">
        <v>48.9</v>
      </c>
      <c r="AF19">
        <v>0.18</v>
      </c>
    </row>
    <row r="20" spans="1:32" x14ac:dyDescent="0.15">
      <c r="A20" t="s">
        <v>28</v>
      </c>
      <c r="B20" t="s">
        <v>50</v>
      </c>
      <c r="C20" t="s">
        <v>50</v>
      </c>
      <c r="D20" t="s">
        <v>91</v>
      </c>
      <c r="E20" t="s">
        <v>346</v>
      </c>
      <c r="F20" t="s">
        <v>28</v>
      </c>
      <c r="G20" t="s">
        <v>175</v>
      </c>
      <c r="H20">
        <v>0</v>
      </c>
      <c r="I20">
        <v>1</v>
      </c>
      <c r="J20">
        <v>999</v>
      </c>
      <c r="K20">
        <f t="shared" si="0"/>
        <v>999</v>
      </c>
      <c r="L20">
        <v>161</v>
      </c>
      <c r="M20">
        <v>227</v>
      </c>
      <c r="N20">
        <v>191</v>
      </c>
      <c r="O20">
        <v>301</v>
      </c>
      <c r="P20">
        <v>119</v>
      </c>
      <c r="Q20">
        <f t="shared" si="1"/>
        <v>16.116116116116117</v>
      </c>
      <c r="R20">
        <f t="shared" si="2"/>
        <v>41.841841841841841</v>
      </c>
      <c r="S20">
        <f t="shared" si="3"/>
        <v>42.042042042042041</v>
      </c>
      <c r="T20">
        <f t="shared" si="4"/>
        <v>-2.6299650213710932</v>
      </c>
      <c r="U20">
        <f t="shared" si="5"/>
        <v>7.2080983488643585E-2</v>
      </c>
      <c r="V20" t="e">
        <f>((L20/K20)*#REF!+(M20/K20)*#REF!+(N20/K20)*#REF!+(O20/K20)*#REF!+(P20/K20)*#REF!)/5/1000</f>
        <v>#REF!</v>
      </c>
      <c r="W20">
        <v>5.6</v>
      </c>
      <c r="X20" t="s">
        <v>20</v>
      </c>
      <c r="Z20">
        <v>0.85</v>
      </c>
      <c r="AA20">
        <v>6.2E-2</v>
      </c>
      <c r="AB20">
        <v>0.11</v>
      </c>
      <c r="AC20">
        <v>14.28</v>
      </c>
      <c r="AD20">
        <v>0.89</v>
      </c>
      <c r="AE20">
        <v>50.9</v>
      </c>
      <c r="AF20">
        <v>0.15</v>
      </c>
    </row>
    <row r="21" spans="1:32" x14ac:dyDescent="0.15">
      <c r="A21" t="s">
        <v>28</v>
      </c>
      <c r="B21" t="s">
        <v>50</v>
      </c>
      <c r="C21" t="s">
        <v>50</v>
      </c>
      <c r="D21" t="s">
        <v>91</v>
      </c>
      <c r="E21" t="s">
        <v>346</v>
      </c>
      <c r="F21" t="s">
        <v>28</v>
      </c>
      <c r="G21" t="s">
        <v>21</v>
      </c>
      <c r="H21">
        <v>0</v>
      </c>
      <c r="I21">
        <v>1</v>
      </c>
      <c r="J21">
        <v>999</v>
      </c>
      <c r="K21">
        <f t="shared" si="0"/>
        <v>999</v>
      </c>
      <c r="L21">
        <v>100</v>
      </c>
      <c r="M21">
        <v>161</v>
      </c>
      <c r="N21">
        <v>115</v>
      </c>
      <c r="O21">
        <v>224</v>
      </c>
      <c r="P21">
        <v>399</v>
      </c>
      <c r="Q21">
        <f t="shared" si="1"/>
        <v>10.01001001001001</v>
      </c>
      <c r="R21">
        <f t="shared" si="2"/>
        <v>27.627627627627625</v>
      </c>
      <c r="S21">
        <f t="shared" si="3"/>
        <v>62.362362362362369</v>
      </c>
      <c r="T21">
        <f t="shared" si="4"/>
        <v>-1.6843822249845377</v>
      </c>
      <c r="U21">
        <f t="shared" si="5"/>
        <v>0.1855590302871381</v>
      </c>
      <c r="V21" t="e">
        <f>((L21/K21)*#REF!+(M21/K21)*#REF!+(N21/K21)*#REF!+(O21/K21)*#REF!+(P21/K21)*#REF!)/5/1000</f>
        <v>#REF!</v>
      </c>
      <c r="W21">
        <v>5.5</v>
      </c>
      <c r="X21" t="s">
        <v>20</v>
      </c>
      <c r="Z21">
        <v>0.32</v>
      </c>
      <c r="AA21">
        <v>0.06</v>
      </c>
      <c r="AB21">
        <v>5.6000000000000001E-2</v>
      </c>
      <c r="AC21">
        <v>3.01</v>
      </c>
      <c r="AD21">
        <v>0.23</v>
      </c>
      <c r="AE21">
        <v>46.1</v>
      </c>
      <c r="AF21">
        <v>0.1</v>
      </c>
    </row>
    <row r="22" spans="1:32" x14ac:dyDescent="0.15">
      <c r="A22" t="s">
        <v>29</v>
      </c>
      <c r="B22" t="s">
        <v>51</v>
      </c>
      <c r="C22" t="s">
        <v>189</v>
      </c>
      <c r="D22" t="s">
        <v>406</v>
      </c>
      <c r="E22" t="s">
        <v>346</v>
      </c>
      <c r="F22" t="s">
        <v>29</v>
      </c>
      <c r="G22" t="s">
        <v>177</v>
      </c>
      <c r="H22">
        <v>4</v>
      </c>
      <c r="I22">
        <v>19</v>
      </c>
      <c r="J22">
        <v>977</v>
      </c>
      <c r="K22">
        <f t="shared" si="0"/>
        <v>999</v>
      </c>
      <c r="L22">
        <v>186</v>
      </c>
      <c r="M22">
        <v>159</v>
      </c>
      <c r="N22">
        <v>128</v>
      </c>
      <c r="O22">
        <v>226</v>
      </c>
      <c r="P22">
        <v>300</v>
      </c>
      <c r="Q22">
        <f t="shared" si="1"/>
        <v>18.618618618618619</v>
      </c>
      <c r="R22">
        <f t="shared" si="2"/>
        <v>28.728728728728729</v>
      </c>
      <c r="S22">
        <f t="shared" si="3"/>
        <v>52.652652652652655</v>
      </c>
      <c r="T22">
        <f t="shared" si="4"/>
        <v>-2.3216278541780282</v>
      </c>
      <c r="U22">
        <f t="shared" si="5"/>
        <v>9.8113740674861699E-2</v>
      </c>
      <c r="V22" t="e">
        <f>((L22/K22)*#REF!+(M22/K22)*#REF!+(N22/K22)*#REF!+(O22/K22)*#REF!+(P22/K22)*#REF!)/5/1000</f>
        <v>#REF!</v>
      </c>
      <c r="W22">
        <v>6.3</v>
      </c>
      <c r="X22" t="s">
        <v>20</v>
      </c>
      <c r="Z22">
        <v>1.62</v>
      </c>
      <c r="AA22">
        <v>0.14599999999999999</v>
      </c>
      <c r="AB22">
        <v>0.154</v>
      </c>
      <c r="AC22">
        <v>21.55</v>
      </c>
      <c r="AD22">
        <v>1.65</v>
      </c>
      <c r="AE22">
        <v>58.5</v>
      </c>
      <c r="AF22">
        <v>0.24</v>
      </c>
    </row>
    <row r="23" spans="1:32" x14ac:dyDescent="0.15">
      <c r="A23" t="s">
        <v>29</v>
      </c>
      <c r="B23" t="s">
        <v>51</v>
      </c>
      <c r="C23" t="s">
        <v>189</v>
      </c>
      <c r="D23" t="s">
        <v>406</v>
      </c>
      <c r="E23" t="s">
        <v>346</v>
      </c>
      <c r="F23" t="s">
        <v>29</v>
      </c>
      <c r="G23" t="s">
        <v>175</v>
      </c>
      <c r="H23">
        <v>21</v>
      </c>
      <c r="I23">
        <v>37</v>
      </c>
      <c r="J23">
        <v>942</v>
      </c>
      <c r="K23">
        <f t="shared" si="0"/>
        <v>999</v>
      </c>
      <c r="L23">
        <v>187</v>
      </c>
      <c r="M23">
        <v>162</v>
      </c>
      <c r="N23">
        <v>125</v>
      </c>
      <c r="O23">
        <v>228</v>
      </c>
      <c r="P23">
        <v>297</v>
      </c>
      <c r="Q23">
        <f t="shared" si="1"/>
        <v>18.718718718718719</v>
      </c>
      <c r="R23">
        <f t="shared" si="2"/>
        <v>28.728728728728729</v>
      </c>
      <c r="S23">
        <f t="shared" si="3"/>
        <v>52.552552552552555</v>
      </c>
      <c r="T23">
        <f t="shared" si="4"/>
        <v>-2.3285672414568799</v>
      </c>
      <c r="U23">
        <f t="shared" si="5"/>
        <v>9.7435248314306361E-2</v>
      </c>
      <c r="V23" t="e">
        <f>((L23/K23)*#REF!+(M23/K23)*#REF!+(N23/K23)*#REF!+(O23/K23)*#REF!+(P23/K23)*#REF!)/5/1000</f>
        <v>#REF!</v>
      </c>
      <c r="W23">
        <v>6.8</v>
      </c>
      <c r="X23" t="s">
        <v>20</v>
      </c>
      <c r="Z23">
        <v>1.82</v>
      </c>
      <c r="AA23">
        <v>0.14000000000000001</v>
      </c>
      <c r="AB23">
        <v>6.6000000000000003E-2</v>
      </c>
      <c r="AC23">
        <v>16.600000000000001</v>
      </c>
      <c r="AD23">
        <v>1.38</v>
      </c>
      <c r="AE23">
        <v>57.6</v>
      </c>
      <c r="AF23">
        <v>0.25</v>
      </c>
    </row>
    <row r="24" spans="1:32" x14ac:dyDescent="0.15">
      <c r="A24" t="s">
        <v>29</v>
      </c>
      <c r="B24" t="s">
        <v>51</v>
      </c>
      <c r="C24" t="s">
        <v>189</v>
      </c>
      <c r="D24" t="s">
        <v>406</v>
      </c>
      <c r="E24" t="s">
        <v>346</v>
      </c>
      <c r="F24" t="s">
        <v>29</v>
      </c>
      <c r="G24" t="s">
        <v>21</v>
      </c>
      <c r="H24">
        <v>22</v>
      </c>
      <c r="I24">
        <v>32</v>
      </c>
      <c r="J24">
        <v>947</v>
      </c>
      <c r="K24">
        <f t="shared" si="0"/>
        <v>999</v>
      </c>
      <c r="L24">
        <v>252</v>
      </c>
      <c r="M24">
        <v>150</v>
      </c>
      <c r="N24">
        <v>115</v>
      </c>
      <c r="O24">
        <v>221</v>
      </c>
      <c r="P24">
        <v>261</v>
      </c>
      <c r="Q24">
        <f t="shared" si="1"/>
        <v>25.225225225225223</v>
      </c>
      <c r="R24">
        <f t="shared" si="2"/>
        <v>26.526526526526528</v>
      </c>
      <c r="S24">
        <f t="shared" si="3"/>
        <v>48.248248248248245</v>
      </c>
      <c r="T24">
        <f t="shared" si="4"/>
        <v>-2.6987107681576705</v>
      </c>
      <c r="U24">
        <f t="shared" si="5"/>
        <v>6.7292212102534818E-2</v>
      </c>
      <c r="V24" t="e">
        <f>((L24/K24)*#REF!+(M24/K24)*#REF!+(N24/K24)*#REF!+(O24/K24)*#REF!+(P24/K24)*#REF!)/5/1000</f>
        <v>#REF!</v>
      </c>
      <c r="W24">
        <v>5.4</v>
      </c>
      <c r="X24" t="s">
        <v>20</v>
      </c>
      <c r="Z24">
        <v>1.38</v>
      </c>
      <c r="AA24">
        <v>0.152</v>
      </c>
      <c r="AB24">
        <v>8.7999999999999995E-2</v>
      </c>
      <c r="AC24">
        <v>2.62</v>
      </c>
      <c r="AD24">
        <v>0.31</v>
      </c>
      <c r="AE24">
        <v>32.700000000000003</v>
      </c>
      <c r="AF24">
        <v>0.05</v>
      </c>
    </row>
    <row r="25" spans="1:32" x14ac:dyDescent="0.15">
      <c r="A25" t="s">
        <v>30</v>
      </c>
      <c r="B25" t="s">
        <v>53</v>
      </c>
      <c r="C25" t="s">
        <v>189</v>
      </c>
      <c r="D25" t="s">
        <v>406</v>
      </c>
      <c r="E25" t="s">
        <v>346</v>
      </c>
      <c r="F25" t="s">
        <v>30</v>
      </c>
      <c r="G25" t="s">
        <v>177</v>
      </c>
      <c r="H25">
        <v>4</v>
      </c>
      <c r="I25">
        <v>25</v>
      </c>
      <c r="J25">
        <v>972</v>
      </c>
      <c r="K25">
        <f t="shared" si="0"/>
        <v>999</v>
      </c>
      <c r="L25">
        <v>215</v>
      </c>
      <c r="M25">
        <v>173</v>
      </c>
      <c r="N25">
        <v>132</v>
      </c>
      <c r="O25">
        <v>198</v>
      </c>
      <c r="P25">
        <v>281</v>
      </c>
      <c r="Q25">
        <f t="shared" si="1"/>
        <v>21.521521521521521</v>
      </c>
      <c r="R25">
        <f t="shared" si="2"/>
        <v>30.53053053053053</v>
      </c>
      <c r="S25">
        <f t="shared" si="3"/>
        <v>47.947947947947952</v>
      </c>
      <c r="T25">
        <f t="shared" si="4"/>
        <v>-2.5890746141575289</v>
      </c>
      <c r="U25">
        <f t="shared" si="5"/>
        <v>7.5089494699525486E-2</v>
      </c>
      <c r="V25" t="e">
        <f>((L25/K25)*#REF!+(M25/K25)*#REF!+(N25/K25)*#REF!+(O25/K25)*#REF!+(P25/K25)*#REF!)/5/1000</f>
        <v>#REF!</v>
      </c>
      <c r="W25">
        <v>6.8</v>
      </c>
      <c r="X25" t="s">
        <v>20</v>
      </c>
      <c r="Z25">
        <v>2.1</v>
      </c>
      <c r="AA25">
        <v>0.16300000000000001</v>
      </c>
      <c r="AB25">
        <v>0.16</v>
      </c>
      <c r="AC25">
        <v>19.45</v>
      </c>
      <c r="AD25">
        <v>1.54</v>
      </c>
      <c r="AE25">
        <v>48.7</v>
      </c>
      <c r="AF25">
        <v>0.21</v>
      </c>
    </row>
    <row r="26" spans="1:32" x14ac:dyDescent="0.15">
      <c r="A26" t="s">
        <v>30</v>
      </c>
      <c r="B26" t="s">
        <v>53</v>
      </c>
      <c r="C26" t="s">
        <v>189</v>
      </c>
      <c r="D26" t="s">
        <v>406</v>
      </c>
      <c r="E26" t="s">
        <v>346</v>
      </c>
      <c r="F26" t="s">
        <v>30</v>
      </c>
      <c r="G26" t="s">
        <v>175</v>
      </c>
      <c r="H26">
        <v>4</v>
      </c>
      <c r="I26">
        <v>15</v>
      </c>
      <c r="J26">
        <v>981</v>
      </c>
      <c r="K26">
        <f t="shared" si="0"/>
        <v>999</v>
      </c>
      <c r="L26">
        <v>241</v>
      </c>
      <c r="M26">
        <v>179</v>
      </c>
      <c r="N26">
        <v>137</v>
      </c>
      <c r="O26">
        <v>223</v>
      </c>
      <c r="P26">
        <v>219</v>
      </c>
      <c r="Q26">
        <f t="shared" si="1"/>
        <v>24.124124124124123</v>
      </c>
      <c r="R26">
        <f t="shared" si="2"/>
        <v>31.631631631631627</v>
      </c>
      <c r="S26">
        <f t="shared" si="3"/>
        <v>44.244244244244243</v>
      </c>
      <c r="T26">
        <f t="shared" si="4"/>
        <v>-2.8099570066199373</v>
      </c>
      <c r="U26">
        <f t="shared" si="5"/>
        <v>6.0207580864136315E-2</v>
      </c>
      <c r="V26" t="e">
        <f>((L26/K26)*#REF!+(M26/K26)*#REF!+(N26/K26)*#REF!+(O26/K26)*#REF!+(P26/K26)*#REF!)/5/1000</f>
        <v>#REF!</v>
      </c>
      <c r="W26">
        <v>7.2</v>
      </c>
      <c r="X26" t="s">
        <v>20</v>
      </c>
      <c r="Z26">
        <v>2.25</v>
      </c>
      <c r="AA26">
        <v>0.21099999999999999</v>
      </c>
      <c r="AB26">
        <v>8.1000000000000003E-2</v>
      </c>
      <c r="AC26">
        <v>13.36</v>
      </c>
      <c r="AD26">
        <v>1.17</v>
      </c>
      <c r="AE26">
        <v>45.6</v>
      </c>
      <c r="AF26">
        <v>0.18</v>
      </c>
    </row>
    <row r="27" spans="1:32" x14ac:dyDescent="0.15">
      <c r="A27" t="s">
        <v>30</v>
      </c>
      <c r="B27" t="s">
        <v>53</v>
      </c>
      <c r="C27" t="s">
        <v>189</v>
      </c>
      <c r="D27" t="s">
        <v>406</v>
      </c>
      <c r="E27" t="s">
        <v>346</v>
      </c>
      <c r="F27" t="s">
        <v>30</v>
      </c>
      <c r="G27" t="s">
        <v>21</v>
      </c>
      <c r="H27">
        <v>4</v>
      </c>
      <c r="I27">
        <v>3</v>
      </c>
      <c r="J27">
        <v>993</v>
      </c>
      <c r="K27">
        <f t="shared" si="0"/>
        <v>999</v>
      </c>
      <c r="L27">
        <v>361</v>
      </c>
      <c r="M27">
        <v>145</v>
      </c>
      <c r="N27">
        <v>81</v>
      </c>
      <c r="O27">
        <v>163</v>
      </c>
      <c r="P27">
        <v>249</v>
      </c>
      <c r="Q27">
        <f t="shared" si="1"/>
        <v>36.136136136136138</v>
      </c>
      <c r="R27">
        <f t="shared" si="2"/>
        <v>22.622622622622622</v>
      </c>
      <c r="S27">
        <f t="shared" si="3"/>
        <v>41.241241241241241</v>
      </c>
      <c r="T27">
        <f t="shared" si="4"/>
        <v>-3.3116608356180453</v>
      </c>
      <c r="U27">
        <f t="shared" si="5"/>
        <v>3.645557672651515E-2</v>
      </c>
      <c r="V27" t="e">
        <f>((L27/K27)*#REF!+(M27/K27)*#REF!+(N27/K27)*#REF!+(O27/K27)*#REF!+(P27/K27)*#REF!)/5/1000</f>
        <v>#REF!</v>
      </c>
      <c r="W27">
        <v>6.4</v>
      </c>
      <c r="X27" t="s">
        <v>20</v>
      </c>
      <c r="Z27">
        <v>2.58</v>
      </c>
      <c r="AA27">
        <v>0.52400000000000002</v>
      </c>
      <c r="AB27">
        <v>0.13800000000000001</v>
      </c>
      <c r="AC27">
        <v>3.37</v>
      </c>
      <c r="AD27">
        <v>0.37</v>
      </c>
      <c r="AE27">
        <v>30.5</v>
      </c>
      <c r="AF27">
        <v>0.04</v>
      </c>
    </row>
    <row r="28" spans="1:32" x14ac:dyDescent="0.15">
      <c r="A28" t="s">
        <v>31</v>
      </c>
      <c r="B28" t="s">
        <v>52</v>
      </c>
      <c r="C28" t="s">
        <v>189</v>
      </c>
      <c r="D28" t="s">
        <v>406</v>
      </c>
      <c r="E28" t="s">
        <v>346</v>
      </c>
      <c r="F28" t="s">
        <v>31</v>
      </c>
      <c r="G28" t="s">
        <v>177</v>
      </c>
      <c r="H28">
        <v>0</v>
      </c>
      <c r="I28">
        <v>1</v>
      </c>
      <c r="J28">
        <v>1000</v>
      </c>
      <c r="K28">
        <f t="shared" si="0"/>
        <v>999</v>
      </c>
      <c r="L28">
        <v>280</v>
      </c>
      <c r="M28">
        <v>196</v>
      </c>
      <c r="N28">
        <v>193</v>
      </c>
      <c r="O28">
        <v>268</v>
      </c>
      <c r="P28">
        <v>62</v>
      </c>
      <c r="Q28">
        <f t="shared" si="1"/>
        <v>28.028028028028029</v>
      </c>
      <c r="R28">
        <f t="shared" si="2"/>
        <v>38.938938938938939</v>
      </c>
      <c r="S28">
        <f t="shared" si="3"/>
        <v>33.033033033033036</v>
      </c>
      <c r="T28">
        <f t="shared" si="4"/>
        <v>-3.3490892554493201</v>
      </c>
      <c r="U28">
        <f t="shared" si="5"/>
        <v>3.5116321540032379E-2</v>
      </c>
      <c r="V28" t="e">
        <f>((L28/K28)*#REF!+(M28/K28)*#REF!+(N28/K28)*#REF!+(O28/K28)*#REF!+(P28/K28)*#REF!)/5/1000</f>
        <v>#REF!</v>
      </c>
      <c r="W28">
        <v>6.6</v>
      </c>
      <c r="X28" t="s">
        <v>20</v>
      </c>
      <c r="Z28">
        <v>3.19</v>
      </c>
      <c r="AA28">
        <v>0.161</v>
      </c>
      <c r="AB28">
        <v>0.23200000000000001</v>
      </c>
      <c r="AC28">
        <v>62.06</v>
      </c>
      <c r="AD28">
        <v>3.42</v>
      </c>
      <c r="AE28">
        <v>58.8</v>
      </c>
      <c r="AF28">
        <v>0.59</v>
      </c>
    </row>
    <row r="29" spans="1:32" x14ac:dyDescent="0.15">
      <c r="A29" t="s">
        <v>31</v>
      </c>
      <c r="B29" t="s">
        <v>52</v>
      </c>
      <c r="C29" t="s">
        <v>189</v>
      </c>
      <c r="D29" t="s">
        <v>406</v>
      </c>
      <c r="E29" t="s">
        <v>346</v>
      </c>
      <c r="F29" t="s">
        <v>31</v>
      </c>
      <c r="G29" t="s">
        <v>175</v>
      </c>
      <c r="H29">
        <v>0</v>
      </c>
      <c r="I29">
        <v>3</v>
      </c>
      <c r="J29">
        <v>997</v>
      </c>
      <c r="K29">
        <f t="shared" si="0"/>
        <v>999</v>
      </c>
      <c r="L29">
        <v>227</v>
      </c>
      <c r="M29">
        <v>186</v>
      </c>
      <c r="N29">
        <v>201</v>
      </c>
      <c r="O29">
        <v>345</v>
      </c>
      <c r="P29">
        <v>40</v>
      </c>
      <c r="Q29">
        <f t="shared" si="1"/>
        <v>22.722722722722725</v>
      </c>
      <c r="R29">
        <f t="shared" si="2"/>
        <v>38.738738738738739</v>
      </c>
      <c r="S29">
        <f t="shared" si="3"/>
        <v>38.538538538538539</v>
      </c>
      <c r="T29">
        <f t="shared" si="4"/>
        <v>-2.9739456709043299</v>
      </c>
      <c r="U29">
        <f t="shared" si="5"/>
        <v>5.1101283181473216E-2</v>
      </c>
      <c r="V29" t="e">
        <f>((L29/K29)*#REF!+(M29/K29)*#REF!+(N29/K29)*#REF!+(O29/K29)*#REF!+(P29/K29)*#REF!)/5/1000</f>
        <v>#REF!</v>
      </c>
      <c r="W29">
        <v>6.7</v>
      </c>
      <c r="X29" t="s">
        <v>20</v>
      </c>
      <c r="Z29">
        <v>3.16</v>
      </c>
      <c r="AA29">
        <v>0.15</v>
      </c>
      <c r="AB29">
        <v>8.8999999999999996E-2</v>
      </c>
      <c r="AC29">
        <v>53.27</v>
      </c>
      <c r="AD29">
        <v>2.8</v>
      </c>
      <c r="AE29">
        <v>55.8</v>
      </c>
      <c r="AF29">
        <v>0.49</v>
      </c>
    </row>
    <row r="30" spans="1:32" x14ac:dyDescent="0.15">
      <c r="A30" t="s">
        <v>31</v>
      </c>
      <c r="B30" t="s">
        <v>52</v>
      </c>
      <c r="C30" t="s">
        <v>189</v>
      </c>
      <c r="D30" t="s">
        <v>406</v>
      </c>
      <c r="E30" t="s">
        <v>346</v>
      </c>
      <c r="F30" t="s">
        <v>31</v>
      </c>
      <c r="G30" t="s">
        <v>21</v>
      </c>
      <c r="H30">
        <v>0</v>
      </c>
      <c r="I30">
        <v>0</v>
      </c>
      <c r="J30">
        <v>1000</v>
      </c>
      <c r="K30">
        <f t="shared" si="0"/>
        <v>957</v>
      </c>
      <c r="L30">
        <v>172</v>
      </c>
      <c r="M30">
        <v>250</v>
      </c>
      <c r="N30">
        <v>257</v>
      </c>
      <c r="O30">
        <v>261</v>
      </c>
      <c r="P30">
        <v>17</v>
      </c>
      <c r="Q30">
        <f t="shared" si="1"/>
        <v>17.972831765935215</v>
      </c>
      <c r="R30">
        <f t="shared" si="2"/>
        <v>52.978056426332287</v>
      </c>
      <c r="S30">
        <f t="shared" si="3"/>
        <v>29.049111807732498</v>
      </c>
      <c r="T30">
        <f t="shared" si="4"/>
        <v>-3.1678645176090461</v>
      </c>
      <c r="U30">
        <f t="shared" si="5"/>
        <v>4.2093391689525791E-2</v>
      </c>
      <c r="V30" t="e">
        <f>((L30/K30)*#REF!+(M30/K30)*#REF!+(N30/K30)*#REF!+(O30/K30)*#REF!+(P30/K30)*#REF!)/5/1000</f>
        <v>#REF!</v>
      </c>
      <c r="W30">
        <v>8.4</v>
      </c>
      <c r="X30">
        <v>43</v>
      </c>
      <c r="Z30">
        <v>6.82</v>
      </c>
      <c r="AA30">
        <v>0.16700000000000001</v>
      </c>
      <c r="AB30">
        <v>5.8000000000000003E-2</v>
      </c>
      <c r="AC30">
        <v>4.72</v>
      </c>
      <c r="AD30">
        <v>0.28999999999999998</v>
      </c>
      <c r="AE30">
        <v>50.1</v>
      </c>
      <c r="AF30">
        <v>0.19</v>
      </c>
    </row>
    <row r="31" spans="1:32" x14ac:dyDescent="0.15">
      <c r="A31" t="s">
        <v>32</v>
      </c>
      <c r="B31" t="s">
        <v>55</v>
      </c>
      <c r="C31" t="s">
        <v>189</v>
      </c>
      <c r="D31" t="s">
        <v>91</v>
      </c>
      <c r="E31" t="s">
        <v>346</v>
      </c>
      <c r="F31" t="s">
        <v>32</v>
      </c>
      <c r="G31" t="s">
        <v>177</v>
      </c>
      <c r="H31">
        <v>4</v>
      </c>
      <c r="I31">
        <v>51</v>
      </c>
      <c r="J31">
        <v>945</v>
      </c>
      <c r="K31">
        <f t="shared" si="0"/>
        <v>999</v>
      </c>
      <c r="L31">
        <v>151</v>
      </c>
      <c r="M31">
        <v>152</v>
      </c>
      <c r="N31">
        <v>127</v>
      </c>
      <c r="O31">
        <v>225</v>
      </c>
      <c r="P31">
        <v>344</v>
      </c>
      <c r="Q31">
        <f t="shared" si="1"/>
        <v>15.115115115115115</v>
      </c>
      <c r="R31">
        <f t="shared" si="2"/>
        <v>27.927927927927925</v>
      </c>
      <c r="S31">
        <f t="shared" si="3"/>
        <v>56.956956956956958</v>
      </c>
      <c r="T31">
        <f t="shared" si="4"/>
        <v>-2.0493250643547589</v>
      </c>
      <c r="U31">
        <f t="shared" si="5"/>
        <v>0.12882182069144851</v>
      </c>
      <c r="V31" t="e">
        <f>((L31/K31)*#REF!+(M31/K31)*#REF!+(N31/K31)*#REF!+(O31/K31)*#REF!+(P31/K31)*#REF!)/5/1000</f>
        <v>#REF!</v>
      </c>
      <c r="W31">
        <v>6.2</v>
      </c>
      <c r="X31" t="s">
        <v>20</v>
      </c>
      <c r="Z31">
        <v>1.55</v>
      </c>
      <c r="AA31">
        <v>9.4E-2</v>
      </c>
      <c r="AB31">
        <v>0.13400000000000001</v>
      </c>
      <c r="AC31">
        <v>17.53</v>
      </c>
      <c r="AD31">
        <v>1.48</v>
      </c>
      <c r="AE31">
        <v>58.2</v>
      </c>
      <c r="AF31">
        <v>0.22</v>
      </c>
    </row>
    <row r="32" spans="1:32" x14ac:dyDescent="0.15">
      <c r="A32" t="s">
        <v>32</v>
      </c>
      <c r="B32" t="s">
        <v>55</v>
      </c>
      <c r="C32" t="s">
        <v>189</v>
      </c>
      <c r="D32" t="s">
        <v>91</v>
      </c>
      <c r="E32" t="s">
        <v>346</v>
      </c>
      <c r="F32" t="s">
        <v>32</v>
      </c>
      <c r="G32" t="s">
        <v>175</v>
      </c>
      <c r="H32">
        <v>14</v>
      </c>
      <c r="I32">
        <v>44</v>
      </c>
      <c r="J32">
        <v>942</v>
      </c>
      <c r="K32">
        <f t="shared" si="0"/>
        <v>999</v>
      </c>
      <c r="L32">
        <v>162</v>
      </c>
      <c r="M32">
        <v>149</v>
      </c>
      <c r="N32">
        <v>140</v>
      </c>
      <c r="O32">
        <v>219</v>
      </c>
      <c r="P32">
        <v>329</v>
      </c>
      <c r="Q32">
        <f t="shared" si="1"/>
        <v>16.216216216216218</v>
      </c>
      <c r="R32">
        <f t="shared" si="2"/>
        <v>28.928928928928926</v>
      </c>
      <c r="S32">
        <f t="shared" si="3"/>
        <v>54.85485485485485</v>
      </c>
      <c r="T32">
        <f t="shared" si="4"/>
        <v>-2.1624386182514637</v>
      </c>
      <c r="U32">
        <f t="shared" si="5"/>
        <v>0.11504422972558923</v>
      </c>
      <c r="V32" t="e">
        <f>((L32/K32)*#REF!+(M32/K32)*#REF!+(N32/K32)*#REF!+(O32/K32)*#REF!+(P32/K32)*#REF!)/5/1000</f>
        <v>#REF!</v>
      </c>
      <c r="W32">
        <v>6.5</v>
      </c>
      <c r="X32" t="s">
        <v>20</v>
      </c>
      <c r="Z32">
        <v>1.41</v>
      </c>
      <c r="AA32">
        <v>9.1999999999999998E-2</v>
      </c>
      <c r="AB32">
        <v>6.8000000000000005E-2</v>
      </c>
      <c r="AC32">
        <v>15.29</v>
      </c>
      <c r="AD32">
        <v>1.37</v>
      </c>
      <c r="AE32">
        <v>55.9</v>
      </c>
      <c r="AF32">
        <v>0.22</v>
      </c>
    </row>
    <row r="33" spans="1:32" x14ac:dyDescent="0.15">
      <c r="A33" t="s">
        <v>32</v>
      </c>
      <c r="B33" t="s">
        <v>55</v>
      </c>
      <c r="C33" t="s">
        <v>189</v>
      </c>
      <c r="D33" t="s">
        <v>91</v>
      </c>
      <c r="E33" t="s">
        <v>346</v>
      </c>
      <c r="F33" t="s">
        <v>32</v>
      </c>
      <c r="G33" t="s">
        <v>21</v>
      </c>
      <c r="H33">
        <v>7</v>
      </c>
      <c r="I33">
        <v>20</v>
      </c>
      <c r="J33">
        <v>974</v>
      </c>
      <c r="K33">
        <f t="shared" si="0"/>
        <v>999</v>
      </c>
      <c r="L33">
        <v>151</v>
      </c>
      <c r="M33">
        <v>168</v>
      </c>
      <c r="N33">
        <v>156</v>
      </c>
      <c r="O33">
        <v>218</v>
      </c>
      <c r="P33">
        <v>306</v>
      </c>
      <c r="Q33">
        <f t="shared" si="1"/>
        <v>15.115115115115115</v>
      </c>
      <c r="R33">
        <f t="shared" si="2"/>
        <v>32.432432432432435</v>
      </c>
      <c r="S33">
        <f t="shared" si="3"/>
        <v>52.452452452452448</v>
      </c>
      <c r="T33">
        <f t="shared" si="4"/>
        <v>-2.2148363865867875</v>
      </c>
      <c r="U33">
        <f t="shared" si="5"/>
        <v>0.10917137468855831</v>
      </c>
      <c r="V33" t="e">
        <f>((L33/K33)*#REF!+(M33/K33)*#REF!+(N33/K33)*#REF!+(O33/K33)*#REF!+(P33/K33)*#REF!)/5/1000</f>
        <v>#REF!</v>
      </c>
      <c r="W33">
        <v>5.4</v>
      </c>
      <c r="X33" t="s">
        <v>20</v>
      </c>
      <c r="Z33">
        <v>0.56999999999999995</v>
      </c>
      <c r="AA33">
        <v>3.3000000000000002E-2</v>
      </c>
      <c r="AB33">
        <v>5.0999999999999997E-2</v>
      </c>
      <c r="AC33">
        <v>5.15</v>
      </c>
      <c r="AD33">
        <v>0.49</v>
      </c>
      <c r="AE33">
        <v>44</v>
      </c>
      <c r="AF33">
        <v>7.0000000000000007E-2</v>
      </c>
    </row>
    <row r="34" spans="1:32" x14ac:dyDescent="0.15">
      <c r="A34" t="s">
        <v>33</v>
      </c>
      <c r="B34" t="s">
        <v>54</v>
      </c>
      <c r="C34" t="s">
        <v>189</v>
      </c>
      <c r="D34" t="s">
        <v>91</v>
      </c>
      <c r="E34" t="s">
        <v>346</v>
      </c>
      <c r="F34" t="s">
        <v>33</v>
      </c>
      <c r="G34" t="s">
        <v>177</v>
      </c>
      <c r="H34">
        <v>28</v>
      </c>
      <c r="I34">
        <v>112</v>
      </c>
      <c r="J34">
        <v>860</v>
      </c>
      <c r="K34">
        <f t="shared" si="0"/>
        <v>999</v>
      </c>
      <c r="L34">
        <v>166</v>
      </c>
      <c r="M34">
        <v>164</v>
      </c>
      <c r="N34">
        <v>146</v>
      </c>
      <c r="O34">
        <v>243</v>
      </c>
      <c r="P34">
        <v>280</v>
      </c>
      <c r="Q34">
        <f t="shared" si="1"/>
        <v>16.616616616616618</v>
      </c>
      <c r="R34">
        <f t="shared" si="2"/>
        <v>31.031031031031031</v>
      </c>
      <c r="S34">
        <f t="shared" si="3"/>
        <v>52.352352352352348</v>
      </c>
      <c r="T34">
        <f t="shared" si="4"/>
        <v>-2.2674347844084823</v>
      </c>
      <c r="U34">
        <f t="shared" si="5"/>
        <v>0.10357753830325282</v>
      </c>
      <c r="V34" t="e">
        <f>((L34/K34)*#REF!+(M34/K34)*#REF!+(N34/K34)*#REF!+(O34/K34)*#REF!+(P34/K34)*#REF!)/5/1000</f>
        <v>#REF!</v>
      </c>
      <c r="W34">
        <v>5.9</v>
      </c>
      <c r="X34" t="s">
        <v>20</v>
      </c>
      <c r="Z34">
        <v>1.0900000000000001</v>
      </c>
      <c r="AA34">
        <v>7.0000000000000007E-2</v>
      </c>
      <c r="AB34">
        <v>9.9000000000000005E-2</v>
      </c>
      <c r="AC34">
        <v>17.399999999999999</v>
      </c>
      <c r="AD34">
        <v>1.44</v>
      </c>
      <c r="AE34">
        <v>55.4</v>
      </c>
      <c r="AF34">
        <v>0.21</v>
      </c>
    </row>
    <row r="35" spans="1:32" x14ac:dyDescent="0.15">
      <c r="A35" t="s">
        <v>33</v>
      </c>
      <c r="B35" t="s">
        <v>54</v>
      </c>
      <c r="C35" t="s">
        <v>189</v>
      </c>
      <c r="D35" t="s">
        <v>91</v>
      </c>
      <c r="E35" t="s">
        <v>346</v>
      </c>
      <c r="F35" t="s">
        <v>33</v>
      </c>
      <c r="G35" t="s">
        <v>175</v>
      </c>
      <c r="H35">
        <v>24</v>
      </c>
      <c r="I35">
        <v>107</v>
      </c>
      <c r="J35">
        <v>868</v>
      </c>
      <c r="K35">
        <f t="shared" si="0"/>
        <v>999</v>
      </c>
      <c r="L35">
        <v>165</v>
      </c>
      <c r="M35">
        <v>165</v>
      </c>
      <c r="N35">
        <v>136</v>
      </c>
      <c r="O35">
        <v>240</v>
      </c>
      <c r="P35">
        <v>293</v>
      </c>
      <c r="Q35">
        <f t="shared" si="1"/>
        <v>16.516516516516518</v>
      </c>
      <c r="R35">
        <f t="shared" si="2"/>
        <v>30.130130130130127</v>
      </c>
      <c r="S35">
        <f t="shared" si="3"/>
        <v>53.353353353353349</v>
      </c>
      <c r="T35">
        <f t="shared" si="4"/>
        <v>-2.227393132683225</v>
      </c>
      <c r="U35">
        <f t="shared" si="5"/>
        <v>0.10780910817218825</v>
      </c>
      <c r="V35" t="e">
        <f>((L35/K35)*#REF!+(M35/K35)*#REF!+(N35/K35)*#REF!+(O35/K35)*#REF!+(P35/K35)*#REF!)/5/1000</f>
        <v>#REF!</v>
      </c>
      <c r="W35">
        <v>6.5</v>
      </c>
      <c r="X35" t="s">
        <v>20</v>
      </c>
      <c r="Z35">
        <v>1.33</v>
      </c>
      <c r="AA35">
        <v>7.1999999999999995E-2</v>
      </c>
      <c r="AB35">
        <v>5.1999999999999998E-2</v>
      </c>
      <c r="AC35">
        <v>13.32</v>
      </c>
      <c r="AD35">
        <v>1.18</v>
      </c>
      <c r="AE35">
        <v>57.1</v>
      </c>
      <c r="AF35">
        <v>0.21</v>
      </c>
    </row>
    <row r="36" spans="1:32" x14ac:dyDescent="0.15">
      <c r="A36" t="s">
        <v>33</v>
      </c>
      <c r="B36" t="s">
        <v>54</v>
      </c>
      <c r="C36" t="s">
        <v>189</v>
      </c>
      <c r="D36" t="s">
        <v>91</v>
      </c>
      <c r="E36" t="s">
        <v>346</v>
      </c>
      <c r="F36" t="s">
        <v>33</v>
      </c>
      <c r="G36" t="s">
        <v>21</v>
      </c>
      <c r="H36">
        <v>15</v>
      </c>
      <c r="I36">
        <v>37</v>
      </c>
      <c r="J36">
        <v>948</v>
      </c>
      <c r="K36">
        <f t="shared" si="0"/>
        <v>999</v>
      </c>
      <c r="L36">
        <v>142</v>
      </c>
      <c r="M36">
        <v>160</v>
      </c>
      <c r="N36">
        <v>132</v>
      </c>
      <c r="O36">
        <v>270</v>
      </c>
      <c r="P36">
        <v>295</v>
      </c>
      <c r="Q36">
        <f t="shared" si="1"/>
        <v>14.214214214214213</v>
      </c>
      <c r="R36">
        <f t="shared" si="2"/>
        <v>29.22922922922923</v>
      </c>
      <c r="S36">
        <f t="shared" si="3"/>
        <v>56.556556556556558</v>
      </c>
      <c r="T36">
        <f t="shared" si="4"/>
        <v>-2.0346849608232382</v>
      </c>
      <c r="U36">
        <f t="shared" si="5"/>
        <v>0.13072165846133124</v>
      </c>
      <c r="V36" t="e">
        <f>((L36/K36)*#REF!+(M36/K36)*#REF!+(N36/K36)*#REF!+(O36/K36)*#REF!+(P36/K36)*#REF!)/5/1000</f>
        <v>#REF!</v>
      </c>
      <c r="W36">
        <v>7.1</v>
      </c>
      <c r="X36" t="s">
        <v>20</v>
      </c>
      <c r="Z36">
        <v>0.66</v>
      </c>
      <c r="AA36">
        <v>3.5000000000000003E-2</v>
      </c>
      <c r="AB36">
        <v>2.3E-2</v>
      </c>
      <c r="AC36">
        <v>4.87</v>
      </c>
      <c r="AD36">
        <v>0.37</v>
      </c>
      <c r="AE36">
        <v>38.1</v>
      </c>
      <c r="AF36">
        <v>7.0000000000000007E-2</v>
      </c>
    </row>
    <row r="37" spans="1:32" ht="16.5" x14ac:dyDescent="0.15">
      <c r="A37" t="s">
        <v>34</v>
      </c>
      <c r="B37" t="s">
        <v>56</v>
      </c>
      <c r="C37" t="s">
        <v>396</v>
      </c>
      <c r="D37" t="s">
        <v>406</v>
      </c>
      <c r="E37" t="s">
        <v>346</v>
      </c>
      <c r="F37" s="86" t="s">
        <v>402</v>
      </c>
      <c r="G37" t="s">
        <v>177</v>
      </c>
      <c r="H37">
        <v>0</v>
      </c>
      <c r="I37">
        <v>0</v>
      </c>
      <c r="J37">
        <v>1000</v>
      </c>
      <c r="K37">
        <f t="shared" si="0"/>
        <v>999</v>
      </c>
      <c r="L37">
        <v>28</v>
      </c>
      <c r="M37">
        <v>3</v>
      </c>
      <c r="N37">
        <v>30</v>
      </c>
      <c r="O37">
        <v>481</v>
      </c>
      <c r="P37">
        <v>457</v>
      </c>
      <c r="Q37">
        <f t="shared" si="1"/>
        <v>2.8028028028028027</v>
      </c>
      <c r="R37">
        <f t="shared" si="2"/>
        <v>3.303303303303303</v>
      </c>
      <c r="S37">
        <f t="shared" si="3"/>
        <v>93.893893893893903</v>
      </c>
      <c r="T37">
        <f t="shared" si="4"/>
        <v>-0.29098520085428731</v>
      </c>
      <c r="U37">
        <f t="shared" si="5"/>
        <v>0.74752674069339142</v>
      </c>
      <c r="V37" t="e">
        <f>((L37/K37)*#REF!+(M37/K37)*#REF!+(N37/K37)*#REF!+(O37/K37)*#REF!+(P37/K37)*#REF!)/5/1000</f>
        <v>#REF!</v>
      </c>
      <c r="W37">
        <v>6.3</v>
      </c>
      <c r="X37" t="s">
        <v>20</v>
      </c>
      <c r="Z37">
        <v>0.6</v>
      </c>
      <c r="AA37">
        <v>0.14499999999999999</v>
      </c>
      <c r="AB37">
        <v>4.9000000000000002E-2</v>
      </c>
      <c r="AC37">
        <v>22.69</v>
      </c>
      <c r="AD37">
        <v>1.58</v>
      </c>
      <c r="AE37">
        <v>33.1</v>
      </c>
      <c r="AF37">
        <v>0.13</v>
      </c>
    </row>
    <row r="38" spans="1:32" ht="16.5" x14ac:dyDescent="0.15">
      <c r="A38" t="s">
        <v>34</v>
      </c>
      <c r="B38" t="s">
        <v>56</v>
      </c>
      <c r="C38" t="s">
        <v>396</v>
      </c>
      <c r="D38" t="s">
        <v>406</v>
      </c>
      <c r="E38" t="s">
        <v>346</v>
      </c>
      <c r="F38" s="86" t="s">
        <v>402</v>
      </c>
      <c r="G38" t="s">
        <v>175</v>
      </c>
      <c r="H38">
        <v>0</v>
      </c>
      <c r="I38">
        <v>0</v>
      </c>
      <c r="J38">
        <v>1000</v>
      </c>
      <c r="K38">
        <f t="shared" si="0"/>
        <v>999</v>
      </c>
      <c r="L38">
        <v>33</v>
      </c>
      <c r="M38">
        <v>8</v>
      </c>
      <c r="N38">
        <v>19</v>
      </c>
      <c r="O38">
        <v>400</v>
      </c>
      <c r="P38">
        <v>539</v>
      </c>
      <c r="Q38">
        <f t="shared" si="1"/>
        <v>3.303303303303303</v>
      </c>
      <c r="R38">
        <f t="shared" si="2"/>
        <v>2.7027027027027026</v>
      </c>
      <c r="S38">
        <f t="shared" si="3"/>
        <v>93.993993993993996</v>
      </c>
      <c r="T38">
        <f t="shared" si="4"/>
        <v>-0.3036139609509404</v>
      </c>
      <c r="U38">
        <f t="shared" si="5"/>
        <v>0.73814576454517067</v>
      </c>
      <c r="V38" t="e">
        <f>((L38/K38)*#REF!+(M38/K38)*#REF!+(N38/K38)*#REF!+(O38/K38)*#REF!+(P38/K38)*#REF!)/5/1000</f>
        <v>#REF!</v>
      </c>
      <c r="W38">
        <v>5.8</v>
      </c>
      <c r="X38" t="s">
        <v>20</v>
      </c>
      <c r="Z38">
        <v>0.34</v>
      </c>
      <c r="AA38">
        <v>6.5000000000000002E-2</v>
      </c>
      <c r="AB38">
        <v>0.03</v>
      </c>
      <c r="AC38">
        <v>14.87</v>
      </c>
      <c r="AD38">
        <v>1.05</v>
      </c>
      <c r="AE38">
        <v>25.6</v>
      </c>
      <c r="AF38">
        <v>0.1</v>
      </c>
    </row>
    <row r="39" spans="1:32" ht="16.5" x14ac:dyDescent="0.15">
      <c r="A39" t="s">
        <v>34</v>
      </c>
      <c r="B39" t="s">
        <v>56</v>
      </c>
      <c r="C39" t="s">
        <v>396</v>
      </c>
      <c r="D39" t="s">
        <v>406</v>
      </c>
      <c r="E39" t="s">
        <v>346</v>
      </c>
      <c r="F39" s="86" t="s">
        <v>402</v>
      </c>
      <c r="G39" t="s">
        <v>21</v>
      </c>
      <c r="H39">
        <v>0</v>
      </c>
      <c r="I39">
        <v>0</v>
      </c>
      <c r="J39">
        <v>1000</v>
      </c>
      <c r="K39">
        <f t="shared" si="0"/>
        <v>999</v>
      </c>
      <c r="L39">
        <v>9</v>
      </c>
      <c r="M39">
        <v>0</v>
      </c>
      <c r="N39">
        <v>10</v>
      </c>
      <c r="O39">
        <v>110</v>
      </c>
      <c r="P39">
        <v>870</v>
      </c>
      <c r="Q39">
        <f t="shared" si="1"/>
        <v>0.90090090090090091</v>
      </c>
      <c r="R39">
        <f t="shared" si="2"/>
        <v>1.0010010010010011</v>
      </c>
      <c r="S39">
        <f t="shared" si="3"/>
        <v>98.098098098098092</v>
      </c>
      <c r="T39">
        <f t="shared" si="4"/>
        <v>-7.4542166748630428E-2</v>
      </c>
      <c r="U39">
        <f t="shared" si="5"/>
        <v>0.92816833539292876</v>
      </c>
      <c r="V39" t="e">
        <f>((L39/K39)*#REF!+(M39/K39)*#REF!+(N39/K39)*#REF!+(O39/K39)*#REF!+(P39/K39)*#REF!)/5/1000</f>
        <v>#REF!</v>
      </c>
      <c r="W39">
        <v>6.3</v>
      </c>
      <c r="X39" t="s">
        <v>20</v>
      </c>
      <c r="Z39">
        <v>0.22</v>
      </c>
      <c r="AA39">
        <v>1.4999999999999999E-2</v>
      </c>
      <c r="AB39">
        <v>7.0000000000000001E-3</v>
      </c>
      <c r="AC39">
        <v>4.25</v>
      </c>
      <c r="AD39">
        <v>0.19</v>
      </c>
      <c r="AE39">
        <v>7.7</v>
      </c>
      <c r="AF39">
        <v>0.02</v>
      </c>
    </row>
    <row r="40" spans="1:32" ht="16.5" x14ac:dyDescent="0.15">
      <c r="A40" t="s">
        <v>35</v>
      </c>
      <c r="B40" t="s">
        <v>57</v>
      </c>
      <c r="C40" t="s">
        <v>396</v>
      </c>
      <c r="D40" t="s">
        <v>406</v>
      </c>
      <c r="E40" t="s">
        <v>346</v>
      </c>
      <c r="F40" s="86" t="s">
        <v>402</v>
      </c>
      <c r="G40" t="s">
        <v>177</v>
      </c>
      <c r="H40">
        <v>0</v>
      </c>
      <c r="I40">
        <v>0</v>
      </c>
      <c r="J40">
        <v>1000</v>
      </c>
      <c r="K40">
        <f t="shared" si="0"/>
        <v>998</v>
      </c>
      <c r="L40">
        <v>30</v>
      </c>
      <c r="M40">
        <v>6</v>
      </c>
      <c r="N40">
        <v>21</v>
      </c>
      <c r="O40">
        <v>600</v>
      </c>
      <c r="P40">
        <v>341</v>
      </c>
      <c r="Q40">
        <f t="shared" si="1"/>
        <v>3.0060120240480961</v>
      </c>
      <c r="R40">
        <f t="shared" si="2"/>
        <v>2.7054108216432864</v>
      </c>
      <c r="S40">
        <f t="shared" si="3"/>
        <v>94.288577154308612</v>
      </c>
      <c r="T40">
        <f t="shared" si="4"/>
        <v>-0.28310390373533301</v>
      </c>
      <c r="U40">
        <f t="shared" si="5"/>
        <v>0.75344149840646502</v>
      </c>
      <c r="V40" t="e">
        <f>((L40/K40)*#REF!+(M40/K40)*#REF!+(N40/K40)*#REF!+(O40/K40)*#REF!+(P40/K40)*#REF!)/5/1000</f>
        <v>#REF!</v>
      </c>
      <c r="W40">
        <v>6.2</v>
      </c>
      <c r="X40">
        <v>2</v>
      </c>
      <c r="Z40">
        <v>0.35</v>
      </c>
      <c r="AA40">
        <v>8.3000000000000004E-2</v>
      </c>
      <c r="AB40">
        <v>3.7999999999999999E-2</v>
      </c>
      <c r="AC40">
        <v>15.41</v>
      </c>
      <c r="AD40">
        <v>1.1599999999999999</v>
      </c>
      <c r="AE40">
        <v>29.3</v>
      </c>
      <c r="AF40">
        <v>0.1</v>
      </c>
    </row>
    <row r="41" spans="1:32" ht="16.5" x14ac:dyDescent="0.15">
      <c r="A41" t="s">
        <v>35</v>
      </c>
      <c r="B41" t="s">
        <v>57</v>
      </c>
      <c r="C41" t="s">
        <v>396</v>
      </c>
      <c r="D41" t="s">
        <v>406</v>
      </c>
      <c r="E41" t="s">
        <v>346</v>
      </c>
      <c r="F41" s="86" t="s">
        <v>402</v>
      </c>
      <c r="G41" t="s">
        <v>175</v>
      </c>
      <c r="H41">
        <v>0</v>
      </c>
      <c r="I41">
        <v>0</v>
      </c>
      <c r="J41">
        <v>1000</v>
      </c>
      <c r="K41">
        <f t="shared" si="0"/>
        <v>999</v>
      </c>
      <c r="L41">
        <v>24</v>
      </c>
      <c r="M41">
        <v>3</v>
      </c>
      <c r="N41">
        <v>14</v>
      </c>
      <c r="O41">
        <v>626</v>
      </c>
      <c r="P41">
        <v>332</v>
      </c>
      <c r="Q41">
        <f t="shared" si="1"/>
        <v>2.4024024024024024</v>
      </c>
      <c r="R41">
        <f t="shared" si="2"/>
        <v>1.7017017017017018</v>
      </c>
      <c r="S41">
        <f t="shared" si="3"/>
        <v>95.895895895895904</v>
      </c>
      <c r="T41">
        <f t="shared" si="4"/>
        <v>-0.20437918161193858</v>
      </c>
      <c r="U41">
        <f t="shared" si="5"/>
        <v>0.81515322146655944</v>
      </c>
      <c r="V41" t="e">
        <f>((L41/K41)*#REF!+(M41/K41)*#REF!+(N41/K41)*#REF!+(O41/K41)*#REF!+(P41/K41)*#REF!)/5/1000</f>
        <v>#REF!</v>
      </c>
      <c r="W41">
        <v>6.1</v>
      </c>
      <c r="X41" t="s">
        <v>20</v>
      </c>
      <c r="Z41">
        <v>0.25</v>
      </c>
      <c r="AA41">
        <v>4.7E-2</v>
      </c>
      <c r="AB41">
        <v>1.9E-2</v>
      </c>
      <c r="AC41">
        <v>8.52</v>
      </c>
      <c r="AD41">
        <v>0.66</v>
      </c>
      <c r="AE41">
        <v>24.5</v>
      </c>
      <c r="AF41">
        <v>0.08</v>
      </c>
    </row>
    <row r="42" spans="1:32" ht="16.5" x14ac:dyDescent="0.15">
      <c r="A42" t="s">
        <v>35</v>
      </c>
      <c r="B42" t="s">
        <v>57</v>
      </c>
      <c r="C42" t="s">
        <v>396</v>
      </c>
      <c r="D42" t="s">
        <v>406</v>
      </c>
      <c r="E42" t="s">
        <v>346</v>
      </c>
      <c r="F42" s="86" t="s">
        <v>402</v>
      </c>
      <c r="G42" t="s">
        <v>21</v>
      </c>
      <c r="H42">
        <v>4</v>
      </c>
      <c r="I42">
        <v>0</v>
      </c>
      <c r="J42">
        <v>996</v>
      </c>
      <c r="K42">
        <f t="shared" si="0"/>
        <v>999</v>
      </c>
      <c r="L42">
        <v>5</v>
      </c>
      <c r="M42">
        <v>5</v>
      </c>
      <c r="N42">
        <v>10</v>
      </c>
      <c r="O42">
        <v>384</v>
      </c>
      <c r="P42">
        <v>595</v>
      </c>
      <c r="Q42">
        <f t="shared" si="1"/>
        <v>0.50050050050050054</v>
      </c>
      <c r="R42">
        <f t="shared" si="2"/>
        <v>1.5015015015015014</v>
      </c>
      <c r="S42">
        <f t="shared" si="3"/>
        <v>97.997997997997999</v>
      </c>
      <c r="T42">
        <f t="shared" si="4"/>
        <v>-6.5174764547894795E-2</v>
      </c>
      <c r="U42">
        <f t="shared" si="5"/>
        <v>0.93690371151524621</v>
      </c>
      <c r="V42" t="e">
        <f>((L42/K42)*#REF!+(M42/K42)*#REF!+(N42/K42)*#REF!+(O42/K42)*#REF!+(P42/K42)*#REF!)/5/1000</f>
        <v>#REF!</v>
      </c>
      <c r="W42">
        <v>6.4</v>
      </c>
      <c r="X42" t="s">
        <v>20</v>
      </c>
      <c r="Z42">
        <v>7.0000000000000007E-2</v>
      </c>
      <c r="AA42">
        <v>8.9999999999999993E-3</v>
      </c>
      <c r="AB42">
        <v>6.0000000000000001E-3</v>
      </c>
      <c r="AC42">
        <v>1.28</v>
      </c>
      <c r="AD42">
        <v>0.08</v>
      </c>
      <c r="AE42">
        <v>9.1999999999999993</v>
      </c>
      <c r="AF42">
        <v>0.02</v>
      </c>
    </row>
    <row r="43" spans="1:32" x14ac:dyDescent="0.15">
      <c r="A43" t="s">
        <v>36</v>
      </c>
      <c r="B43" t="s">
        <v>58</v>
      </c>
      <c r="C43" t="s">
        <v>210</v>
      </c>
      <c r="D43" t="s">
        <v>406</v>
      </c>
      <c r="E43" t="s">
        <v>346</v>
      </c>
      <c r="F43" t="s">
        <v>36</v>
      </c>
      <c r="G43" t="s">
        <v>177</v>
      </c>
      <c r="H43">
        <v>0</v>
      </c>
      <c r="I43">
        <v>0</v>
      </c>
      <c r="J43">
        <v>1000</v>
      </c>
      <c r="K43">
        <f t="shared" si="0"/>
        <v>998</v>
      </c>
      <c r="L43">
        <v>572</v>
      </c>
      <c r="M43">
        <v>380</v>
      </c>
      <c r="N43">
        <v>32</v>
      </c>
      <c r="O43">
        <v>7</v>
      </c>
      <c r="P43">
        <v>7</v>
      </c>
      <c r="Q43">
        <f t="shared" si="1"/>
        <v>57.314629258517037</v>
      </c>
      <c r="R43">
        <f t="shared" si="2"/>
        <v>41.282565130260522</v>
      </c>
      <c r="S43">
        <f t="shared" si="3"/>
        <v>1.402805611222445</v>
      </c>
      <c r="T43">
        <f t="shared" si="4"/>
        <v>-5.4654806856486049</v>
      </c>
      <c r="U43">
        <f t="shared" si="5"/>
        <v>4.2303071103127234E-3</v>
      </c>
      <c r="V43" t="e">
        <f>((L43/K43)*#REF!+(M43/K43)*#REF!+(N43/K43)*#REF!+(O43/K43)*#REF!+(P43/K43)*#REF!)/5/1000</f>
        <v>#REF!</v>
      </c>
      <c r="W43">
        <v>5.9</v>
      </c>
      <c r="X43">
        <v>2</v>
      </c>
      <c r="Z43">
        <v>2.16</v>
      </c>
      <c r="AA43">
        <v>0.50700000000000001</v>
      </c>
      <c r="AB43">
        <v>0.92</v>
      </c>
      <c r="AC43">
        <v>35.909999999999997</v>
      </c>
      <c r="AD43">
        <v>3</v>
      </c>
      <c r="AE43">
        <v>150</v>
      </c>
      <c r="AF43">
        <v>0.3</v>
      </c>
    </row>
    <row r="44" spans="1:32" x14ac:dyDescent="0.15">
      <c r="A44" t="s">
        <v>36</v>
      </c>
      <c r="B44" t="s">
        <v>58</v>
      </c>
      <c r="C44" t="s">
        <v>210</v>
      </c>
      <c r="D44" t="s">
        <v>406</v>
      </c>
      <c r="E44" t="s">
        <v>346</v>
      </c>
      <c r="F44" t="s">
        <v>36</v>
      </c>
      <c r="G44" t="s">
        <v>175</v>
      </c>
      <c r="H44">
        <v>0</v>
      </c>
      <c r="I44">
        <v>0</v>
      </c>
      <c r="J44">
        <v>1000</v>
      </c>
      <c r="K44">
        <f t="shared" si="0"/>
        <v>998</v>
      </c>
      <c r="L44">
        <v>584</v>
      </c>
      <c r="M44">
        <v>383</v>
      </c>
      <c r="N44">
        <v>28</v>
      </c>
      <c r="O44">
        <v>2</v>
      </c>
      <c r="P44">
        <v>1</v>
      </c>
      <c r="Q44">
        <f t="shared" si="1"/>
        <v>58.517034068136276</v>
      </c>
      <c r="R44">
        <f t="shared" si="2"/>
        <v>41.182364729458918</v>
      </c>
      <c r="S44">
        <f t="shared" si="3"/>
        <v>0.30060120240480964</v>
      </c>
      <c r="T44">
        <f t="shared" si="4"/>
        <v>-5.5451550577381026</v>
      </c>
      <c r="U44">
        <f t="shared" si="5"/>
        <v>3.9063374491876751E-3</v>
      </c>
      <c r="V44" t="e">
        <f>((L44/K44)*#REF!+(M44/K44)*#REF!+(N44/K44)*#REF!+(O44/K44)*#REF!+(P44/K44)*#REF!)/5/1000</f>
        <v>#REF!</v>
      </c>
      <c r="W44">
        <v>5.6</v>
      </c>
      <c r="X44">
        <v>2</v>
      </c>
      <c r="Z44">
        <v>1.66</v>
      </c>
      <c r="AA44">
        <v>0.39500000000000002</v>
      </c>
      <c r="AB44">
        <v>0.56499999999999995</v>
      </c>
      <c r="AC44">
        <v>18.989999999999998</v>
      </c>
      <c r="AD44">
        <v>1.99</v>
      </c>
      <c r="AE44">
        <v>148</v>
      </c>
      <c r="AF44">
        <v>0.23</v>
      </c>
    </row>
    <row r="45" spans="1:32" x14ac:dyDescent="0.15">
      <c r="A45" t="s">
        <v>36</v>
      </c>
      <c r="B45" t="s">
        <v>58</v>
      </c>
      <c r="C45" t="s">
        <v>210</v>
      </c>
      <c r="D45" t="s">
        <v>406</v>
      </c>
      <c r="E45" t="s">
        <v>346</v>
      </c>
      <c r="F45" t="s">
        <v>36</v>
      </c>
      <c r="G45" t="s">
        <v>21</v>
      </c>
      <c r="H45">
        <v>0</v>
      </c>
      <c r="I45">
        <v>0</v>
      </c>
      <c r="J45">
        <v>1000</v>
      </c>
      <c r="K45">
        <f t="shared" si="0"/>
        <v>999</v>
      </c>
      <c r="L45">
        <v>606</v>
      </c>
      <c r="M45">
        <v>337</v>
      </c>
      <c r="N45">
        <v>44</v>
      </c>
      <c r="O45">
        <v>6</v>
      </c>
      <c r="P45">
        <v>6</v>
      </c>
      <c r="Q45">
        <f t="shared" si="1"/>
        <v>60.66066066066066</v>
      </c>
      <c r="R45">
        <f t="shared" si="2"/>
        <v>38.138138138138139</v>
      </c>
      <c r="S45">
        <f t="shared" si="3"/>
        <v>1.2012012012012012</v>
      </c>
      <c r="T45">
        <f t="shared" si="4"/>
        <v>-5.5819052732913921</v>
      </c>
      <c r="U45">
        <f t="shared" si="5"/>
        <v>3.7653845934541206E-3</v>
      </c>
      <c r="V45" t="e">
        <f>((L45/K45)*#REF!+(M45/K45)*#REF!+(N45/K45)*#REF!+(O45/K45)*#REF!+(P45/K45)*#REF!)/5/1000</f>
        <v>#REF!</v>
      </c>
      <c r="W45">
        <v>5.3</v>
      </c>
      <c r="X45" t="s">
        <v>20</v>
      </c>
      <c r="Z45">
        <v>1.1399999999999999</v>
      </c>
      <c r="AA45">
        <v>0.56000000000000005</v>
      </c>
      <c r="AB45">
        <v>0.252</v>
      </c>
      <c r="AC45">
        <v>15.17</v>
      </c>
      <c r="AD45">
        <v>1.55</v>
      </c>
      <c r="AE45">
        <v>134</v>
      </c>
      <c r="AF45">
        <v>0.21</v>
      </c>
    </row>
    <row r="46" spans="1:32" x14ac:dyDescent="0.15">
      <c r="A46" t="s">
        <v>37</v>
      </c>
      <c r="B46" t="s">
        <v>59</v>
      </c>
      <c r="C46" t="s">
        <v>210</v>
      </c>
      <c r="D46" t="s">
        <v>91</v>
      </c>
      <c r="E46" t="s">
        <v>346</v>
      </c>
      <c r="F46" t="s">
        <v>37</v>
      </c>
      <c r="G46" t="s">
        <v>177</v>
      </c>
      <c r="H46">
        <v>0</v>
      </c>
      <c r="I46">
        <v>0</v>
      </c>
      <c r="J46">
        <v>1000</v>
      </c>
      <c r="K46">
        <f t="shared" si="0"/>
        <v>998</v>
      </c>
      <c r="L46">
        <v>535</v>
      </c>
      <c r="M46">
        <v>381</v>
      </c>
      <c r="N46">
        <v>52</v>
      </c>
      <c r="O46">
        <v>20</v>
      </c>
      <c r="P46">
        <v>10</v>
      </c>
      <c r="Q46">
        <f t="shared" si="1"/>
        <v>53.607214428857716</v>
      </c>
      <c r="R46">
        <f t="shared" si="2"/>
        <v>43.386773547094187</v>
      </c>
      <c r="S46">
        <f t="shared" si="3"/>
        <v>3.0060120240480961</v>
      </c>
      <c r="T46">
        <f t="shared" si="4"/>
        <v>-5.2857820949035021</v>
      </c>
      <c r="U46">
        <f t="shared" si="5"/>
        <v>5.0630708373885832E-3</v>
      </c>
      <c r="V46" t="e">
        <f>((L46/K46)*#REF!+(M46/K46)*#REF!+(N46/K46)*#REF!+(O46/K46)*#REF!+(P46/K46)*#REF!)/5/1000</f>
        <v>#REF!</v>
      </c>
      <c r="W46">
        <v>5.6</v>
      </c>
      <c r="X46">
        <v>2</v>
      </c>
      <c r="Z46">
        <v>1.71</v>
      </c>
      <c r="AA46">
        <v>0.41899999999999998</v>
      </c>
      <c r="AB46">
        <v>0.68200000000000005</v>
      </c>
      <c r="AC46">
        <v>30.81</v>
      </c>
      <c r="AD46">
        <v>2.99</v>
      </c>
      <c r="AE46">
        <v>148</v>
      </c>
      <c r="AF46">
        <v>0.27</v>
      </c>
    </row>
    <row r="47" spans="1:32" x14ac:dyDescent="0.15">
      <c r="A47" t="s">
        <v>37</v>
      </c>
      <c r="B47" t="s">
        <v>59</v>
      </c>
      <c r="C47" t="s">
        <v>210</v>
      </c>
      <c r="D47" t="s">
        <v>91</v>
      </c>
      <c r="E47" t="s">
        <v>346</v>
      </c>
      <c r="F47" t="s">
        <v>37</v>
      </c>
      <c r="G47" t="s">
        <v>175</v>
      </c>
      <c r="H47">
        <v>0</v>
      </c>
      <c r="I47">
        <v>0</v>
      </c>
      <c r="J47">
        <v>1000</v>
      </c>
      <c r="K47">
        <f t="shared" si="0"/>
        <v>999</v>
      </c>
      <c r="L47">
        <v>572</v>
      </c>
      <c r="M47">
        <v>398</v>
      </c>
      <c r="N47">
        <v>24</v>
      </c>
      <c r="O47">
        <v>4</v>
      </c>
      <c r="P47">
        <v>1</v>
      </c>
      <c r="Q47">
        <f t="shared" si="1"/>
        <v>57.257257257257251</v>
      </c>
      <c r="R47">
        <f t="shared" si="2"/>
        <v>42.242242242242241</v>
      </c>
      <c r="S47">
        <f t="shared" si="3"/>
        <v>0.50050050050050054</v>
      </c>
      <c r="T47">
        <f t="shared" si="4"/>
        <v>-5.496765310510737</v>
      </c>
      <c r="U47">
        <f t="shared" si="5"/>
        <v>4.1000122785390513E-3</v>
      </c>
      <c r="V47" t="e">
        <f>((L47/K47)*#REF!+(M47/K47)*#REF!+(N47/K47)*#REF!+(O47/K47)*#REF!+(P47/K47)*#REF!)/5/1000</f>
        <v>#REF!</v>
      </c>
      <c r="W47">
        <v>5.3</v>
      </c>
      <c r="X47" t="s">
        <v>20</v>
      </c>
      <c r="Z47">
        <v>1.31</v>
      </c>
      <c r="AA47">
        <v>0.35399999999999998</v>
      </c>
      <c r="AB47">
        <v>0.56899999999999995</v>
      </c>
      <c r="AC47">
        <v>19</v>
      </c>
      <c r="AD47">
        <v>1.98</v>
      </c>
      <c r="AE47">
        <v>150</v>
      </c>
      <c r="AF47">
        <v>0.22</v>
      </c>
    </row>
    <row r="48" spans="1:32" x14ac:dyDescent="0.15">
      <c r="A48" t="s">
        <v>37</v>
      </c>
      <c r="B48" t="s">
        <v>59</v>
      </c>
      <c r="C48" t="s">
        <v>210</v>
      </c>
      <c r="D48" t="s">
        <v>91</v>
      </c>
      <c r="E48" t="s">
        <v>346</v>
      </c>
      <c r="F48" t="s">
        <v>37</v>
      </c>
      <c r="G48" t="s">
        <v>21</v>
      </c>
      <c r="H48">
        <v>0</v>
      </c>
      <c r="I48">
        <v>0</v>
      </c>
      <c r="J48">
        <v>1000</v>
      </c>
      <c r="K48">
        <f t="shared" si="0"/>
        <v>999</v>
      </c>
      <c r="L48">
        <v>551</v>
      </c>
      <c r="M48">
        <v>388</v>
      </c>
      <c r="N48">
        <v>52</v>
      </c>
      <c r="O48">
        <v>7</v>
      </c>
      <c r="P48">
        <v>1</v>
      </c>
      <c r="Q48">
        <f t="shared" si="1"/>
        <v>55.155155155155157</v>
      </c>
      <c r="R48">
        <f t="shared" si="2"/>
        <v>44.044044044044043</v>
      </c>
      <c r="S48">
        <f t="shared" si="3"/>
        <v>0.80080080080080074</v>
      </c>
      <c r="T48">
        <f t="shared" si="4"/>
        <v>-5.41724270654767</v>
      </c>
      <c r="U48">
        <f t="shared" si="5"/>
        <v>4.4393704348355684E-3</v>
      </c>
      <c r="V48" t="e">
        <f>((L48/K48)*#REF!+(M48/K48)*#REF!+(N48/K48)*#REF!+(O48/K48)*#REF!+(P48/K48)*#REF!)/5/1000</f>
        <v>#REF!</v>
      </c>
      <c r="W48">
        <v>4.7</v>
      </c>
      <c r="X48" t="s">
        <v>20</v>
      </c>
      <c r="Z48">
        <v>0.76</v>
      </c>
      <c r="AA48">
        <v>0.38100000000000001</v>
      </c>
      <c r="AB48">
        <v>0.31</v>
      </c>
      <c r="AC48">
        <v>14.32</v>
      </c>
      <c r="AD48">
        <v>1.57</v>
      </c>
      <c r="AE48">
        <v>144</v>
      </c>
      <c r="AF48">
        <v>0.18</v>
      </c>
    </row>
    <row r="49" spans="1:32" x14ac:dyDescent="0.15">
      <c r="A49" t="s">
        <v>38</v>
      </c>
      <c r="B49" t="s">
        <v>60</v>
      </c>
      <c r="C49" t="s">
        <v>131</v>
      </c>
      <c r="D49" t="s">
        <v>406</v>
      </c>
      <c r="E49" t="s">
        <v>346</v>
      </c>
      <c r="F49" t="s">
        <v>38</v>
      </c>
      <c r="G49" t="s">
        <v>177</v>
      </c>
      <c r="H49">
        <v>0</v>
      </c>
      <c r="I49">
        <v>0</v>
      </c>
      <c r="J49">
        <v>1000</v>
      </c>
      <c r="K49">
        <f t="shared" si="0"/>
        <v>999</v>
      </c>
      <c r="L49">
        <v>659</v>
      </c>
      <c r="M49">
        <v>274</v>
      </c>
      <c r="N49">
        <v>53</v>
      </c>
      <c r="O49">
        <v>9</v>
      </c>
      <c r="P49">
        <v>4</v>
      </c>
      <c r="Q49">
        <f t="shared" si="1"/>
        <v>65.965965965965964</v>
      </c>
      <c r="R49">
        <f t="shared" si="2"/>
        <v>32.732732732732735</v>
      </c>
      <c r="S49">
        <f t="shared" si="3"/>
        <v>1.3013013013013013</v>
      </c>
      <c r="T49">
        <f t="shared" si="4"/>
        <v>-5.7510792123920806</v>
      </c>
      <c r="U49">
        <f t="shared" si="5"/>
        <v>3.1793477528576286E-3</v>
      </c>
      <c r="V49" t="e">
        <f>((L49/K49)*#REF!+(M49/K49)*#REF!+(N49/K49)*#REF!+(O49/K49)*#REF!+(P49/K49)*#REF!)/5/1000</f>
        <v>#REF!</v>
      </c>
      <c r="W49">
        <v>6.2</v>
      </c>
      <c r="X49" t="s">
        <v>20</v>
      </c>
      <c r="Z49">
        <v>3.8</v>
      </c>
      <c r="AA49">
        <v>0.35099999999999998</v>
      </c>
      <c r="AB49">
        <v>0.315</v>
      </c>
      <c r="AC49">
        <v>38.979999999999997</v>
      </c>
      <c r="AD49">
        <v>3.93</v>
      </c>
      <c r="AE49">
        <v>142</v>
      </c>
      <c r="AF49">
        <v>0.39</v>
      </c>
    </row>
    <row r="50" spans="1:32" x14ac:dyDescent="0.15">
      <c r="A50" t="s">
        <v>38</v>
      </c>
      <c r="B50" t="s">
        <v>60</v>
      </c>
      <c r="C50" t="s">
        <v>131</v>
      </c>
      <c r="D50" t="s">
        <v>406</v>
      </c>
      <c r="E50" t="s">
        <v>346</v>
      </c>
      <c r="F50" t="s">
        <v>38</v>
      </c>
      <c r="G50" t="s">
        <v>175</v>
      </c>
      <c r="H50">
        <v>0</v>
      </c>
      <c r="I50">
        <v>0</v>
      </c>
      <c r="J50">
        <v>1000</v>
      </c>
      <c r="K50">
        <f t="shared" si="0"/>
        <v>999</v>
      </c>
      <c r="L50">
        <v>658</v>
      </c>
      <c r="M50">
        <v>278</v>
      </c>
      <c r="N50">
        <v>55</v>
      </c>
      <c r="O50">
        <v>7</v>
      </c>
      <c r="P50">
        <v>1</v>
      </c>
      <c r="Q50">
        <f t="shared" si="1"/>
        <v>65.865865865865871</v>
      </c>
      <c r="R50">
        <f t="shared" si="2"/>
        <v>33.333333333333329</v>
      </c>
      <c r="S50">
        <f t="shared" si="3"/>
        <v>0.80080080080080074</v>
      </c>
      <c r="T50">
        <f t="shared" si="4"/>
        <v>-5.7662080014108321</v>
      </c>
      <c r="U50">
        <f t="shared" si="5"/>
        <v>3.1316100885272892E-3</v>
      </c>
      <c r="V50" t="e">
        <f>((L50/K50)*#REF!+(M50/K50)*#REF!+(N50/K50)*#REF!+(O50/K50)*#REF!+(P50/K50)*#REF!)/5/1000</f>
        <v>#REF!</v>
      </c>
      <c r="W50">
        <v>5.9</v>
      </c>
      <c r="X50" t="s">
        <v>20</v>
      </c>
      <c r="Z50">
        <v>3.81</v>
      </c>
      <c r="AA50">
        <v>0.34499999999999997</v>
      </c>
      <c r="AB50">
        <v>0.155</v>
      </c>
      <c r="AC50">
        <v>34.26</v>
      </c>
      <c r="AD50">
        <v>3.64</v>
      </c>
      <c r="AE50">
        <v>139</v>
      </c>
      <c r="AF50">
        <v>0.32</v>
      </c>
    </row>
    <row r="51" spans="1:32" x14ac:dyDescent="0.15">
      <c r="A51" t="s">
        <v>38</v>
      </c>
      <c r="B51" t="s">
        <v>60</v>
      </c>
      <c r="C51" t="s">
        <v>131</v>
      </c>
      <c r="D51" t="s">
        <v>406</v>
      </c>
      <c r="E51" t="s">
        <v>346</v>
      </c>
      <c r="F51" t="s">
        <v>38</v>
      </c>
      <c r="G51" t="s">
        <v>21</v>
      </c>
      <c r="H51">
        <v>0</v>
      </c>
      <c r="I51">
        <v>1</v>
      </c>
      <c r="J51">
        <v>999</v>
      </c>
      <c r="K51">
        <f t="shared" si="0"/>
        <v>999</v>
      </c>
      <c r="L51">
        <v>628</v>
      </c>
      <c r="M51">
        <v>306</v>
      </c>
      <c r="N51">
        <v>59</v>
      </c>
      <c r="O51">
        <v>4</v>
      </c>
      <c r="P51">
        <v>2</v>
      </c>
      <c r="Q51">
        <f t="shared" si="1"/>
        <v>62.862862862862869</v>
      </c>
      <c r="R51">
        <f t="shared" si="2"/>
        <v>36.536536536536538</v>
      </c>
      <c r="S51">
        <f t="shared" si="3"/>
        <v>0.60060060060060061</v>
      </c>
      <c r="T51">
        <f t="shared" si="4"/>
        <v>-5.6757233232991782</v>
      </c>
      <c r="U51">
        <f t="shared" si="5"/>
        <v>3.4281883907362289E-3</v>
      </c>
      <c r="V51" t="e">
        <f>((L51/K51)*#REF!+(M51/K51)*#REF!+(N51/K51)*#REF!+(O51/K51)*#REF!+(P51/K51)*#REF!)/5/1000</f>
        <v>#REF!</v>
      </c>
      <c r="W51">
        <v>6.5</v>
      </c>
      <c r="X51" t="s">
        <v>20</v>
      </c>
      <c r="Z51">
        <v>2.91</v>
      </c>
      <c r="AA51">
        <v>0.41899999999999998</v>
      </c>
      <c r="AB51">
        <v>0.161</v>
      </c>
      <c r="AC51">
        <v>15.21</v>
      </c>
      <c r="AD51">
        <v>1.97</v>
      </c>
      <c r="AE51">
        <v>139</v>
      </c>
      <c r="AF51">
        <v>0.21</v>
      </c>
    </row>
    <row r="52" spans="1:32" x14ac:dyDescent="0.15">
      <c r="A52" t="s">
        <v>39</v>
      </c>
      <c r="B52" t="s">
        <v>61</v>
      </c>
      <c r="C52" t="s">
        <v>131</v>
      </c>
      <c r="D52" t="s">
        <v>91</v>
      </c>
      <c r="E52" t="s">
        <v>346</v>
      </c>
      <c r="F52" t="s">
        <v>39</v>
      </c>
      <c r="G52" t="s">
        <v>177</v>
      </c>
      <c r="H52">
        <v>0</v>
      </c>
      <c r="I52">
        <v>0</v>
      </c>
      <c r="J52">
        <v>1000</v>
      </c>
      <c r="K52">
        <f t="shared" si="0"/>
        <v>999</v>
      </c>
      <c r="L52">
        <v>665</v>
      </c>
      <c r="M52">
        <v>280</v>
      </c>
      <c r="N52">
        <v>46</v>
      </c>
      <c r="O52">
        <v>7</v>
      </c>
      <c r="P52">
        <v>1</v>
      </c>
      <c r="Q52">
        <f t="shared" si="1"/>
        <v>66.566566566566564</v>
      </c>
      <c r="R52">
        <f t="shared" si="2"/>
        <v>32.632632632632628</v>
      </c>
      <c r="S52">
        <f t="shared" si="3"/>
        <v>0.80080080080080074</v>
      </c>
      <c r="T52">
        <f t="shared" si="4"/>
        <v>-5.789037506682253</v>
      </c>
      <c r="U52">
        <f t="shared" si="5"/>
        <v>3.0609268807356865E-3</v>
      </c>
      <c r="V52" t="e">
        <f>((L52/K52)*#REF!+(M52/K52)*#REF!+(N52/K52)*#REF!+(O52/K52)*#REF!+(P52/K52)*#REF!)/5/1000</f>
        <v>#REF!</v>
      </c>
      <c r="W52">
        <v>5.6</v>
      </c>
      <c r="X52" t="s">
        <v>20</v>
      </c>
      <c r="Z52">
        <v>3.05</v>
      </c>
      <c r="AA52">
        <v>0.32500000000000001</v>
      </c>
      <c r="AB52">
        <v>0.27100000000000002</v>
      </c>
      <c r="AC52">
        <v>42.28</v>
      </c>
      <c r="AD52">
        <v>4.29</v>
      </c>
      <c r="AE52">
        <v>139</v>
      </c>
      <c r="AF52">
        <v>0.36</v>
      </c>
    </row>
    <row r="53" spans="1:32" x14ac:dyDescent="0.15">
      <c r="A53" t="s">
        <v>39</v>
      </c>
      <c r="B53" t="s">
        <v>61</v>
      </c>
      <c r="C53" t="s">
        <v>131</v>
      </c>
      <c r="D53" t="s">
        <v>91</v>
      </c>
      <c r="E53" t="s">
        <v>346</v>
      </c>
      <c r="F53" t="s">
        <v>39</v>
      </c>
      <c r="G53" t="s">
        <v>175</v>
      </c>
      <c r="H53">
        <v>0</v>
      </c>
      <c r="I53">
        <v>0</v>
      </c>
      <c r="J53">
        <v>1000</v>
      </c>
      <c r="K53">
        <f t="shared" si="0"/>
        <v>998</v>
      </c>
      <c r="L53">
        <v>652</v>
      </c>
      <c r="M53">
        <v>291</v>
      </c>
      <c r="N53">
        <v>48</v>
      </c>
      <c r="O53">
        <v>6</v>
      </c>
      <c r="P53">
        <v>1</v>
      </c>
      <c r="Q53">
        <f t="shared" si="1"/>
        <v>65.330661322645284</v>
      </c>
      <c r="R53">
        <f t="shared" si="2"/>
        <v>33.967935871743485</v>
      </c>
      <c r="S53">
        <f t="shared" si="3"/>
        <v>0.70140280561122248</v>
      </c>
      <c r="T53">
        <f t="shared" si="4"/>
        <v>-5.7524227522984788</v>
      </c>
      <c r="U53">
        <f t="shared" si="5"/>
        <v>3.175079040510162E-3</v>
      </c>
      <c r="V53" t="e">
        <f>((L53/K53)*#REF!+(M53/K53)*#REF!+(N53/K53)*#REF!+(O53/K53)*#REF!+(P53/K53)*#REF!)/5/1000</f>
        <v>#REF!</v>
      </c>
      <c r="W53">
        <v>5.3</v>
      </c>
      <c r="X53">
        <v>2</v>
      </c>
      <c r="Z53">
        <v>2.82</v>
      </c>
      <c r="AA53">
        <v>0.28899999999999998</v>
      </c>
      <c r="AB53">
        <v>0.17799999999999999</v>
      </c>
      <c r="AC53">
        <v>40.1</v>
      </c>
      <c r="AD53">
        <v>4.12</v>
      </c>
      <c r="AE53">
        <v>137</v>
      </c>
      <c r="AF53">
        <v>0.32</v>
      </c>
    </row>
    <row r="54" spans="1:32" x14ac:dyDescent="0.15">
      <c r="A54" t="s">
        <v>39</v>
      </c>
      <c r="B54" t="s">
        <v>61</v>
      </c>
      <c r="C54" t="s">
        <v>131</v>
      </c>
      <c r="D54" t="s">
        <v>91</v>
      </c>
      <c r="E54" t="s">
        <v>346</v>
      </c>
      <c r="F54" t="s">
        <v>39</v>
      </c>
      <c r="G54" t="s">
        <v>21</v>
      </c>
      <c r="H54">
        <v>0</v>
      </c>
      <c r="I54">
        <v>0</v>
      </c>
      <c r="J54">
        <v>1000</v>
      </c>
      <c r="K54">
        <f t="shared" si="0"/>
        <v>999</v>
      </c>
      <c r="L54">
        <v>660</v>
      </c>
      <c r="M54">
        <v>294</v>
      </c>
      <c r="N54">
        <v>39</v>
      </c>
      <c r="O54">
        <v>5</v>
      </c>
      <c r="P54">
        <v>1</v>
      </c>
      <c r="Q54">
        <f t="shared" si="1"/>
        <v>66.066066066066071</v>
      </c>
      <c r="R54">
        <f t="shared" si="2"/>
        <v>33.333333333333329</v>
      </c>
      <c r="S54">
        <f t="shared" si="3"/>
        <v>0.60060060060060061</v>
      </c>
      <c r="T54">
        <f t="shared" si="4"/>
        <v>-5.7800867759685346</v>
      </c>
      <c r="U54">
        <f t="shared" si="5"/>
        <v>3.0884473935944754E-3</v>
      </c>
      <c r="V54" t="e">
        <f>((L54/K54)*#REF!+(M54/K54)*#REF!+(N54/K54)*#REF!+(O54/K54)*#REF!+(P54/K54)*#REF!)/5/1000</f>
        <v>#REF!</v>
      </c>
      <c r="W54">
        <v>5.3</v>
      </c>
      <c r="X54" t="s">
        <v>20</v>
      </c>
      <c r="Z54">
        <v>1.78</v>
      </c>
      <c r="AA54">
        <v>0.39400000000000002</v>
      </c>
      <c r="AB54">
        <v>0.16900000000000001</v>
      </c>
      <c r="AC54">
        <v>16.02</v>
      </c>
      <c r="AD54">
        <v>2.09</v>
      </c>
      <c r="AE54">
        <v>145</v>
      </c>
      <c r="AF54">
        <v>0.17</v>
      </c>
    </row>
    <row r="55" spans="1:32" x14ac:dyDescent="0.15">
      <c r="A55" t="s">
        <v>40</v>
      </c>
      <c r="B55" t="s">
        <v>63</v>
      </c>
      <c r="C55" t="s">
        <v>131</v>
      </c>
      <c r="D55" t="s">
        <v>91</v>
      </c>
      <c r="E55" t="s">
        <v>346</v>
      </c>
      <c r="F55" t="s">
        <v>40</v>
      </c>
      <c r="G55" t="s">
        <v>177</v>
      </c>
      <c r="H55">
        <v>0</v>
      </c>
      <c r="I55">
        <v>0</v>
      </c>
      <c r="J55">
        <v>1000</v>
      </c>
      <c r="K55">
        <f t="shared" si="0"/>
        <v>999</v>
      </c>
      <c r="L55">
        <v>630</v>
      </c>
      <c r="M55">
        <v>263</v>
      </c>
      <c r="N55">
        <v>74</v>
      </c>
      <c r="O55">
        <v>30</v>
      </c>
      <c r="P55">
        <v>2</v>
      </c>
      <c r="Q55">
        <f t="shared" si="1"/>
        <v>63.063063063063062</v>
      </c>
      <c r="R55">
        <f t="shared" si="2"/>
        <v>33.733733733733736</v>
      </c>
      <c r="S55">
        <f t="shared" si="3"/>
        <v>3.203203203203203</v>
      </c>
      <c r="T55">
        <f t="shared" si="4"/>
        <v>-5.5866172751347305</v>
      </c>
      <c r="U55">
        <f t="shared" si="5"/>
        <v>3.7476838300744917E-3</v>
      </c>
      <c r="V55" t="e">
        <f>((L55/K55)*#REF!+(M55/K55)*#REF!+(N55/K55)*#REF!+(O55/K55)*#REF!+(P55/K55)*#REF!)/5/1000</f>
        <v>#REF!</v>
      </c>
      <c r="W55">
        <v>5.7</v>
      </c>
      <c r="X55" t="s">
        <v>20</v>
      </c>
      <c r="Z55">
        <v>3</v>
      </c>
      <c r="AA55">
        <v>0.44400000000000001</v>
      </c>
      <c r="AB55">
        <v>0.26100000000000001</v>
      </c>
      <c r="AC55">
        <v>39.25</v>
      </c>
      <c r="AD55">
        <v>4.04</v>
      </c>
      <c r="AE55">
        <v>143</v>
      </c>
      <c r="AF55">
        <v>0.35</v>
      </c>
    </row>
    <row r="56" spans="1:32" x14ac:dyDescent="0.15">
      <c r="A56" t="s">
        <v>40</v>
      </c>
      <c r="B56" t="s">
        <v>63</v>
      </c>
      <c r="C56" t="s">
        <v>131</v>
      </c>
      <c r="D56" t="s">
        <v>91</v>
      </c>
      <c r="E56" t="s">
        <v>346</v>
      </c>
      <c r="F56" t="s">
        <v>40</v>
      </c>
      <c r="G56" t="s">
        <v>175</v>
      </c>
      <c r="H56">
        <v>0</v>
      </c>
      <c r="I56">
        <v>0</v>
      </c>
      <c r="J56">
        <v>1000</v>
      </c>
      <c r="K56">
        <f t="shared" si="0"/>
        <v>999</v>
      </c>
      <c r="L56">
        <v>627</v>
      </c>
      <c r="M56">
        <v>279</v>
      </c>
      <c r="N56">
        <v>67</v>
      </c>
      <c r="O56">
        <v>24</v>
      </c>
      <c r="P56">
        <v>2</v>
      </c>
      <c r="Q56">
        <f t="shared" si="1"/>
        <v>62.762762762762762</v>
      </c>
      <c r="R56">
        <f t="shared" si="2"/>
        <v>34.634634634634637</v>
      </c>
      <c r="S56">
        <f t="shared" si="3"/>
        <v>2.6026026026026026</v>
      </c>
      <c r="T56">
        <f t="shared" si="4"/>
        <v>-5.5989013777445811</v>
      </c>
      <c r="U56">
        <f t="shared" si="5"/>
        <v>3.7019285042836957E-3</v>
      </c>
      <c r="V56" t="e">
        <f>((L56/K56)*#REF!+(M56/K56)*#REF!+(N56/K56)*#REF!+(O56/K56)*#REF!+(P56/K56)*#REF!)/5/1000</f>
        <v>#REF!</v>
      </c>
      <c r="W56">
        <v>5.6</v>
      </c>
      <c r="X56" t="s">
        <v>20</v>
      </c>
      <c r="Z56">
        <v>2.99</v>
      </c>
      <c r="AA56">
        <v>0.46200000000000002</v>
      </c>
      <c r="AB56">
        <v>0.13800000000000001</v>
      </c>
      <c r="AC56">
        <v>31.15</v>
      </c>
      <c r="AD56">
        <v>3.36</v>
      </c>
      <c r="AE56">
        <v>139</v>
      </c>
      <c r="AF56">
        <v>0.26</v>
      </c>
    </row>
    <row r="57" spans="1:32" x14ac:dyDescent="0.15">
      <c r="A57" t="s">
        <v>40</v>
      </c>
      <c r="B57" t="s">
        <v>63</v>
      </c>
      <c r="C57" t="s">
        <v>131</v>
      </c>
      <c r="D57" t="s">
        <v>91</v>
      </c>
      <c r="E57" t="s">
        <v>346</v>
      </c>
      <c r="F57" t="s">
        <v>40</v>
      </c>
      <c r="G57" t="s">
        <v>21</v>
      </c>
      <c r="H57">
        <v>0</v>
      </c>
      <c r="I57">
        <v>0</v>
      </c>
      <c r="J57">
        <v>1000</v>
      </c>
      <c r="K57">
        <f t="shared" si="0"/>
        <v>999</v>
      </c>
      <c r="L57">
        <v>635</v>
      </c>
      <c r="M57">
        <v>307</v>
      </c>
      <c r="N57">
        <v>52</v>
      </c>
      <c r="O57">
        <v>4</v>
      </c>
      <c r="P57">
        <v>1</v>
      </c>
      <c r="Q57">
        <f t="shared" si="1"/>
        <v>63.563563563563562</v>
      </c>
      <c r="R57">
        <f t="shared" si="2"/>
        <v>35.935935935935937</v>
      </c>
      <c r="S57">
        <f t="shared" si="3"/>
        <v>0.50050050050050054</v>
      </c>
      <c r="T57">
        <f t="shared" si="4"/>
        <v>-5.7022308579535332</v>
      </c>
      <c r="U57">
        <f t="shared" si="5"/>
        <v>3.3385094036089843E-3</v>
      </c>
      <c r="V57" t="e">
        <f>((L57/K57)*#REF!+(M57/K57)*#REF!+(N57/K57)*#REF!+(O57/K57)*#REF!+(P57/K57)*#REF!)/5/1000</f>
        <v>#REF!</v>
      </c>
      <c r="W57">
        <v>5.8</v>
      </c>
      <c r="X57" t="s">
        <v>20</v>
      </c>
      <c r="Z57">
        <v>2.2000000000000002</v>
      </c>
      <c r="AA57">
        <v>0.49399999999999999</v>
      </c>
      <c r="AB57">
        <v>0.17799999999999999</v>
      </c>
      <c r="AC57">
        <v>18.84</v>
      </c>
      <c r="AD57">
        <v>2.41</v>
      </c>
      <c r="AE57">
        <v>143</v>
      </c>
      <c r="AF57">
        <v>0.24</v>
      </c>
    </row>
    <row r="58" spans="1:32" x14ac:dyDescent="0.15">
      <c r="A58" t="s">
        <v>41</v>
      </c>
      <c r="B58" t="s">
        <v>64</v>
      </c>
      <c r="C58" t="s">
        <v>131</v>
      </c>
      <c r="D58" t="s">
        <v>91</v>
      </c>
      <c r="E58" t="s">
        <v>346</v>
      </c>
      <c r="F58" t="s">
        <v>41</v>
      </c>
      <c r="G58" t="s">
        <v>177</v>
      </c>
      <c r="H58">
        <v>0</v>
      </c>
      <c r="I58">
        <v>0</v>
      </c>
      <c r="J58">
        <v>1000</v>
      </c>
      <c r="K58">
        <f t="shared" si="0"/>
        <v>999</v>
      </c>
      <c r="L58">
        <v>600</v>
      </c>
      <c r="M58">
        <v>269</v>
      </c>
      <c r="N58">
        <v>75</v>
      </c>
      <c r="O58">
        <v>53</v>
      </c>
      <c r="P58">
        <v>2</v>
      </c>
      <c r="Q58">
        <f t="shared" si="1"/>
        <v>60.06006006006006</v>
      </c>
      <c r="R58">
        <f t="shared" si="2"/>
        <v>34.434434434434436</v>
      </c>
      <c r="S58">
        <f t="shared" si="3"/>
        <v>5.5055055055055053</v>
      </c>
      <c r="T58">
        <f t="shared" si="4"/>
        <v>-5.4041818624497271</v>
      </c>
      <c r="U58">
        <f t="shared" si="5"/>
        <v>4.4977326602978112E-3</v>
      </c>
      <c r="V58" t="e">
        <f>((L58/K58)*#REF!+(M58/K58)*#REF!+(N58/K58)*#REF!+(O58/K58)*#REF!+(P58/K58)*#REF!)/5/1000</f>
        <v>#REF!</v>
      </c>
      <c r="W58">
        <v>6</v>
      </c>
      <c r="X58" t="s">
        <v>20</v>
      </c>
      <c r="Z58">
        <v>3.49</v>
      </c>
      <c r="AA58">
        <v>0.36699999999999999</v>
      </c>
      <c r="AB58">
        <v>0.26300000000000001</v>
      </c>
      <c r="AC58">
        <v>35.86</v>
      </c>
      <c r="AD58">
        <v>3.87</v>
      </c>
      <c r="AE58">
        <v>149</v>
      </c>
      <c r="AF58">
        <v>0.42</v>
      </c>
    </row>
    <row r="59" spans="1:32" x14ac:dyDescent="0.15">
      <c r="A59" t="s">
        <v>41</v>
      </c>
      <c r="B59" t="s">
        <v>64</v>
      </c>
      <c r="C59" t="s">
        <v>131</v>
      </c>
      <c r="D59" t="s">
        <v>91</v>
      </c>
      <c r="E59" t="s">
        <v>346</v>
      </c>
      <c r="F59" t="s">
        <v>41</v>
      </c>
      <c r="G59" t="s">
        <v>175</v>
      </c>
      <c r="H59">
        <v>0</v>
      </c>
      <c r="I59">
        <v>0</v>
      </c>
      <c r="J59">
        <v>1000</v>
      </c>
      <c r="K59">
        <f t="shared" si="0"/>
        <v>999</v>
      </c>
      <c r="L59">
        <v>612</v>
      </c>
      <c r="M59">
        <v>274</v>
      </c>
      <c r="N59">
        <v>67</v>
      </c>
      <c r="O59">
        <v>44</v>
      </c>
      <c r="P59">
        <v>2</v>
      </c>
      <c r="Q59">
        <f t="shared" si="1"/>
        <v>61.261261261261254</v>
      </c>
      <c r="R59">
        <f t="shared" si="2"/>
        <v>34.134134134134136</v>
      </c>
      <c r="S59">
        <f t="shared" si="3"/>
        <v>4.6046046046046047</v>
      </c>
      <c r="T59">
        <f t="shared" si="4"/>
        <v>-5.4764204216471404</v>
      </c>
      <c r="U59">
        <f t="shared" si="5"/>
        <v>4.184280883742654E-3</v>
      </c>
      <c r="V59" t="e">
        <f>((L59/K59)*#REF!+(M59/K59)*#REF!+(N59/K59)*#REF!+(O59/K59)*#REF!+(P59/K59)*#REF!)/5/1000</f>
        <v>#REF!</v>
      </c>
      <c r="W59">
        <v>5.9</v>
      </c>
      <c r="X59" t="s">
        <v>20</v>
      </c>
      <c r="Z59">
        <v>3.86</v>
      </c>
      <c r="AA59">
        <v>0.33400000000000002</v>
      </c>
      <c r="AB59">
        <v>0.14799999999999999</v>
      </c>
      <c r="AC59">
        <v>32.32</v>
      </c>
      <c r="AD59">
        <v>3.51</v>
      </c>
      <c r="AE59">
        <v>151</v>
      </c>
      <c r="AF59">
        <v>0.48</v>
      </c>
    </row>
    <row r="60" spans="1:32" x14ac:dyDescent="0.15">
      <c r="A60" t="s">
        <v>41</v>
      </c>
      <c r="B60" t="s">
        <v>64</v>
      </c>
      <c r="C60" t="s">
        <v>131</v>
      </c>
      <c r="D60" t="s">
        <v>91</v>
      </c>
      <c r="E60" t="s">
        <v>346</v>
      </c>
      <c r="F60" t="s">
        <v>41</v>
      </c>
      <c r="G60" t="s">
        <v>21</v>
      </c>
      <c r="H60">
        <v>0</v>
      </c>
      <c r="I60">
        <v>6</v>
      </c>
      <c r="J60">
        <v>994</v>
      </c>
      <c r="K60">
        <f t="shared" si="0"/>
        <v>999</v>
      </c>
      <c r="L60">
        <v>521</v>
      </c>
      <c r="M60">
        <v>257</v>
      </c>
      <c r="N60">
        <v>154</v>
      </c>
      <c r="O60">
        <v>65</v>
      </c>
      <c r="P60">
        <v>2</v>
      </c>
      <c r="Q60">
        <f t="shared" si="1"/>
        <v>52.152152152152155</v>
      </c>
      <c r="R60">
        <f t="shared" si="2"/>
        <v>41.141141141141141</v>
      </c>
      <c r="S60">
        <f t="shared" si="3"/>
        <v>6.706706706706707</v>
      </c>
      <c r="T60">
        <f t="shared" si="4"/>
        <v>-5.102398236077045</v>
      </c>
      <c r="U60">
        <f t="shared" si="5"/>
        <v>6.0821426467715951E-3</v>
      </c>
      <c r="V60" t="e">
        <f>((L60/K60)*#REF!+(M60/K60)*#REF!+(N60/K60)*#REF!+(O60/K60)*#REF!+(P60/K60)*#REF!)/5/1000</f>
        <v>#REF!</v>
      </c>
      <c r="W60">
        <v>6.4</v>
      </c>
      <c r="X60" t="s">
        <v>20</v>
      </c>
      <c r="Z60">
        <v>2.75</v>
      </c>
      <c r="AA60">
        <v>0.32300000000000001</v>
      </c>
      <c r="AB60">
        <v>0.12</v>
      </c>
      <c r="AC60">
        <v>14.1</v>
      </c>
      <c r="AD60">
        <v>1.79</v>
      </c>
      <c r="AE60">
        <v>128</v>
      </c>
      <c r="AF60">
        <v>0.18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topLeftCell="H1" workbookViewId="0">
      <selection activeCell="AH25" sqref="AH25"/>
    </sheetView>
  </sheetViews>
  <sheetFormatPr defaultRowHeight="10.5" x14ac:dyDescent="0.15"/>
  <cols>
    <col min="5" max="5" width="14.33203125" bestFit="1" customWidth="1" collapsed="1"/>
    <col min="34" max="34" width="9.33203125" collapsed="1"/>
    <col min="35" max="35" width="22.5" bestFit="1" customWidth="1" collapsed="1"/>
  </cols>
  <sheetData>
    <row r="1" spans="1:35" x14ac:dyDescent="0.15">
      <c r="A1" t="s">
        <v>521</v>
      </c>
      <c r="B1" t="s">
        <v>522</v>
      </c>
      <c r="C1" t="s">
        <v>65</v>
      </c>
      <c r="D1" t="s">
        <v>435</v>
      </c>
      <c r="E1" t="s">
        <v>410</v>
      </c>
      <c r="F1" t="s">
        <v>0</v>
      </c>
      <c r="G1" t="s">
        <v>517</v>
      </c>
      <c r="H1" t="s">
        <v>518</v>
      </c>
      <c r="I1" t="s">
        <v>2</v>
      </c>
      <c r="J1" t="s">
        <v>1</v>
      </c>
      <c r="K1" t="s">
        <v>3</v>
      </c>
      <c r="L1" t="s">
        <v>523</v>
      </c>
      <c r="M1" t="s">
        <v>4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104</v>
      </c>
      <c r="V1" t="s">
        <v>105</v>
      </c>
      <c r="W1" t="s">
        <v>109</v>
      </c>
      <c r="X1" t="s">
        <v>9</v>
      </c>
      <c r="Y1" t="s">
        <v>10</v>
      </c>
      <c r="Z1" t="s">
        <v>531</v>
      </c>
      <c r="AA1" t="s">
        <v>12</v>
      </c>
      <c r="AB1" t="s">
        <v>13</v>
      </c>
      <c r="AC1" t="s">
        <v>14</v>
      </c>
      <c r="AD1" t="s">
        <v>536</v>
      </c>
      <c r="AE1" t="s">
        <v>532</v>
      </c>
      <c r="AF1" t="s">
        <v>17</v>
      </c>
      <c r="AG1" t="s">
        <v>18</v>
      </c>
      <c r="AH1" t="s">
        <v>533</v>
      </c>
      <c r="AI1" t="s">
        <v>519</v>
      </c>
    </row>
    <row r="2" spans="1:35" x14ac:dyDescent="0.15">
      <c r="A2" t="s">
        <v>66</v>
      </c>
      <c r="B2" t="s">
        <v>179</v>
      </c>
      <c r="C2" t="s">
        <v>95</v>
      </c>
      <c r="D2" t="s">
        <v>111</v>
      </c>
      <c r="E2" t="s">
        <v>399</v>
      </c>
      <c r="F2" t="s">
        <v>177</v>
      </c>
      <c r="G2">
        <v>3.75</v>
      </c>
      <c r="H2">
        <v>7.5</v>
      </c>
      <c r="I2">
        <v>22</v>
      </c>
      <c r="J2">
        <v>45</v>
      </c>
      <c r="K2">
        <v>933</v>
      </c>
      <c r="L2">
        <v>999</v>
      </c>
      <c r="M2">
        <v>69</v>
      </c>
      <c r="N2">
        <v>66</v>
      </c>
      <c r="O2">
        <v>56</v>
      </c>
      <c r="P2">
        <v>279</v>
      </c>
      <c r="Q2">
        <v>529</v>
      </c>
      <c r="R2">
        <v>6.9069069069069062</v>
      </c>
      <c r="S2">
        <v>12.212212212212211</v>
      </c>
      <c r="T2">
        <v>80.880880880880881</v>
      </c>
      <c r="U2">
        <v>-0.90284469436831549</v>
      </c>
      <c r="V2">
        <v>0.40541473679943085</v>
      </c>
      <c r="W2" t="s">
        <v>534</v>
      </c>
      <c r="X2">
        <v>5.5</v>
      </c>
      <c r="Y2" t="s">
        <v>20</v>
      </c>
      <c r="Z2">
        <v>0.108</v>
      </c>
      <c r="AA2">
        <v>0.98</v>
      </c>
      <c r="AB2">
        <v>2.3E-2</v>
      </c>
      <c r="AC2">
        <v>6.4000000000000001E-2</v>
      </c>
      <c r="AD2">
        <v>1.258</v>
      </c>
      <c r="AE2">
        <v>1.1399999999999999</v>
      </c>
      <c r="AF2">
        <v>42.8</v>
      </c>
      <c r="AG2">
        <v>0.23</v>
      </c>
      <c r="AH2" s="141">
        <f>AH3-((AH3-AH4)/(G3-G4))*3.5</f>
        <v>1.309134377028101</v>
      </c>
      <c r="AI2">
        <f>AH2*H2*AD2</f>
        <v>12.351682847260133</v>
      </c>
    </row>
    <row r="3" spans="1:35" x14ac:dyDescent="0.15">
      <c r="A3" t="s">
        <v>66</v>
      </c>
      <c r="B3" t="s">
        <v>179</v>
      </c>
      <c r="C3" t="s">
        <v>95</v>
      </c>
      <c r="D3" t="s">
        <v>111</v>
      </c>
      <c r="E3" t="s">
        <v>399</v>
      </c>
      <c r="F3" t="s">
        <v>175</v>
      </c>
      <c r="G3">
        <v>16.25</v>
      </c>
      <c r="H3">
        <v>17.5</v>
      </c>
      <c r="I3">
        <v>26</v>
      </c>
      <c r="J3">
        <v>58</v>
      </c>
      <c r="K3">
        <v>916</v>
      </c>
      <c r="L3">
        <v>999</v>
      </c>
      <c r="M3">
        <v>58</v>
      </c>
      <c r="N3">
        <v>68</v>
      </c>
      <c r="O3">
        <v>44</v>
      </c>
      <c r="P3">
        <v>269</v>
      </c>
      <c r="Q3">
        <v>560</v>
      </c>
      <c r="R3">
        <v>5.8058058058058064</v>
      </c>
      <c r="S3">
        <v>11.211211211211211</v>
      </c>
      <c r="T3">
        <v>82.982982982982975</v>
      </c>
      <c r="U3">
        <v>-0.78973114047161119</v>
      </c>
      <c r="V3">
        <v>0.45396683218463402</v>
      </c>
      <c r="W3" t="s">
        <v>534</v>
      </c>
      <c r="X3">
        <v>5.6</v>
      </c>
      <c r="Y3" t="s">
        <v>20</v>
      </c>
      <c r="Z3">
        <v>0.11700000000000001</v>
      </c>
      <c r="AA3">
        <v>0.53</v>
      </c>
      <c r="AB3">
        <v>0.22</v>
      </c>
      <c r="AC3">
        <v>8.3000000000000004E-2</v>
      </c>
      <c r="AD3">
        <v>1.083</v>
      </c>
      <c r="AE3">
        <v>1.01</v>
      </c>
      <c r="AF3">
        <v>41.6</v>
      </c>
      <c r="AG3">
        <v>0.22</v>
      </c>
      <c r="AH3">
        <v>1.3397914743951849</v>
      </c>
      <c r="AI3">
        <f t="shared" ref="AI3:AI66" si="0">AH3*H3*AD3</f>
        <v>25.392397918474739</v>
      </c>
    </row>
    <row r="4" spans="1:35" x14ac:dyDescent="0.15">
      <c r="A4" t="s">
        <v>66</v>
      </c>
      <c r="B4" t="s">
        <v>179</v>
      </c>
      <c r="C4" t="s">
        <v>95</v>
      </c>
      <c r="D4" t="s">
        <v>111</v>
      </c>
      <c r="E4" t="s">
        <v>399</v>
      </c>
      <c r="F4" t="s">
        <v>21</v>
      </c>
      <c r="G4">
        <v>52.5</v>
      </c>
      <c r="H4">
        <v>15</v>
      </c>
      <c r="I4">
        <v>33</v>
      </c>
      <c r="J4">
        <v>56</v>
      </c>
      <c r="K4">
        <v>910</v>
      </c>
      <c r="L4">
        <v>999</v>
      </c>
      <c r="M4">
        <v>68</v>
      </c>
      <c r="N4">
        <v>105</v>
      </c>
      <c r="O4">
        <v>74</v>
      </c>
      <c r="P4">
        <v>218</v>
      </c>
      <c r="Q4">
        <v>534</v>
      </c>
      <c r="R4">
        <v>6.8068068068068071</v>
      </c>
      <c r="S4">
        <v>17.917917917917915</v>
      </c>
      <c r="T4">
        <v>75.275275275275277</v>
      </c>
      <c r="U4">
        <v>-1.1055529819167</v>
      </c>
      <c r="V4">
        <v>0.33102777924447607</v>
      </c>
      <c r="W4" t="s">
        <v>534</v>
      </c>
      <c r="X4">
        <v>6.6</v>
      </c>
      <c r="Y4" t="s">
        <v>20</v>
      </c>
      <c r="Z4">
        <v>2.4E-2</v>
      </c>
      <c r="AA4">
        <v>0.52</v>
      </c>
      <c r="AB4">
        <v>1.4E-2</v>
      </c>
      <c r="AC4">
        <v>6.8000000000000005E-2</v>
      </c>
      <c r="AD4">
        <v>0.29199999999999998</v>
      </c>
      <c r="AE4">
        <v>0.28999999999999998</v>
      </c>
      <c r="AF4">
        <v>37.5</v>
      </c>
      <c r="AG4">
        <v>0.13</v>
      </c>
      <c r="AH4" s="139">
        <f>-0.0042*R4+1.6859</f>
        <v>1.6573114114114114</v>
      </c>
      <c r="AI4">
        <f t="shared" si="0"/>
        <v>7.259023981981982</v>
      </c>
    </row>
    <row r="5" spans="1:35" x14ac:dyDescent="0.15">
      <c r="A5" t="s">
        <v>67</v>
      </c>
      <c r="B5" t="s">
        <v>179</v>
      </c>
      <c r="C5" t="s">
        <v>94</v>
      </c>
      <c r="D5" t="s">
        <v>111</v>
      </c>
      <c r="E5" t="s">
        <v>399</v>
      </c>
      <c r="F5" t="s">
        <v>177</v>
      </c>
      <c r="G5">
        <v>3.75</v>
      </c>
      <c r="H5">
        <v>7.5</v>
      </c>
      <c r="I5">
        <v>6</v>
      </c>
      <c r="J5">
        <v>37</v>
      </c>
      <c r="K5">
        <v>957</v>
      </c>
      <c r="L5">
        <v>999</v>
      </c>
      <c r="M5">
        <v>113</v>
      </c>
      <c r="N5">
        <v>134</v>
      </c>
      <c r="O5">
        <v>105</v>
      </c>
      <c r="P5">
        <v>294</v>
      </c>
      <c r="Q5">
        <v>353</v>
      </c>
      <c r="R5">
        <v>11.311311311311311</v>
      </c>
      <c r="S5">
        <v>23.923923923923923</v>
      </c>
      <c r="T5">
        <v>64.764764764764763</v>
      </c>
      <c r="U5">
        <v>-1.6385071724410489</v>
      </c>
      <c r="V5">
        <v>0.19426983729707792</v>
      </c>
      <c r="W5" t="s">
        <v>534</v>
      </c>
      <c r="X5">
        <v>6.7</v>
      </c>
      <c r="Y5" t="s">
        <v>20</v>
      </c>
      <c r="Z5">
        <v>7.0999999999999994E-2</v>
      </c>
      <c r="AA5">
        <v>1.55</v>
      </c>
      <c r="AB5">
        <v>4.9000000000000002E-2</v>
      </c>
      <c r="AC5">
        <v>0.107</v>
      </c>
      <c r="AD5">
        <v>1.8340000000000001</v>
      </c>
      <c r="AE5">
        <v>1.7</v>
      </c>
      <c r="AF5">
        <v>56.3</v>
      </c>
      <c r="AG5">
        <v>0.28999999999999998</v>
      </c>
      <c r="AH5" s="141">
        <f>AH6-((AH6-AH7)/(G6-G7))*3.5</f>
        <v>1.2872054229979277</v>
      </c>
      <c r="AI5">
        <f t="shared" si="0"/>
        <v>17.705510593336495</v>
      </c>
    </row>
    <row r="6" spans="1:35" x14ac:dyDescent="0.15">
      <c r="A6" t="s">
        <v>67</v>
      </c>
      <c r="B6" t="s">
        <v>179</v>
      </c>
      <c r="C6" t="s">
        <v>94</v>
      </c>
      <c r="D6" t="s">
        <v>111</v>
      </c>
      <c r="E6" t="s">
        <v>399</v>
      </c>
      <c r="F6" t="s">
        <v>175</v>
      </c>
      <c r="G6">
        <v>16.25</v>
      </c>
      <c r="H6">
        <v>17.5</v>
      </c>
      <c r="I6">
        <v>5</v>
      </c>
      <c r="J6">
        <v>64</v>
      </c>
      <c r="K6">
        <v>931</v>
      </c>
      <c r="L6">
        <v>999</v>
      </c>
      <c r="M6">
        <v>120</v>
      </c>
      <c r="N6">
        <v>122</v>
      </c>
      <c r="O6">
        <v>94</v>
      </c>
      <c r="P6">
        <v>278</v>
      </c>
      <c r="Q6">
        <v>385</v>
      </c>
      <c r="R6">
        <v>12.012012012012011</v>
      </c>
      <c r="S6">
        <v>21.621621621621621</v>
      </c>
      <c r="T6">
        <v>66.366366366366364</v>
      </c>
      <c r="U6">
        <v>-1.6024882075855271</v>
      </c>
      <c r="V6">
        <v>0.20139478201758296</v>
      </c>
      <c r="W6" t="s">
        <v>534</v>
      </c>
      <c r="X6">
        <v>6.9</v>
      </c>
      <c r="Y6" t="s">
        <v>20</v>
      </c>
      <c r="Z6">
        <v>7.8E-2</v>
      </c>
      <c r="AA6">
        <v>1.71</v>
      </c>
      <c r="AB6">
        <v>4.4999999999999998E-2</v>
      </c>
      <c r="AC6">
        <v>0.127</v>
      </c>
      <c r="AD6">
        <v>1.8379999999999999</v>
      </c>
      <c r="AE6">
        <v>1.68</v>
      </c>
      <c r="AF6">
        <v>59.4</v>
      </c>
      <c r="AG6">
        <v>0.31</v>
      </c>
      <c r="AH6">
        <v>1.3159805021900191</v>
      </c>
      <c r="AI6">
        <f t="shared" si="0"/>
        <v>42.328512852941962</v>
      </c>
    </row>
    <row r="7" spans="1:35" x14ac:dyDescent="0.15">
      <c r="A7" t="s">
        <v>67</v>
      </c>
      <c r="B7" t="s">
        <v>179</v>
      </c>
      <c r="C7" t="s">
        <v>94</v>
      </c>
      <c r="D7" t="s">
        <v>111</v>
      </c>
      <c r="E7" t="s">
        <v>399</v>
      </c>
      <c r="F7" t="s">
        <v>21</v>
      </c>
      <c r="G7">
        <v>52.5</v>
      </c>
      <c r="H7">
        <v>15</v>
      </c>
      <c r="I7">
        <v>17</v>
      </c>
      <c r="J7">
        <v>16</v>
      </c>
      <c r="K7">
        <v>966</v>
      </c>
      <c r="L7">
        <v>999</v>
      </c>
      <c r="M7">
        <v>171</v>
      </c>
      <c r="N7">
        <v>137</v>
      </c>
      <c r="O7">
        <v>156</v>
      </c>
      <c r="P7">
        <v>286</v>
      </c>
      <c r="Q7">
        <v>249</v>
      </c>
      <c r="R7">
        <v>17.117117117117118</v>
      </c>
      <c r="S7">
        <v>29.32932932932933</v>
      </c>
      <c r="T7">
        <v>53.553553553553556</v>
      </c>
      <c r="U7">
        <v>-2.2396052212928614</v>
      </c>
      <c r="V7">
        <v>0.10650054022685841</v>
      </c>
      <c r="W7" t="s">
        <v>534</v>
      </c>
      <c r="X7">
        <v>7.6</v>
      </c>
      <c r="Y7" t="s">
        <v>20</v>
      </c>
      <c r="Z7">
        <v>0.01</v>
      </c>
      <c r="AA7">
        <v>2.14</v>
      </c>
      <c r="AB7">
        <v>9.1999999999999998E-2</v>
      </c>
      <c r="AC7">
        <v>0.107</v>
      </c>
      <c r="AD7">
        <v>0.19400000000000001</v>
      </c>
      <c r="AE7">
        <v>0.28999999999999998</v>
      </c>
      <c r="AF7">
        <v>50.5</v>
      </c>
      <c r="AG7">
        <v>0.16</v>
      </c>
      <c r="AH7" s="139">
        <f>-0.0042*R7+1.6859</f>
        <v>1.6140081081081081</v>
      </c>
      <c r="AI7">
        <f t="shared" si="0"/>
        <v>4.6967635945945947</v>
      </c>
    </row>
    <row r="8" spans="1:35" x14ac:dyDescent="0.15">
      <c r="A8" t="s">
        <v>68</v>
      </c>
      <c r="B8" t="s">
        <v>179</v>
      </c>
      <c r="C8" t="s">
        <v>93</v>
      </c>
      <c r="D8" t="s">
        <v>407</v>
      </c>
      <c r="F8" t="s">
        <v>177</v>
      </c>
      <c r="G8">
        <v>3.75</v>
      </c>
      <c r="H8">
        <v>7.5</v>
      </c>
      <c r="I8">
        <v>7</v>
      </c>
      <c r="J8">
        <v>64</v>
      </c>
      <c r="K8">
        <v>929</v>
      </c>
      <c r="L8">
        <v>999</v>
      </c>
      <c r="M8">
        <v>121</v>
      </c>
      <c r="N8">
        <v>135</v>
      </c>
      <c r="O8">
        <v>82</v>
      </c>
      <c r="P8">
        <v>227</v>
      </c>
      <c r="Q8">
        <v>434</v>
      </c>
      <c r="R8">
        <v>12.112112112112113</v>
      </c>
      <c r="S8">
        <v>21.721721721721721</v>
      </c>
      <c r="T8">
        <v>66.166166166166164</v>
      </c>
      <c r="U8">
        <v>-1.6131056242473127</v>
      </c>
      <c r="V8">
        <v>0.19926780120524348</v>
      </c>
      <c r="W8" t="s">
        <v>534</v>
      </c>
      <c r="X8">
        <v>6.9</v>
      </c>
      <c r="Y8" t="s">
        <v>20</v>
      </c>
      <c r="Z8">
        <v>9.9000000000000005E-2</v>
      </c>
      <c r="AA8">
        <v>1.51</v>
      </c>
      <c r="AB8">
        <v>4.3999999999999997E-2</v>
      </c>
      <c r="AC8">
        <v>0.21299999999999999</v>
      </c>
      <c r="AD8">
        <v>1.6659999999999999</v>
      </c>
      <c r="AE8">
        <v>1.53</v>
      </c>
      <c r="AF8">
        <v>54.5</v>
      </c>
      <c r="AG8">
        <v>0.28999999999999998</v>
      </c>
      <c r="AH8" s="141">
        <f>AH9-((AH9-AH10)/(G9-G10))*3.5</f>
        <v>1.2916247981865816</v>
      </c>
      <c r="AI8">
        <f t="shared" si="0"/>
        <v>16.138851853341336</v>
      </c>
    </row>
    <row r="9" spans="1:35" x14ac:dyDescent="0.15">
      <c r="A9" t="s">
        <v>68</v>
      </c>
      <c r="B9" t="s">
        <v>179</v>
      </c>
      <c r="C9" t="s">
        <v>93</v>
      </c>
      <c r="D9" t="s">
        <v>407</v>
      </c>
      <c r="F9" t="s">
        <v>175</v>
      </c>
      <c r="G9">
        <v>16.25</v>
      </c>
      <c r="H9">
        <v>17.5</v>
      </c>
      <c r="I9">
        <v>5</v>
      </c>
      <c r="J9">
        <v>28</v>
      </c>
      <c r="K9">
        <v>967</v>
      </c>
      <c r="L9">
        <v>999</v>
      </c>
      <c r="M9">
        <v>108</v>
      </c>
      <c r="N9">
        <v>125</v>
      </c>
      <c r="O9">
        <v>80</v>
      </c>
      <c r="P9">
        <v>210</v>
      </c>
      <c r="Q9">
        <v>476</v>
      </c>
      <c r="R9">
        <v>10.810810810810811</v>
      </c>
      <c r="S9">
        <v>20.52052052052052</v>
      </c>
      <c r="T9">
        <v>68.668668668668658</v>
      </c>
      <c r="U9">
        <v>-1.4787572370270374</v>
      </c>
      <c r="V9">
        <v>0.22792076393566088</v>
      </c>
      <c r="W9" t="s">
        <v>534</v>
      </c>
      <c r="X9">
        <v>6.9</v>
      </c>
      <c r="Y9" t="s">
        <v>20</v>
      </c>
      <c r="Z9">
        <v>0.108</v>
      </c>
      <c r="AA9">
        <v>1.68</v>
      </c>
      <c r="AB9">
        <v>0.04</v>
      </c>
      <c r="AC9">
        <v>0.113</v>
      </c>
      <c r="AD9">
        <v>1.351</v>
      </c>
      <c r="AE9">
        <v>1.3</v>
      </c>
      <c r="AF9">
        <v>53.1</v>
      </c>
      <c r="AG9">
        <v>0.24</v>
      </c>
      <c r="AH9">
        <v>1.3192703869990574</v>
      </c>
      <c r="AI9">
        <f t="shared" si="0"/>
        <v>31.190850124625214</v>
      </c>
    </row>
    <row r="10" spans="1:35" x14ac:dyDescent="0.15">
      <c r="A10" t="s">
        <v>68</v>
      </c>
      <c r="B10" t="s">
        <v>179</v>
      </c>
      <c r="C10" t="s">
        <v>93</v>
      </c>
      <c r="D10" t="s">
        <v>407</v>
      </c>
      <c r="F10" t="s">
        <v>21</v>
      </c>
      <c r="G10">
        <v>52.5</v>
      </c>
      <c r="H10">
        <v>15</v>
      </c>
      <c r="I10">
        <v>5</v>
      </c>
      <c r="J10">
        <v>27</v>
      </c>
      <c r="K10">
        <v>967</v>
      </c>
      <c r="L10">
        <v>999</v>
      </c>
      <c r="M10">
        <v>191</v>
      </c>
      <c r="N10">
        <v>131</v>
      </c>
      <c r="O10">
        <v>75</v>
      </c>
      <c r="P10">
        <v>179</v>
      </c>
      <c r="Q10">
        <v>423</v>
      </c>
      <c r="R10">
        <v>19.119119119119119</v>
      </c>
      <c r="S10">
        <v>20.62062062062062</v>
      </c>
      <c r="T10">
        <v>60.260260260260253</v>
      </c>
      <c r="U10">
        <v>-2.0584044105546342</v>
      </c>
      <c r="V10">
        <v>0.12765749643317317</v>
      </c>
      <c r="W10" t="s">
        <v>534</v>
      </c>
      <c r="X10">
        <v>7.4</v>
      </c>
      <c r="Y10" t="s">
        <v>20</v>
      </c>
      <c r="Z10">
        <v>1.7999999999999999E-2</v>
      </c>
      <c r="AA10">
        <v>2.67</v>
      </c>
      <c r="AB10">
        <v>7.8E-2</v>
      </c>
      <c r="AC10">
        <v>7.0999999999999994E-2</v>
      </c>
      <c r="AD10">
        <v>0.44800000000000006</v>
      </c>
      <c r="AE10">
        <v>0.52</v>
      </c>
      <c r="AF10">
        <v>60</v>
      </c>
      <c r="AG10">
        <v>0.43</v>
      </c>
      <c r="AH10" s="139">
        <f>-0.0042*R10+1.6859</f>
        <v>1.6055996996996997</v>
      </c>
      <c r="AI10">
        <f t="shared" si="0"/>
        <v>10.789629981981983</v>
      </c>
    </row>
    <row r="11" spans="1:35" x14ac:dyDescent="0.15">
      <c r="A11" t="s">
        <v>69</v>
      </c>
      <c r="B11" t="s">
        <v>194</v>
      </c>
      <c r="C11" t="s">
        <v>96</v>
      </c>
      <c r="D11" t="s">
        <v>111</v>
      </c>
      <c r="E11" t="s">
        <v>400</v>
      </c>
      <c r="F11" t="s">
        <v>177</v>
      </c>
      <c r="G11">
        <v>3.75</v>
      </c>
      <c r="H11">
        <v>7.5</v>
      </c>
      <c r="I11">
        <v>51</v>
      </c>
      <c r="J11">
        <v>17</v>
      </c>
      <c r="K11">
        <v>932</v>
      </c>
      <c r="L11">
        <v>999</v>
      </c>
      <c r="M11">
        <v>117</v>
      </c>
      <c r="N11">
        <v>137</v>
      </c>
      <c r="O11">
        <v>78</v>
      </c>
      <c r="P11">
        <v>204</v>
      </c>
      <c r="Q11">
        <v>463</v>
      </c>
      <c r="R11">
        <v>11.711711711711711</v>
      </c>
      <c r="S11">
        <v>21.521521521521521</v>
      </c>
      <c r="T11">
        <v>66.766766766766779</v>
      </c>
      <c r="U11">
        <v>-1.5779920163660393</v>
      </c>
      <c r="V11">
        <v>0.20638910835477764</v>
      </c>
      <c r="W11" t="s">
        <v>534</v>
      </c>
      <c r="X11">
        <v>5.5</v>
      </c>
      <c r="Y11" t="s">
        <v>20</v>
      </c>
      <c r="Z11">
        <v>6.4000000000000001E-2</v>
      </c>
      <c r="AA11">
        <v>0.84</v>
      </c>
      <c r="AB11">
        <v>5.2999999999999999E-2</v>
      </c>
      <c r="AC11">
        <v>0.152</v>
      </c>
      <c r="AD11">
        <v>1.7809999999999999</v>
      </c>
      <c r="AE11">
        <v>1.37</v>
      </c>
      <c r="AF11">
        <v>75.599999999999994</v>
      </c>
      <c r="AG11">
        <v>0.28999999999999998</v>
      </c>
      <c r="AH11" s="141">
        <f>AH12-((AH12-AH13)/(G12-G13))*3.5</f>
        <v>1.2697848687486615</v>
      </c>
      <c r="AI11">
        <f t="shared" si="0"/>
        <v>16.961151384310245</v>
      </c>
    </row>
    <row r="12" spans="1:35" x14ac:dyDescent="0.15">
      <c r="A12" t="s">
        <v>69</v>
      </c>
      <c r="B12" t="s">
        <v>194</v>
      </c>
      <c r="C12" t="s">
        <v>96</v>
      </c>
      <c r="D12" t="s">
        <v>111</v>
      </c>
      <c r="E12" t="s">
        <v>400</v>
      </c>
      <c r="F12" t="s">
        <v>175</v>
      </c>
      <c r="G12">
        <v>16.25</v>
      </c>
      <c r="H12">
        <v>17.5</v>
      </c>
      <c r="I12">
        <v>17</v>
      </c>
      <c r="J12">
        <v>36</v>
      </c>
      <c r="K12">
        <v>947</v>
      </c>
      <c r="L12">
        <v>999</v>
      </c>
      <c r="M12">
        <v>129</v>
      </c>
      <c r="N12">
        <v>156</v>
      </c>
      <c r="O12">
        <v>92</v>
      </c>
      <c r="P12">
        <v>208</v>
      </c>
      <c r="Q12">
        <v>414</v>
      </c>
      <c r="R12">
        <v>12.912912912912914</v>
      </c>
      <c r="S12">
        <v>24.824824824824827</v>
      </c>
      <c r="T12">
        <v>62.262262262262254</v>
      </c>
      <c r="U12">
        <v>-1.7826396333490764</v>
      </c>
      <c r="V12">
        <v>0.16819359138153769</v>
      </c>
      <c r="W12" t="s">
        <v>534</v>
      </c>
      <c r="X12">
        <v>5.6</v>
      </c>
      <c r="Y12" t="s">
        <v>20</v>
      </c>
      <c r="Z12">
        <v>6.4000000000000001E-2</v>
      </c>
      <c r="AA12">
        <v>0.97</v>
      </c>
      <c r="AB12">
        <v>5.3999999999999999E-2</v>
      </c>
      <c r="AC12">
        <v>0.13500000000000001</v>
      </c>
      <c r="AD12">
        <v>1.7329999999999999</v>
      </c>
      <c r="AE12">
        <v>1.32</v>
      </c>
      <c r="AF12">
        <v>75.900000000000006</v>
      </c>
      <c r="AG12">
        <v>0.28999999999999998</v>
      </c>
      <c r="AH12">
        <v>1.3025740492856841</v>
      </c>
      <c r="AI12">
        <f t="shared" si="0"/>
        <v>39.503814479711579</v>
      </c>
    </row>
    <row r="13" spans="1:35" x14ac:dyDescent="0.15">
      <c r="A13" t="s">
        <v>69</v>
      </c>
      <c r="B13" t="s">
        <v>194</v>
      </c>
      <c r="C13" t="s">
        <v>96</v>
      </c>
      <c r="D13" t="s">
        <v>111</v>
      </c>
      <c r="E13" t="s">
        <v>400</v>
      </c>
      <c r="F13" t="s">
        <v>21</v>
      </c>
      <c r="G13">
        <v>52.5</v>
      </c>
      <c r="H13">
        <v>15</v>
      </c>
      <c r="I13">
        <v>23</v>
      </c>
      <c r="J13">
        <v>22</v>
      </c>
      <c r="K13">
        <v>955</v>
      </c>
      <c r="L13">
        <v>999</v>
      </c>
      <c r="M13">
        <v>104</v>
      </c>
      <c r="N13">
        <v>139</v>
      </c>
      <c r="O13">
        <v>86</v>
      </c>
      <c r="P13">
        <v>218</v>
      </c>
      <c r="Q13">
        <v>452</v>
      </c>
      <c r="R13">
        <v>10.41041041041041</v>
      </c>
      <c r="S13">
        <v>22.522522522522522</v>
      </c>
      <c r="T13">
        <v>67.067067067067072</v>
      </c>
      <c r="U13">
        <v>-1.5245602755703109</v>
      </c>
      <c r="V13">
        <v>0.21771677120277527</v>
      </c>
      <c r="W13" t="s">
        <v>534</v>
      </c>
      <c r="X13">
        <v>6.6</v>
      </c>
      <c r="Y13" t="s">
        <v>20</v>
      </c>
      <c r="Z13">
        <v>2.7E-2</v>
      </c>
      <c r="AA13">
        <v>1.2</v>
      </c>
      <c r="AB13">
        <v>2.9000000000000001E-2</v>
      </c>
      <c r="AC13">
        <v>5.6000000000000001E-2</v>
      </c>
      <c r="AD13">
        <v>1.024</v>
      </c>
      <c r="AE13">
        <v>0.92</v>
      </c>
      <c r="AF13">
        <v>71.099999999999994</v>
      </c>
      <c r="AG13">
        <v>0.34</v>
      </c>
      <c r="AH13" s="139">
        <f>-0.0042*R13+1.6859</f>
        <v>1.6421762762762762</v>
      </c>
      <c r="AI13">
        <f t="shared" si="0"/>
        <v>25.223827603603603</v>
      </c>
    </row>
    <row r="14" spans="1:35" x14ac:dyDescent="0.15">
      <c r="A14" t="s">
        <v>70</v>
      </c>
      <c r="B14" t="s">
        <v>194</v>
      </c>
      <c r="C14" t="s">
        <v>97</v>
      </c>
      <c r="D14" t="s">
        <v>112</v>
      </c>
      <c r="E14" t="s">
        <v>70</v>
      </c>
      <c r="F14" t="s">
        <v>177</v>
      </c>
      <c r="G14">
        <v>3.75</v>
      </c>
      <c r="H14">
        <v>7.5</v>
      </c>
      <c r="I14">
        <v>14</v>
      </c>
      <c r="J14">
        <v>36</v>
      </c>
      <c r="K14">
        <v>951</v>
      </c>
      <c r="L14">
        <v>999</v>
      </c>
      <c r="M14">
        <v>127</v>
      </c>
      <c r="N14">
        <v>165</v>
      </c>
      <c r="O14">
        <v>113</v>
      </c>
      <c r="P14">
        <v>261</v>
      </c>
      <c r="Q14">
        <v>333</v>
      </c>
      <c r="R14">
        <v>12.712712712712712</v>
      </c>
      <c r="S14">
        <v>27.827827827827829</v>
      </c>
      <c r="T14">
        <v>59.45945945945946</v>
      </c>
      <c r="U14">
        <v>-1.8791017402793924</v>
      </c>
      <c r="V14">
        <v>0.15272723288131446</v>
      </c>
      <c r="W14" t="s">
        <v>534</v>
      </c>
      <c r="X14">
        <v>5.2</v>
      </c>
      <c r="Y14" t="s">
        <v>20</v>
      </c>
      <c r="Z14">
        <v>6.5000000000000002E-2</v>
      </c>
      <c r="AA14">
        <v>0.77</v>
      </c>
      <c r="AB14">
        <v>4.1000000000000002E-2</v>
      </c>
      <c r="AC14">
        <v>0.14099999999999999</v>
      </c>
      <c r="AD14">
        <v>1.587</v>
      </c>
      <c r="AE14">
        <v>1.39</v>
      </c>
      <c r="AF14">
        <v>61.7</v>
      </c>
      <c r="AG14">
        <v>0.31</v>
      </c>
      <c r="AH14" s="141">
        <f>AH15-((AH15-AH16)/(G15-G16))*3.5</f>
        <v>1.2718876948900588</v>
      </c>
      <c r="AI14">
        <f t="shared" si="0"/>
        <v>15.138643288428925</v>
      </c>
    </row>
    <row r="15" spans="1:35" x14ac:dyDescent="0.15">
      <c r="A15" t="s">
        <v>70</v>
      </c>
      <c r="B15" t="s">
        <v>194</v>
      </c>
      <c r="C15" t="s">
        <v>97</v>
      </c>
      <c r="D15" t="s">
        <v>112</v>
      </c>
      <c r="E15" t="s">
        <v>70</v>
      </c>
      <c r="F15" t="s">
        <v>175</v>
      </c>
      <c r="G15">
        <v>16.25</v>
      </c>
      <c r="H15">
        <v>17.5</v>
      </c>
      <c r="I15">
        <v>22</v>
      </c>
      <c r="J15">
        <v>75</v>
      </c>
      <c r="K15">
        <v>903</v>
      </c>
      <c r="L15">
        <v>999</v>
      </c>
      <c r="M15">
        <v>137</v>
      </c>
      <c r="N15">
        <v>175</v>
      </c>
      <c r="O15">
        <v>114</v>
      </c>
      <c r="P15">
        <v>232</v>
      </c>
      <c r="Q15">
        <v>341</v>
      </c>
      <c r="R15">
        <v>13.713713713713712</v>
      </c>
      <c r="S15">
        <v>28.928928928928926</v>
      </c>
      <c r="T15">
        <v>57.357357357357351</v>
      </c>
      <c r="U15">
        <v>-1.9889539362801794</v>
      </c>
      <c r="V15">
        <v>0.13683849238627008</v>
      </c>
      <c r="W15" t="s">
        <v>534</v>
      </c>
      <c r="X15">
        <v>5.3</v>
      </c>
      <c r="Y15" t="s">
        <v>20</v>
      </c>
      <c r="Z15">
        <v>5.3999999999999999E-2</v>
      </c>
      <c r="AA15">
        <v>0.81</v>
      </c>
      <c r="AB15">
        <v>3.1E-2</v>
      </c>
      <c r="AC15">
        <v>0.105</v>
      </c>
      <c r="AD15">
        <v>1.385</v>
      </c>
      <c r="AE15">
        <v>1.28</v>
      </c>
      <c r="AF15">
        <v>64.599999999999994</v>
      </c>
      <c r="AG15">
        <v>0.32</v>
      </c>
      <c r="AH15">
        <v>1.2810889798190668</v>
      </c>
      <c r="AI15">
        <f t="shared" si="0"/>
        <v>31.050394148364632</v>
      </c>
    </row>
    <row r="16" spans="1:35" x14ac:dyDescent="0.15">
      <c r="A16" t="s">
        <v>71</v>
      </c>
      <c r="B16" t="s">
        <v>194</v>
      </c>
      <c r="C16" t="s">
        <v>96</v>
      </c>
      <c r="D16" t="s">
        <v>111</v>
      </c>
      <c r="E16" t="s">
        <v>400</v>
      </c>
      <c r="F16" t="s">
        <v>177</v>
      </c>
      <c r="G16">
        <v>3.75</v>
      </c>
      <c r="H16">
        <v>7.5</v>
      </c>
      <c r="I16">
        <v>39</v>
      </c>
      <c r="J16">
        <v>49</v>
      </c>
      <c r="K16">
        <v>912</v>
      </c>
      <c r="L16">
        <v>999</v>
      </c>
      <c r="M16">
        <v>158</v>
      </c>
      <c r="N16">
        <v>166</v>
      </c>
      <c r="O16">
        <v>99</v>
      </c>
      <c r="P16">
        <v>195</v>
      </c>
      <c r="Q16">
        <v>381</v>
      </c>
      <c r="R16">
        <v>15.815815815815814</v>
      </c>
      <c r="S16">
        <v>26.526526526526528</v>
      </c>
      <c r="T16">
        <v>57.657657657657658</v>
      </c>
      <c r="U16">
        <v>-2.046408363945643</v>
      </c>
      <c r="V16">
        <v>0.12919810383440303</v>
      </c>
      <c r="W16" t="s">
        <v>534</v>
      </c>
      <c r="X16">
        <v>6.4</v>
      </c>
      <c r="Y16" t="s">
        <v>20</v>
      </c>
      <c r="Z16">
        <v>6.7000000000000004E-2</v>
      </c>
      <c r="AA16">
        <v>1.52</v>
      </c>
      <c r="AB16">
        <v>5.2999999999999999E-2</v>
      </c>
      <c r="AC16">
        <v>9.9000000000000005E-2</v>
      </c>
      <c r="AD16">
        <v>1.0939999999999999</v>
      </c>
      <c r="AE16">
        <v>1.08</v>
      </c>
      <c r="AF16">
        <v>68.400000000000006</v>
      </c>
      <c r="AG16">
        <v>0.26</v>
      </c>
      <c r="AH16" s="141">
        <f>AH17-((AH17-AH18)/(G17-G18))*3.5</f>
        <v>1.2482272479297529</v>
      </c>
      <c r="AI16">
        <f t="shared" si="0"/>
        <v>10.241704569263621</v>
      </c>
    </row>
    <row r="17" spans="1:35" x14ac:dyDescent="0.15">
      <c r="A17" t="s">
        <v>71</v>
      </c>
      <c r="B17" t="s">
        <v>194</v>
      </c>
      <c r="C17" t="s">
        <v>96</v>
      </c>
      <c r="D17" t="s">
        <v>111</v>
      </c>
      <c r="E17" t="s">
        <v>400</v>
      </c>
      <c r="F17" t="s">
        <v>175</v>
      </c>
      <c r="G17">
        <v>16.25</v>
      </c>
      <c r="H17">
        <v>17.5</v>
      </c>
      <c r="I17">
        <v>44</v>
      </c>
      <c r="J17">
        <v>48</v>
      </c>
      <c r="K17">
        <v>908</v>
      </c>
      <c r="L17">
        <v>999</v>
      </c>
      <c r="M17">
        <v>157</v>
      </c>
      <c r="N17">
        <v>172</v>
      </c>
      <c r="O17">
        <v>91</v>
      </c>
      <c r="P17">
        <v>195</v>
      </c>
      <c r="Q17">
        <v>384</v>
      </c>
      <c r="R17">
        <v>15.715715715715717</v>
      </c>
      <c r="S17">
        <v>26.326326326326328</v>
      </c>
      <c r="T17">
        <v>57.957957957957959</v>
      </c>
      <c r="U17">
        <v>-2.0321129179009239</v>
      </c>
      <c r="V17">
        <v>0.13105831293705858</v>
      </c>
      <c r="W17" t="s">
        <v>534</v>
      </c>
      <c r="X17">
        <v>6.9</v>
      </c>
      <c r="Y17" t="s">
        <v>20</v>
      </c>
      <c r="Z17">
        <v>7.5999999999999998E-2</v>
      </c>
      <c r="AA17">
        <v>1.59</v>
      </c>
      <c r="AB17">
        <v>5.7000000000000002E-2</v>
      </c>
      <c r="AC17">
        <v>0.11700000000000001</v>
      </c>
      <c r="AD17">
        <v>1.048</v>
      </c>
      <c r="AE17">
        <v>1.02</v>
      </c>
      <c r="AF17">
        <v>64.099999999999994</v>
      </c>
      <c r="AG17">
        <v>0.28000000000000003</v>
      </c>
      <c r="AH17">
        <v>1.2804397304842596</v>
      </c>
      <c r="AI17">
        <f t="shared" si="0"/>
        <v>23.483264657081321</v>
      </c>
    </row>
    <row r="18" spans="1:35" x14ac:dyDescent="0.15">
      <c r="A18" t="s">
        <v>71</v>
      </c>
      <c r="B18" t="s">
        <v>194</v>
      </c>
      <c r="C18" t="s">
        <v>96</v>
      </c>
      <c r="D18" t="s">
        <v>111</v>
      </c>
      <c r="E18" t="s">
        <v>400</v>
      </c>
      <c r="F18" t="s">
        <v>21</v>
      </c>
      <c r="G18">
        <v>52.5</v>
      </c>
      <c r="H18">
        <v>15</v>
      </c>
      <c r="I18">
        <v>38</v>
      </c>
      <c r="J18">
        <v>42</v>
      </c>
      <c r="K18">
        <v>920</v>
      </c>
      <c r="L18">
        <v>994</v>
      </c>
      <c r="M18">
        <v>170</v>
      </c>
      <c r="N18">
        <v>173</v>
      </c>
      <c r="O18">
        <v>94</v>
      </c>
      <c r="P18">
        <v>179</v>
      </c>
      <c r="Q18">
        <v>378</v>
      </c>
      <c r="R18">
        <v>17.102615694164992</v>
      </c>
      <c r="S18">
        <v>26.861167002012071</v>
      </c>
      <c r="T18">
        <v>56.03621730382293</v>
      </c>
      <c r="U18">
        <v>-2.1479109618215508</v>
      </c>
      <c r="V18">
        <v>0.11672775197647661</v>
      </c>
      <c r="W18" t="s">
        <v>534</v>
      </c>
      <c r="X18">
        <v>7.7</v>
      </c>
      <c r="Y18" t="s">
        <v>475</v>
      </c>
      <c r="Z18">
        <v>3.4000000000000002E-2</v>
      </c>
      <c r="AA18">
        <v>2.8</v>
      </c>
      <c r="AB18">
        <v>5.7000000000000002E-2</v>
      </c>
      <c r="AC18">
        <v>6.6000000000000003E-2</v>
      </c>
      <c r="AD18">
        <v>0.433</v>
      </c>
      <c r="AE18">
        <v>0.49</v>
      </c>
      <c r="AF18">
        <v>65.599999999999994</v>
      </c>
      <c r="AG18">
        <v>0.2</v>
      </c>
      <c r="AH18" s="139">
        <f>-0.0042*R18+1.6859</f>
        <v>1.6140690140845071</v>
      </c>
      <c r="AI18">
        <f t="shared" si="0"/>
        <v>10.483378246478873</v>
      </c>
    </row>
    <row r="19" spans="1:35" x14ac:dyDescent="0.15">
      <c r="A19" t="s">
        <v>72</v>
      </c>
      <c r="B19" t="s">
        <v>50</v>
      </c>
      <c r="C19" t="s">
        <v>398</v>
      </c>
      <c r="D19" t="s">
        <v>113</v>
      </c>
      <c r="E19" t="s">
        <v>72</v>
      </c>
      <c r="F19" t="s">
        <v>177</v>
      </c>
      <c r="G19">
        <v>3.75</v>
      </c>
      <c r="H19">
        <v>7.5</v>
      </c>
      <c r="I19">
        <v>0</v>
      </c>
      <c r="J19">
        <v>0</v>
      </c>
      <c r="K19">
        <v>1000</v>
      </c>
      <c r="L19">
        <v>999</v>
      </c>
      <c r="M19">
        <v>124</v>
      </c>
      <c r="N19">
        <v>172</v>
      </c>
      <c r="O19">
        <v>143</v>
      </c>
      <c r="P19">
        <v>175</v>
      </c>
      <c r="Q19">
        <v>385</v>
      </c>
      <c r="R19">
        <v>12.412412412412413</v>
      </c>
      <c r="S19">
        <v>31.531531531531531</v>
      </c>
      <c r="T19">
        <v>56.056056056056057</v>
      </c>
      <c r="U19">
        <v>-1.9943706656113949</v>
      </c>
      <c r="V19">
        <v>0.13609927917729195</v>
      </c>
      <c r="W19" t="s">
        <v>534</v>
      </c>
      <c r="X19">
        <v>5.4</v>
      </c>
      <c r="Y19" t="s">
        <v>20</v>
      </c>
      <c r="Z19">
        <v>0.114</v>
      </c>
      <c r="AA19">
        <v>1.03</v>
      </c>
      <c r="AB19">
        <v>7.2999999999999995E-2</v>
      </c>
      <c r="AC19">
        <v>5.5E-2</v>
      </c>
      <c r="AD19">
        <v>5.4459999999999997</v>
      </c>
      <c r="AE19">
        <v>2.69</v>
      </c>
      <c r="AF19">
        <v>27.2</v>
      </c>
      <c r="AG19">
        <v>0.21</v>
      </c>
      <c r="AH19" s="141">
        <f>AH20-((AH20-AH21)/(G20-G21))*3.5</f>
        <v>1.2916081550695817</v>
      </c>
      <c r="AI19">
        <f t="shared" si="0"/>
        <v>52.755735093817059</v>
      </c>
    </row>
    <row r="20" spans="1:35" x14ac:dyDescent="0.15">
      <c r="A20" t="s">
        <v>72</v>
      </c>
      <c r="B20" t="s">
        <v>50</v>
      </c>
      <c r="C20" t="s">
        <v>398</v>
      </c>
      <c r="D20" t="s">
        <v>113</v>
      </c>
      <c r="E20" t="s">
        <v>72</v>
      </c>
      <c r="F20" t="s">
        <v>175</v>
      </c>
      <c r="G20">
        <v>16.25</v>
      </c>
      <c r="H20">
        <v>17.5</v>
      </c>
      <c r="I20">
        <v>0</v>
      </c>
      <c r="J20">
        <v>0</v>
      </c>
      <c r="K20">
        <v>1000</v>
      </c>
      <c r="L20">
        <v>999</v>
      </c>
      <c r="M20">
        <v>120</v>
      </c>
      <c r="N20">
        <v>171</v>
      </c>
      <c r="O20">
        <v>139</v>
      </c>
      <c r="P20">
        <v>175</v>
      </c>
      <c r="Q20">
        <v>394</v>
      </c>
      <c r="R20">
        <v>12.012012012012011</v>
      </c>
      <c r="S20">
        <v>31.031031031031031</v>
      </c>
      <c r="T20">
        <v>56.956956956956958</v>
      </c>
      <c r="U20">
        <v>-1.9482229695813196</v>
      </c>
      <c r="V20">
        <v>0.14252712171180645</v>
      </c>
      <c r="W20" t="s">
        <v>534</v>
      </c>
      <c r="X20">
        <v>5.5</v>
      </c>
      <c r="Y20" t="s">
        <v>20</v>
      </c>
      <c r="Z20">
        <v>0.112</v>
      </c>
      <c r="AA20">
        <v>1</v>
      </c>
      <c r="AB20">
        <v>6.9000000000000006E-2</v>
      </c>
      <c r="AC20">
        <v>2.7E-2</v>
      </c>
      <c r="AD20">
        <v>5.2840000000000007</v>
      </c>
      <c r="AE20">
        <v>2.57</v>
      </c>
      <c r="AF20">
        <v>27.3</v>
      </c>
      <c r="AG20">
        <v>0.25</v>
      </c>
      <c r="AH20">
        <v>1.320735935322771</v>
      </c>
      <c r="AI20">
        <f t="shared" si="0"/>
        <v>122.12845193929665</v>
      </c>
    </row>
    <row r="21" spans="1:35" x14ac:dyDescent="0.15">
      <c r="A21" t="s">
        <v>72</v>
      </c>
      <c r="B21" t="s">
        <v>50</v>
      </c>
      <c r="C21" t="s">
        <v>398</v>
      </c>
      <c r="D21" t="s">
        <v>113</v>
      </c>
      <c r="E21" t="s">
        <v>72</v>
      </c>
      <c r="F21" t="s">
        <v>21</v>
      </c>
      <c r="G21">
        <v>52.5</v>
      </c>
      <c r="H21">
        <v>15</v>
      </c>
      <c r="I21">
        <v>0</v>
      </c>
      <c r="J21">
        <v>0</v>
      </c>
      <c r="K21">
        <v>1000</v>
      </c>
      <c r="L21">
        <v>999</v>
      </c>
      <c r="M21">
        <v>151</v>
      </c>
      <c r="N21">
        <v>198</v>
      </c>
      <c r="O21">
        <v>153</v>
      </c>
      <c r="P21">
        <v>141</v>
      </c>
      <c r="Q21">
        <v>356</v>
      </c>
      <c r="R21">
        <v>15.115115115115115</v>
      </c>
      <c r="S21">
        <v>35.135135135135137</v>
      </c>
      <c r="T21">
        <v>49.749749749749753</v>
      </c>
      <c r="U21">
        <v>-2.3141431799260044</v>
      </c>
      <c r="V21">
        <v>9.8850845115707867E-2</v>
      </c>
      <c r="W21" t="s">
        <v>534</v>
      </c>
      <c r="X21">
        <v>5.3</v>
      </c>
      <c r="Y21" t="s">
        <v>20</v>
      </c>
      <c r="Z21">
        <v>0.251</v>
      </c>
      <c r="AA21">
        <v>0.33</v>
      </c>
      <c r="AB21">
        <v>2.5000000000000001E-2</v>
      </c>
      <c r="AC21">
        <v>2.9000000000000001E-2</v>
      </c>
      <c r="AD21">
        <v>1.1519999999999999</v>
      </c>
      <c r="AE21">
        <v>0.49</v>
      </c>
      <c r="AF21">
        <v>45.9</v>
      </c>
      <c r="AG21">
        <v>0.05</v>
      </c>
      <c r="AH21" s="139">
        <f>-0.0042*R21+1.6859</f>
        <v>1.6224165165165165</v>
      </c>
      <c r="AI21">
        <f t="shared" si="0"/>
        <v>28.035357405405403</v>
      </c>
    </row>
    <row r="22" spans="1:35" x14ac:dyDescent="0.15">
      <c r="A22" t="s">
        <v>73</v>
      </c>
      <c r="B22" t="s">
        <v>189</v>
      </c>
      <c r="C22" t="s">
        <v>99</v>
      </c>
      <c r="D22" t="s">
        <v>111</v>
      </c>
      <c r="E22" t="s">
        <v>73</v>
      </c>
      <c r="F22" t="s">
        <v>177</v>
      </c>
      <c r="G22">
        <v>3.75</v>
      </c>
      <c r="H22">
        <v>7.5</v>
      </c>
      <c r="I22">
        <v>13</v>
      </c>
      <c r="J22">
        <v>21</v>
      </c>
      <c r="K22">
        <v>965</v>
      </c>
      <c r="L22">
        <v>999</v>
      </c>
      <c r="M22">
        <v>142</v>
      </c>
      <c r="N22">
        <v>132</v>
      </c>
      <c r="O22">
        <v>115</v>
      </c>
      <c r="P22">
        <v>210</v>
      </c>
      <c r="Q22">
        <v>400</v>
      </c>
      <c r="R22">
        <v>14.214214214214213</v>
      </c>
      <c r="S22">
        <v>24.724724724724727</v>
      </c>
      <c r="T22">
        <v>61.061061061061061</v>
      </c>
      <c r="U22">
        <v>-1.8691736385912101</v>
      </c>
      <c r="V22">
        <v>0.15425107629939253</v>
      </c>
      <c r="W22" t="s">
        <v>534</v>
      </c>
      <c r="X22">
        <v>6.8</v>
      </c>
      <c r="Y22" t="s">
        <v>535</v>
      </c>
      <c r="Z22">
        <v>6.3E-2</v>
      </c>
      <c r="AA22">
        <v>1.62</v>
      </c>
      <c r="AB22">
        <v>7.2999999999999995E-2</v>
      </c>
      <c r="AC22">
        <v>0.112</v>
      </c>
      <c r="AD22">
        <v>1.9420000000000002</v>
      </c>
      <c r="AE22">
        <v>1.57</v>
      </c>
      <c r="AF22">
        <v>66.2</v>
      </c>
      <c r="AG22">
        <v>0.23</v>
      </c>
      <c r="AH22" s="141">
        <f>AH23-((AH23-AH24)/(G23-G24))*3.5</f>
        <v>1.2831386701653109</v>
      </c>
      <c r="AI22">
        <f t="shared" si="0"/>
        <v>18.688914730957755</v>
      </c>
    </row>
    <row r="23" spans="1:35" x14ac:dyDescent="0.15">
      <c r="A23" t="s">
        <v>73</v>
      </c>
      <c r="B23" t="s">
        <v>189</v>
      </c>
      <c r="C23" t="s">
        <v>99</v>
      </c>
      <c r="D23" t="s">
        <v>111</v>
      </c>
      <c r="E23" t="s">
        <v>73</v>
      </c>
      <c r="F23" t="s">
        <v>175</v>
      </c>
      <c r="G23">
        <v>16.25</v>
      </c>
      <c r="H23">
        <v>17.5</v>
      </c>
      <c r="I23">
        <v>21</v>
      </c>
      <c r="J23">
        <v>62</v>
      </c>
      <c r="K23">
        <v>917</v>
      </c>
      <c r="L23">
        <v>998</v>
      </c>
      <c r="M23">
        <v>126</v>
      </c>
      <c r="N23">
        <v>129</v>
      </c>
      <c r="O23">
        <v>109</v>
      </c>
      <c r="P23">
        <v>180</v>
      </c>
      <c r="Q23">
        <v>454</v>
      </c>
      <c r="R23">
        <v>12.625250501002002</v>
      </c>
      <c r="S23">
        <v>23.847695390781563</v>
      </c>
      <c r="T23">
        <v>63.527054108216433</v>
      </c>
      <c r="U23">
        <v>-1.7267944179539978</v>
      </c>
      <c r="V23">
        <v>0.17785362153127093</v>
      </c>
      <c r="W23" t="s">
        <v>534</v>
      </c>
      <c r="X23">
        <v>6.2</v>
      </c>
      <c r="Y23" t="s">
        <v>474</v>
      </c>
      <c r="Z23">
        <v>7.5999999999999998E-2</v>
      </c>
      <c r="AA23">
        <v>1.18</v>
      </c>
      <c r="AB23">
        <v>7.0999999999999994E-2</v>
      </c>
      <c r="AC23">
        <v>0.126</v>
      </c>
      <c r="AD23">
        <v>2.0409999999999999</v>
      </c>
      <c r="AE23">
        <v>1.61</v>
      </c>
      <c r="AF23">
        <v>67.3</v>
      </c>
      <c r="AG23">
        <v>0.25</v>
      </c>
      <c r="AH23">
        <v>1.314381862786032</v>
      </c>
      <c r="AI23">
        <f t="shared" si="0"/>
        <v>46.946434184060095</v>
      </c>
    </row>
    <row r="24" spans="1:35" x14ac:dyDescent="0.15">
      <c r="A24" t="s">
        <v>73</v>
      </c>
      <c r="B24" t="s">
        <v>189</v>
      </c>
      <c r="C24" t="s">
        <v>99</v>
      </c>
      <c r="D24" t="s">
        <v>111</v>
      </c>
      <c r="E24" t="s">
        <v>73</v>
      </c>
      <c r="F24" t="s">
        <v>21</v>
      </c>
      <c r="G24">
        <v>52.5</v>
      </c>
      <c r="H24">
        <v>15</v>
      </c>
      <c r="I24">
        <v>10</v>
      </c>
      <c r="J24">
        <v>7</v>
      </c>
      <c r="K24">
        <v>983</v>
      </c>
      <c r="L24">
        <v>999</v>
      </c>
      <c r="M24">
        <v>114</v>
      </c>
      <c r="N24">
        <v>134</v>
      </c>
      <c r="O24">
        <v>92</v>
      </c>
      <c r="P24">
        <v>195</v>
      </c>
      <c r="Q24">
        <v>464</v>
      </c>
      <c r="R24">
        <v>11.411411411411411</v>
      </c>
      <c r="S24">
        <v>22.622622622622622</v>
      </c>
      <c r="T24">
        <v>65.965965965965964</v>
      </c>
      <c r="U24">
        <v>-1.5976321777417588</v>
      </c>
      <c r="V24">
        <v>0.202375139485515</v>
      </c>
      <c r="W24" t="s">
        <v>534</v>
      </c>
      <c r="X24">
        <v>5.7</v>
      </c>
      <c r="Y24" t="s">
        <v>20</v>
      </c>
      <c r="Z24">
        <v>2.3E-2</v>
      </c>
      <c r="AA24">
        <v>0.76</v>
      </c>
      <c r="AB24">
        <v>5.2999999999999999E-2</v>
      </c>
      <c r="AC24">
        <v>5.2999999999999999E-2</v>
      </c>
      <c r="AD24">
        <v>0.27400000000000002</v>
      </c>
      <c r="AE24">
        <v>0.25</v>
      </c>
      <c r="AF24">
        <v>39</v>
      </c>
      <c r="AG24">
        <v>0.09</v>
      </c>
      <c r="AH24" s="139">
        <f>-0.0042*R24+1.6859</f>
        <v>1.6379720720720721</v>
      </c>
      <c r="AI24">
        <f t="shared" si="0"/>
        <v>6.7320652162162169</v>
      </c>
    </row>
    <row r="25" spans="1:35" x14ac:dyDescent="0.15">
      <c r="A25" t="s">
        <v>74</v>
      </c>
      <c r="B25" t="s">
        <v>396</v>
      </c>
      <c r="C25" t="s">
        <v>100</v>
      </c>
      <c r="D25" t="s">
        <v>114</v>
      </c>
      <c r="E25" t="s">
        <v>397</v>
      </c>
      <c r="F25" t="s">
        <v>177</v>
      </c>
      <c r="G25">
        <v>3.75</v>
      </c>
      <c r="H25">
        <v>7.5</v>
      </c>
      <c r="I25">
        <v>0</v>
      </c>
      <c r="J25">
        <v>0</v>
      </c>
      <c r="K25">
        <v>1000</v>
      </c>
      <c r="L25">
        <v>999</v>
      </c>
      <c r="M25">
        <v>23</v>
      </c>
      <c r="N25">
        <v>6</v>
      </c>
      <c r="O25">
        <v>15</v>
      </c>
      <c r="P25">
        <v>430</v>
      </c>
      <c r="Q25">
        <v>525</v>
      </c>
      <c r="R25">
        <v>2.3023023023023024</v>
      </c>
      <c r="S25">
        <v>2.1021021021021022</v>
      </c>
      <c r="T25">
        <v>95.595595595595597</v>
      </c>
      <c r="U25">
        <v>-0.21215191186482305</v>
      </c>
      <c r="V25">
        <v>0.8088418155645698</v>
      </c>
      <c r="W25" t="s">
        <v>534</v>
      </c>
      <c r="X25">
        <v>5.9</v>
      </c>
      <c r="Y25" t="s">
        <v>20</v>
      </c>
      <c r="Z25">
        <v>0.108</v>
      </c>
      <c r="AA25">
        <v>0.4</v>
      </c>
      <c r="AB25">
        <v>6.5000000000000002E-2</v>
      </c>
      <c r="AC25">
        <v>2.5999999999999999E-2</v>
      </c>
      <c r="AD25">
        <v>1.401</v>
      </c>
      <c r="AE25">
        <v>0.97</v>
      </c>
      <c r="AF25">
        <v>22.9</v>
      </c>
      <c r="AG25">
        <v>0.08</v>
      </c>
      <c r="AH25" s="141">
        <f>AH26-((AH26-AH27)/(G26-G27))*3.5</f>
        <v>1.3035955276600477</v>
      </c>
      <c r="AI25">
        <f t="shared" si="0"/>
        <v>13.697530006887952</v>
      </c>
    </row>
    <row r="26" spans="1:35" x14ac:dyDescent="0.15">
      <c r="A26" t="s">
        <v>74</v>
      </c>
      <c r="B26" t="s">
        <v>396</v>
      </c>
      <c r="C26" t="s">
        <v>100</v>
      </c>
      <c r="D26" t="s">
        <v>114</v>
      </c>
      <c r="E26" t="s">
        <v>397</v>
      </c>
      <c r="F26" t="s">
        <v>175</v>
      </c>
      <c r="G26">
        <v>16.25</v>
      </c>
      <c r="H26">
        <v>17.5</v>
      </c>
      <c r="I26">
        <v>2</v>
      </c>
      <c r="J26">
        <v>0</v>
      </c>
      <c r="K26">
        <v>998</v>
      </c>
      <c r="L26">
        <v>999</v>
      </c>
      <c r="M26">
        <v>20</v>
      </c>
      <c r="N26">
        <v>14</v>
      </c>
      <c r="O26">
        <v>16</v>
      </c>
      <c r="P26">
        <v>464</v>
      </c>
      <c r="Q26">
        <v>485</v>
      </c>
      <c r="R26">
        <v>2.0020020020020022</v>
      </c>
      <c r="S26">
        <v>3.0030030030030028</v>
      </c>
      <c r="T26">
        <v>94.994994994994997</v>
      </c>
      <c r="U26">
        <v>-0.22443601447467459</v>
      </c>
      <c r="V26">
        <v>0.79896669736826165</v>
      </c>
      <c r="W26" t="s">
        <v>534</v>
      </c>
      <c r="X26">
        <v>6.2</v>
      </c>
      <c r="Y26" t="s">
        <v>20</v>
      </c>
      <c r="Z26">
        <v>0.129</v>
      </c>
      <c r="AA26">
        <v>0.43</v>
      </c>
      <c r="AB26">
        <v>7.1999999999999995E-2</v>
      </c>
      <c r="AC26">
        <v>4.4999999999999998E-2</v>
      </c>
      <c r="AD26">
        <v>1.8170000000000002</v>
      </c>
      <c r="AE26">
        <v>1.1200000000000001</v>
      </c>
      <c r="AF26">
        <v>21.2</v>
      </c>
      <c r="AG26">
        <v>0.08</v>
      </c>
      <c r="AH26">
        <v>1.3368873751688557</v>
      </c>
      <c r="AI26">
        <f t="shared" si="0"/>
        <v>42.509676311931699</v>
      </c>
    </row>
    <row r="27" spans="1:35" x14ac:dyDescent="0.15">
      <c r="A27" t="s">
        <v>74</v>
      </c>
      <c r="B27" t="s">
        <v>396</v>
      </c>
      <c r="C27" t="s">
        <v>100</v>
      </c>
      <c r="D27" t="s">
        <v>114</v>
      </c>
      <c r="E27" t="s">
        <v>397</v>
      </c>
      <c r="F27" t="s">
        <v>21</v>
      </c>
      <c r="G27">
        <v>52.5</v>
      </c>
      <c r="H27">
        <v>15</v>
      </c>
      <c r="I27">
        <v>0</v>
      </c>
      <c r="J27">
        <v>0</v>
      </c>
      <c r="K27">
        <v>1000</v>
      </c>
      <c r="L27">
        <v>999</v>
      </c>
      <c r="M27">
        <v>10</v>
      </c>
      <c r="N27">
        <v>1</v>
      </c>
      <c r="O27">
        <v>7</v>
      </c>
      <c r="P27">
        <v>107</v>
      </c>
      <c r="Q27">
        <v>874</v>
      </c>
      <c r="R27">
        <v>1.0010010010010011</v>
      </c>
      <c r="S27">
        <v>0.80080080080080074</v>
      </c>
      <c r="T27">
        <v>98.198198198198199</v>
      </c>
      <c r="U27">
        <v>-7.4125495261613869E-2</v>
      </c>
      <c r="V27">
        <v>0.92855515725666271</v>
      </c>
      <c r="W27" t="s">
        <v>534</v>
      </c>
      <c r="X27">
        <v>5.7</v>
      </c>
      <c r="Y27" t="s">
        <v>535</v>
      </c>
      <c r="Z27">
        <v>2.8000000000000001E-2</v>
      </c>
      <c r="AA27">
        <v>0.11</v>
      </c>
      <c r="AB27">
        <v>2.8000000000000001E-2</v>
      </c>
      <c r="AC27">
        <v>1.4E-2</v>
      </c>
      <c r="AD27">
        <v>2.181</v>
      </c>
      <c r="AE27">
        <v>0.72</v>
      </c>
      <c r="AF27">
        <v>6.6</v>
      </c>
      <c r="AG27">
        <v>0.02</v>
      </c>
      <c r="AH27" s="139">
        <f>-0.0042*R27+1.6859</f>
        <v>1.6816957957957956</v>
      </c>
      <c r="AI27">
        <f t="shared" si="0"/>
        <v>55.01667795945945</v>
      </c>
    </row>
    <row r="28" spans="1:35" x14ac:dyDescent="0.15">
      <c r="A28" t="s">
        <v>75</v>
      </c>
      <c r="B28" t="s">
        <v>396</v>
      </c>
      <c r="C28" t="s">
        <v>100</v>
      </c>
      <c r="D28" t="s">
        <v>114</v>
      </c>
      <c r="E28" t="s">
        <v>397</v>
      </c>
      <c r="F28" t="s">
        <v>177</v>
      </c>
      <c r="G28">
        <v>3.75</v>
      </c>
      <c r="H28">
        <v>7.5</v>
      </c>
      <c r="I28">
        <v>0</v>
      </c>
      <c r="J28">
        <v>0</v>
      </c>
      <c r="K28">
        <v>1000</v>
      </c>
      <c r="L28">
        <v>999</v>
      </c>
      <c r="M28">
        <v>34</v>
      </c>
      <c r="N28">
        <v>7</v>
      </c>
      <c r="O28">
        <v>21</v>
      </c>
      <c r="P28">
        <v>491</v>
      </c>
      <c r="Q28">
        <v>446</v>
      </c>
      <c r="R28">
        <v>3.4034034034034035</v>
      </c>
      <c r="S28">
        <v>2.8028028028028027</v>
      </c>
      <c r="T28">
        <v>93.793793793793796</v>
      </c>
      <c r="U28">
        <v>-0.31423137761272574</v>
      </c>
      <c r="V28">
        <v>0.73035002196351773</v>
      </c>
      <c r="W28" t="s">
        <v>534</v>
      </c>
      <c r="X28">
        <v>5.2</v>
      </c>
      <c r="Y28" t="s">
        <v>20</v>
      </c>
      <c r="Z28">
        <v>0.13200000000000001</v>
      </c>
      <c r="AA28">
        <v>0.41</v>
      </c>
      <c r="AB28">
        <v>6.7000000000000004E-2</v>
      </c>
      <c r="AC28">
        <v>3.2000000000000001E-2</v>
      </c>
      <c r="AD28">
        <v>2.9769999999999999</v>
      </c>
      <c r="AE28">
        <v>1.98</v>
      </c>
      <c r="AF28">
        <v>25.1</v>
      </c>
      <c r="AG28">
        <v>0.09</v>
      </c>
      <c r="AH28" s="141">
        <f>AH29-((AH29-AH30)/(G29-G30))*3.5</f>
        <v>1.3064817285221908</v>
      </c>
      <c r="AI28">
        <f t="shared" si="0"/>
        <v>29.170470793579216</v>
      </c>
    </row>
    <row r="29" spans="1:35" x14ac:dyDescent="0.15">
      <c r="A29" t="s">
        <v>75</v>
      </c>
      <c r="B29" t="s">
        <v>396</v>
      </c>
      <c r="C29" t="s">
        <v>100</v>
      </c>
      <c r="D29" t="s">
        <v>114</v>
      </c>
      <c r="E29" t="s">
        <v>397</v>
      </c>
      <c r="F29" t="s">
        <v>175</v>
      </c>
      <c r="G29">
        <v>16.25</v>
      </c>
      <c r="H29">
        <v>17.5</v>
      </c>
      <c r="I29">
        <v>0</v>
      </c>
      <c r="J29">
        <v>0</v>
      </c>
      <c r="K29">
        <v>1000</v>
      </c>
      <c r="L29">
        <v>999</v>
      </c>
      <c r="M29">
        <v>22</v>
      </c>
      <c r="N29">
        <v>3</v>
      </c>
      <c r="O29">
        <v>19</v>
      </c>
      <c r="P29">
        <v>415</v>
      </c>
      <c r="Q29">
        <v>540</v>
      </c>
      <c r="R29">
        <v>2.2022022022022023</v>
      </c>
      <c r="S29">
        <v>2.2022022022022023</v>
      </c>
      <c r="T29">
        <v>95.595595595595597</v>
      </c>
      <c r="U29">
        <v>-0.20889055396890563</v>
      </c>
      <c r="V29">
        <v>0.81148404449140077</v>
      </c>
      <c r="W29" t="s">
        <v>534</v>
      </c>
      <c r="X29">
        <v>5.8</v>
      </c>
      <c r="Y29" t="s">
        <v>20</v>
      </c>
      <c r="Z29">
        <v>0.13200000000000001</v>
      </c>
      <c r="AA29">
        <v>0.36</v>
      </c>
      <c r="AB29">
        <v>4.7E-2</v>
      </c>
      <c r="AC29">
        <v>3.7999999999999999E-2</v>
      </c>
      <c r="AD29">
        <v>2.0430000000000001</v>
      </c>
      <c r="AE29">
        <v>1.17</v>
      </c>
      <c r="AF29">
        <v>23.1</v>
      </c>
      <c r="AG29">
        <v>0.09</v>
      </c>
      <c r="AH29">
        <v>1.3397039783863429</v>
      </c>
      <c r="AI29">
        <f t="shared" si="0"/>
        <v>47.897766487257734</v>
      </c>
    </row>
    <row r="30" spans="1:35" x14ac:dyDescent="0.15">
      <c r="A30" t="s">
        <v>75</v>
      </c>
      <c r="B30" t="s">
        <v>396</v>
      </c>
      <c r="C30" t="s">
        <v>100</v>
      </c>
      <c r="D30" t="s">
        <v>114</v>
      </c>
      <c r="E30" t="s">
        <v>397</v>
      </c>
      <c r="F30" t="s">
        <v>21</v>
      </c>
      <c r="G30">
        <v>52.5</v>
      </c>
      <c r="H30">
        <v>15</v>
      </c>
      <c r="I30">
        <v>0</v>
      </c>
      <c r="J30">
        <v>0</v>
      </c>
      <c r="K30">
        <v>1000</v>
      </c>
      <c r="L30">
        <v>996</v>
      </c>
      <c r="M30">
        <v>5</v>
      </c>
      <c r="N30">
        <v>0</v>
      </c>
      <c r="O30">
        <v>1</v>
      </c>
      <c r="P30">
        <v>390</v>
      </c>
      <c r="Q30">
        <v>600</v>
      </c>
      <c r="R30">
        <v>0.50200803212851408</v>
      </c>
      <c r="S30">
        <v>0.1004016064257028</v>
      </c>
      <c r="T30">
        <v>99.397590361445793</v>
      </c>
      <c r="U30">
        <v>-1.379794043313618E-2</v>
      </c>
      <c r="V30">
        <v>0.98629681483712606</v>
      </c>
      <c r="W30" t="s">
        <v>534</v>
      </c>
      <c r="X30">
        <v>6.6</v>
      </c>
      <c r="Y30" t="s">
        <v>20</v>
      </c>
      <c r="Z30">
        <v>0.06</v>
      </c>
      <c r="AA30">
        <v>1.2</v>
      </c>
      <c r="AB30">
        <v>1.4999999999999999E-2</v>
      </c>
      <c r="AC30">
        <v>1.4999999999999999E-2</v>
      </c>
      <c r="AD30">
        <v>0.14499999999999999</v>
      </c>
      <c r="AE30">
        <v>0.09</v>
      </c>
      <c r="AF30">
        <v>11.6</v>
      </c>
      <c r="AG30">
        <v>0.03</v>
      </c>
      <c r="AH30" s="139">
        <f>-0.0042*R30+1.6859</f>
        <v>1.6837915662650602</v>
      </c>
      <c r="AI30">
        <f t="shared" si="0"/>
        <v>3.6622466566265057</v>
      </c>
    </row>
    <row r="31" spans="1:35" x14ac:dyDescent="0.15">
      <c r="A31" t="s">
        <v>76</v>
      </c>
      <c r="B31" t="s">
        <v>210</v>
      </c>
      <c r="C31" t="s">
        <v>101</v>
      </c>
      <c r="D31" t="s">
        <v>111</v>
      </c>
      <c r="E31" t="s">
        <v>76</v>
      </c>
      <c r="F31" t="s">
        <v>177</v>
      </c>
      <c r="G31">
        <v>3.75</v>
      </c>
      <c r="H31">
        <v>7.5</v>
      </c>
      <c r="I31">
        <v>0</v>
      </c>
      <c r="J31">
        <v>0</v>
      </c>
      <c r="K31">
        <v>1000</v>
      </c>
      <c r="L31">
        <v>999</v>
      </c>
      <c r="M31">
        <v>422</v>
      </c>
      <c r="N31">
        <v>444</v>
      </c>
      <c r="O31">
        <v>116</v>
      </c>
      <c r="P31">
        <v>10</v>
      </c>
      <c r="Q31">
        <v>7</v>
      </c>
      <c r="R31">
        <v>42.242242242242241</v>
      </c>
      <c r="S31">
        <v>56.056056056056057</v>
      </c>
      <c r="T31">
        <v>1.7017017017017018</v>
      </c>
      <c r="U31">
        <v>-4.9634252735279203</v>
      </c>
      <c r="V31">
        <v>6.9889477291794899E-3</v>
      </c>
      <c r="W31" t="s">
        <v>534</v>
      </c>
      <c r="X31">
        <v>6.4</v>
      </c>
      <c r="Y31" t="s">
        <v>20</v>
      </c>
      <c r="Z31">
        <v>9.5000000000000001E-2</v>
      </c>
      <c r="AA31">
        <v>2.11</v>
      </c>
      <c r="AB31">
        <v>0.253</v>
      </c>
      <c r="AC31">
        <v>0.29499999999999998</v>
      </c>
      <c r="AD31">
        <v>1.706</v>
      </c>
      <c r="AE31">
        <v>1.71</v>
      </c>
      <c r="AF31">
        <v>127</v>
      </c>
      <c r="AG31">
        <v>0.22</v>
      </c>
      <c r="AH31" s="141">
        <f>AH32-((AH32-AH33)/(G32-G33))*3.5</f>
        <v>1.226974062977521</v>
      </c>
      <c r="AI31">
        <f t="shared" si="0"/>
        <v>15.69913313579738</v>
      </c>
    </row>
    <row r="32" spans="1:35" x14ac:dyDescent="0.15">
      <c r="A32" t="s">
        <v>76</v>
      </c>
      <c r="B32" t="s">
        <v>210</v>
      </c>
      <c r="C32" t="s">
        <v>101</v>
      </c>
      <c r="D32" t="s">
        <v>111</v>
      </c>
      <c r="E32" t="s">
        <v>76</v>
      </c>
      <c r="F32" t="s">
        <v>175</v>
      </c>
      <c r="G32">
        <v>16.25</v>
      </c>
      <c r="H32">
        <v>17.5</v>
      </c>
      <c r="I32">
        <v>0</v>
      </c>
      <c r="J32">
        <v>3</v>
      </c>
      <c r="K32">
        <v>997</v>
      </c>
      <c r="L32">
        <v>999</v>
      </c>
      <c r="M32">
        <v>425</v>
      </c>
      <c r="N32">
        <v>423</v>
      </c>
      <c r="O32">
        <v>134</v>
      </c>
      <c r="P32">
        <v>9</v>
      </c>
      <c r="Q32">
        <v>8</v>
      </c>
      <c r="R32">
        <v>42.542542542542542</v>
      </c>
      <c r="S32">
        <v>55.755755755755757</v>
      </c>
      <c r="T32">
        <v>1.7017017017017018</v>
      </c>
      <c r="U32">
        <v>-4.9732093472156729</v>
      </c>
      <c r="V32">
        <v>6.9209007806097442E-3</v>
      </c>
      <c r="W32" t="s">
        <v>534</v>
      </c>
      <c r="X32">
        <v>5.9</v>
      </c>
      <c r="Y32" t="s">
        <v>20</v>
      </c>
      <c r="Z32">
        <v>8.4000000000000005E-2</v>
      </c>
      <c r="AA32">
        <v>1.77</v>
      </c>
      <c r="AB32">
        <v>0.254</v>
      </c>
      <c r="AC32">
        <v>0.23699999999999999</v>
      </c>
      <c r="AD32">
        <v>1.4769999999999999</v>
      </c>
      <c r="AE32">
        <v>1.47</v>
      </c>
      <c r="AF32">
        <v>127</v>
      </c>
      <c r="AG32">
        <v>0.2</v>
      </c>
      <c r="AH32">
        <v>1.2447418828441603</v>
      </c>
      <c r="AI32">
        <f t="shared" si="0"/>
        <v>32.173465816814428</v>
      </c>
    </row>
    <row r="33" spans="1:35" x14ac:dyDescent="0.15">
      <c r="A33" t="s">
        <v>76</v>
      </c>
      <c r="B33" t="s">
        <v>210</v>
      </c>
      <c r="C33" t="s">
        <v>101</v>
      </c>
      <c r="D33" t="s">
        <v>111</v>
      </c>
      <c r="E33" t="s">
        <v>76</v>
      </c>
      <c r="F33" t="s">
        <v>21</v>
      </c>
      <c r="G33">
        <v>52.5</v>
      </c>
      <c r="H33">
        <v>15</v>
      </c>
      <c r="I33">
        <v>0</v>
      </c>
      <c r="J33">
        <v>0</v>
      </c>
      <c r="K33">
        <v>1000</v>
      </c>
      <c r="L33">
        <v>998</v>
      </c>
      <c r="M33">
        <v>611</v>
      </c>
      <c r="N33">
        <v>327</v>
      </c>
      <c r="O33">
        <v>43</v>
      </c>
      <c r="P33">
        <v>6</v>
      </c>
      <c r="Q33">
        <v>11</v>
      </c>
      <c r="R33">
        <v>61.22244488977956</v>
      </c>
      <c r="S33">
        <v>37.074148296593187</v>
      </c>
      <c r="T33">
        <v>1.7034068136272544</v>
      </c>
      <c r="U33">
        <v>-5.5817559470936793</v>
      </c>
      <c r="V33">
        <v>3.76594690600134E-3</v>
      </c>
      <c r="W33" t="s">
        <v>534</v>
      </c>
      <c r="X33">
        <v>4.5</v>
      </c>
      <c r="Y33" t="s">
        <v>474</v>
      </c>
      <c r="Z33">
        <v>8.3000000000000004E-2</v>
      </c>
      <c r="AA33">
        <v>0.83</v>
      </c>
      <c r="AB33">
        <v>0.33800000000000002</v>
      </c>
      <c r="AC33">
        <v>0.27600000000000002</v>
      </c>
      <c r="AD33">
        <v>1.54</v>
      </c>
      <c r="AE33">
        <v>1.64</v>
      </c>
      <c r="AF33">
        <v>148</v>
      </c>
      <c r="AG33">
        <v>0.2</v>
      </c>
      <c r="AH33" s="139">
        <f>-0.0042*R33+1.6859</f>
        <v>1.4287657314629258</v>
      </c>
      <c r="AI33">
        <f t="shared" si="0"/>
        <v>33.00448839679359</v>
      </c>
    </row>
    <row r="34" spans="1:35" x14ac:dyDescent="0.15">
      <c r="A34" t="s">
        <v>77</v>
      </c>
      <c r="B34" t="s">
        <v>131</v>
      </c>
      <c r="C34" t="s">
        <v>100</v>
      </c>
      <c r="D34" t="s">
        <v>114</v>
      </c>
      <c r="F34" t="s">
        <v>177</v>
      </c>
      <c r="G34">
        <v>3.75</v>
      </c>
      <c r="H34">
        <v>7.5</v>
      </c>
      <c r="I34">
        <v>0</v>
      </c>
      <c r="J34">
        <v>14</v>
      </c>
      <c r="K34">
        <v>986</v>
      </c>
      <c r="L34">
        <v>998</v>
      </c>
      <c r="M34">
        <v>647</v>
      </c>
      <c r="N34">
        <v>277</v>
      </c>
      <c r="O34">
        <v>53</v>
      </c>
      <c r="P34">
        <v>12</v>
      </c>
      <c r="Q34">
        <v>9</v>
      </c>
      <c r="R34">
        <v>64.829659318637283</v>
      </c>
      <c r="S34">
        <v>33.06613226452906</v>
      </c>
      <c r="T34">
        <v>2.1042084168336674</v>
      </c>
      <c r="U34">
        <v>-5.6845556163868345</v>
      </c>
      <c r="V34">
        <v>3.3980429487676421E-3</v>
      </c>
      <c r="W34" t="s">
        <v>534</v>
      </c>
      <c r="X34">
        <v>6.3</v>
      </c>
      <c r="Y34" t="s">
        <v>474</v>
      </c>
      <c r="Z34">
        <v>3.4000000000000002E-2</v>
      </c>
      <c r="AA34">
        <v>4.7300000000000004</v>
      </c>
      <c r="AB34">
        <v>0.46100000000000002</v>
      </c>
      <c r="AC34">
        <v>0.19800000000000001</v>
      </c>
      <c r="AD34">
        <v>3.2299999999999995</v>
      </c>
      <c r="AE34">
        <v>3.56</v>
      </c>
      <c r="AF34">
        <v>146</v>
      </c>
      <c r="AG34">
        <v>0.27</v>
      </c>
      <c r="AH34" s="141">
        <f>AH35-((AH35-AH36)/(G35-G36))*3.5</f>
        <v>1.2083599721307854</v>
      </c>
      <c r="AI34">
        <f t="shared" si="0"/>
        <v>29.272520324868271</v>
      </c>
    </row>
    <row r="35" spans="1:35" x14ac:dyDescent="0.15">
      <c r="A35" t="s">
        <v>77</v>
      </c>
      <c r="B35" t="s">
        <v>131</v>
      </c>
      <c r="C35" t="s">
        <v>100</v>
      </c>
      <c r="D35" t="s">
        <v>114</v>
      </c>
      <c r="F35" t="s">
        <v>175</v>
      </c>
      <c r="G35">
        <v>16.25</v>
      </c>
      <c r="H35">
        <v>17.5</v>
      </c>
      <c r="I35">
        <v>0</v>
      </c>
      <c r="J35">
        <v>2</v>
      </c>
      <c r="K35">
        <v>997</v>
      </c>
      <c r="L35">
        <v>999</v>
      </c>
      <c r="M35">
        <v>661</v>
      </c>
      <c r="N35">
        <v>283</v>
      </c>
      <c r="O35">
        <v>39</v>
      </c>
      <c r="P35">
        <v>10</v>
      </c>
      <c r="Q35">
        <v>6</v>
      </c>
      <c r="R35">
        <v>66.166166166166164</v>
      </c>
      <c r="S35">
        <v>32.232232232232235</v>
      </c>
      <c r="T35">
        <v>1.6016016016016015</v>
      </c>
      <c r="U35">
        <v>-5.7465678400351123</v>
      </c>
      <c r="V35">
        <v>3.1937233769379794E-3</v>
      </c>
      <c r="W35" t="s">
        <v>534</v>
      </c>
      <c r="X35">
        <v>6.3</v>
      </c>
      <c r="Y35" t="s">
        <v>20</v>
      </c>
      <c r="Z35">
        <v>2.4E-2</v>
      </c>
      <c r="AA35">
        <v>4.9800000000000004</v>
      </c>
      <c r="AB35">
        <v>0.47</v>
      </c>
      <c r="AC35">
        <v>0.16700000000000001</v>
      </c>
      <c r="AD35">
        <v>3.2170000000000001</v>
      </c>
      <c r="AE35">
        <v>3.54</v>
      </c>
      <c r="AF35">
        <v>147</v>
      </c>
      <c r="AG35">
        <v>0.28000000000000003</v>
      </c>
      <c r="AH35">
        <v>1.2255683429530468</v>
      </c>
      <c r="AI35">
        <f t="shared" si="0"/>
        <v>68.996433787399155</v>
      </c>
    </row>
    <row r="36" spans="1:35" x14ac:dyDescent="0.15">
      <c r="A36" t="s">
        <v>77</v>
      </c>
      <c r="B36" t="s">
        <v>131</v>
      </c>
      <c r="C36" t="s">
        <v>100</v>
      </c>
      <c r="D36" t="s">
        <v>114</v>
      </c>
      <c r="F36" t="s">
        <v>21</v>
      </c>
      <c r="G36">
        <v>52.5</v>
      </c>
      <c r="H36">
        <v>15</v>
      </c>
      <c r="I36">
        <v>0</v>
      </c>
      <c r="J36">
        <v>0</v>
      </c>
      <c r="K36">
        <v>1000</v>
      </c>
      <c r="L36">
        <v>999</v>
      </c>
      <c r="M36">
        <v>671</v>
      </c>
      <c r="N36">
        <v>247</v>
      </c>
      <c r="O36">
        <v>66</v>
      </c>
      <c r="P36">
        <v>11</v>
      </c>
      <c r="Q36">
        <v>4</v>
      </c>
      <c r="R36">
        <v>67.167167167167165</v>
      </c>
      <c r="S36">
        <v>31.331331331331331</v>
      </c>
      <c r="T36">
        <v>1.5015015015015014</v>
      </c>
      <c r="U36">
        <v>-5.78285944837722</v>
      </c>
      <c r="V36">
        <v>3.0798960013036962E-3</v>
      </c>
      <c r="W36" t="s">
        <v>534</v>
      </c>
      <c r="X36">
        <v>7.1</v>
      </c>
      <c r="Y36" t="s">
        <v>20</v>
      </c>
      <c r="Z36">
        <v>4.0000000000000001E-3</v>
      </c>
      <c r="AA36">
        <v>3.81</v>
      </c>
      <c r="AB36">
        <v>0.372</v>
      </c>
      <c r="AC36">
        <v>0.189</v>
      </c>
      <c r="AD36">
        <v>0.85500000000000009</v>
      </c>
      <c r="AE36">
        <v>1.1499999999999999</v>
      </c>
      <c r="AF36">
        <v>140</v>
      </c>
      <c r="AG36">
        <v>0.25</v>
      </c>
      <c r="AH36" s="139">
        <f>-0.0042*R36+1.6859</f>
        <v>1.4037978978978978</v>
      </c>
      <c r="AI36">
        <f t="shared" si="0"/>
        <v>18.003708040540541</v>
      </c>
    </row>
    <row r="37" spans="1:35" x14ac:dyDescent="0.15">
      <c r="A37" t="s">
        <v>78</v>
      </c>
      <c r="B37" t="s">
        <v>131</v>
      </c>
      <c r="C37" t="s">
        <v>403</v>
      </c>
      <c r="D37" t="s">
        <v>111</v>
      </c>
      <c r="F37" t="s">
        <v>177</v>
      </c>
      <c r="G37">
        <v>3.75</v>
      </c>
      <c r="H37">
        <v>7.5</v>
      </c>
      <c r="I37">
        <v>0</v>
      </c>
      <c r="J37">
        <v>0</v>
      </c>
      <c r="K37">
        <v>1000</v>
      </c>
      <c r="L37">
        <v>998</v>
      </c>
      <c r="M37">
        <v>595</v>
      </c>
      <c r="N37">
        <v>253</v>
      </c>
      <c r="O37">
        <v>99</v>
      </c>
      <c r="P37">
        <v>37</v>
      </c>
      <c r="Q37">
        <v>14</v>
      </c>
      <c r="R37">
        <v>59.619238476953903</v>
      </c>
      <c r="S37">
        <v>35.270541082164328</v>
      </c>
      <c r="T37">
        <v>5.110220440881764</v>
      </c>
      <c r="U37">
        <v>-5.404343631834081</v>
      </c>
      <c r="V37">
        <v>4.4970051237025266E-3</v>
      </c>
      <c r="W37" t="s">
        <v>534</v>
      </c>
      <c r="X37">
        <v>6.9</v>
      </c>
      <c r="Y37" t="s">
        <v>474</v>
      </c>
      <c r="Z37">
        <v>6.5000000000000002E-2</v>
      </c>
      <c r="AA37">
        <v>5.01</v>
      </c>
      <c r="AB37">
        <v>0.27700000000000002</v>
      </c>
      <c r="AC37">
        <v>0.193</v>
      </c>
      <c r="AD37">
        <v>2.714</v>
      </c>
      <c r="AE37">
        <v>2.95</v>
      </c>
      <c r="AF37">
        <v>137</v>
      </c>
      <c r="AG37">
        <v>0.3</v>
      </c>
      <c r="AH37" s="141">
        <f>AH38-((AH38-AH39)/(G38-G39))*3.5</f>
        <v>1.2091598216610238</v>
      </c>
      <c r="AI37">
        <f t="shared" si="0"/>
        <v>24.612448169910138</v>
      </c>
    </row>
    <row r="38" spans="1:35" x14ac:dyDescent="0.15">
      <c r="A38" t="s">
        <v>78</v>
      </c>
      <c r="B38" t="s">
        <v>131</v>
      </c>
      <c r="C38" t="s">
        <v>403</v>
      </c>
      <c r="D38" t="s">
        <v>111</v>
      </c>
      <c r="F38" t="s">
        <v>175</v>
      </c>
      <c r="G38">
        <v>16.25</v>
      </c>
      <c r="H38">
        <v>17.5</v>
      </c>
      <c r="I38">
        <v>0</v>
      </c>
      <c r="J38">
        <v>3</v>
      </c>
      <c r="K38">
        <v>9997</v>
      </c>
      <c r="L38">
        <v>998</v>
      </c>
      <c r="M38">
        <v>593</v>
      </c>
      <c r="N38">
        <v>256</v>
      </c>
      <c r="O38">
        <v>105</v>
      </c>
      <c r="P38">
        <v>37</v>
      </c>
      <c r="Q38">
        <v>7</v>
      </c>
      <c r="R38">
        <v>59.418837675350701</v>
      </c>
      <c r="S38">
        <v>36.172344689378754</v>
      </c>
      <c r="T38">
        <v>4.408817635270541</v>
      </c>
      <c r="U38">
        <v>-5.4235863837367013</v>
      </c>
      <c r="V38">
        <v>4.4112976383962662E-3</v>
      </c>
      <c r="W38" t="s">
        <v>534</v>
      </c>
      <c r="X38">
        <v>6.9</v>
      </c>
      <c r="Y38" t="s">
        <v>474</v>
      </c>
      <c r="Z38">
        <v>5.8999999999999997E-2</v>
      </c>
      <c r="AA38">
        <v>5.27</v>
      </c>
      <c r="AB38">
        <v>0.28299999999999997</v>
      </c>
      <c r="AC38">
        <v>0.182</v>
      </c>
      <c r="AD38">
        <v>2.9020000000000001</v>
      </c>
      <c r="AE38">
        <v>3.16</v>
      </c>
      <c r="AF38">
        <v>135</v>
      </c>
      <c r="AG38">
        <v>0.32</v>
      </c>
      <c r="AH38">
        <v>1.226087600311105</v>
      </c>
      <c r="AI38">
        <f t="shared" si="0"/>
        <v>62.266858781799471</v>
      </c>
    </row>
    <row r="39" spans="1:35" x14ac:dyDescent="0.15">
      <c r="A39" t="s">
        <v>78</v>
      </c>
      <c r="B39" t="s">
        <v>131</v>
      </c>
      <c r="C39" t="s">
        <v>403</v>
      </c>
      <c r="D39" t="s">
        <v>111</v>
      </c>
      <c r="F39" t="s">
        <v>21</v>
      </c>
      <c r="G39">
        <v>52.5</v>
      </c>
      <c r="H39">
        <v>15</v>
      </c>
      <c r="I39">
        <v>0</v>
      </c>
      <c r="J39">
        <v>0</v>
      </c>
      <c r="K39">
        <v>1000</v>
      </c>
      <c r="L39">
        <v>998</v>
      </c>
      <c r="M39">
        <v>676</v>
      </c>
      <c r="N39">
        <v>272</v>
      </c>
      <c r="O39">
        <v>37</v>
      </c>
      <c r="P39">
        <v>5</v>
      </c>
      <c r="Q39">
        <v>8</v>
      </c>
      <c r="R39">
        <v>67.735470941883761</v>
      </c>
      <c r="S39">
        <v>30.961923847695388</v>
      </c>
      <c r="T39">
        <v>1.3026052104208417</v>
      </c>
      <c r="U39">
        <v>-5.8086834825501921</v>
      </c>
      <c r="V39">
        <v>3.0013788400611008E-3</v>
      </c>
      <c r="W39" t="s">
        <v>534</v>
      </c>
      <c r="X39">
        <v>7.4</v>
      </c>
      <c r="Y39" t="s">
        <v>474</v>
      </c>
      <c r="Z39">
        <v>1.7999999999999999E-2</v>
      </c>
      <c r="AA39">
        <v>4.29</v>
      </c>
      <c r="AB39">
        <v>0.23100000000000001</v>
      </c>
      <c r="AC39">
        <v>0.19600000000000001</v>
      </c>
      <c r="AD39">
        <v>0.81300000000000006</v>
      </c>
      <c r="AE39">
        <v>1.1599999999999999</v>
      </c>
      <c r="AF39">
        <v>146</v>
      </c>
      <c r="AG39">
        <v>0.22</v>
      </c>
      <c r="AH39" s="139">
        <f>-0.0042*R39+1.6859</f>
        <v>1.4014110220440883</v>
      </c>
      <c r="AI39">
        <f t="shared" si="0"/>
        <v>17.09020741382766</v>
      </c>
    </row>
    <row r="40" spans="1:35" x14ac:dyDescent="0.15">
      <c r="A40" t="s">
        <v>79</v>
      </c>
      <c r="B40" t="s">
        <v>131</v>
      </c>
      <c r="C40" t="s">
        <v>102</v>
      </c>
      <c r="D40" t="s">
        <v>111</v>
      </c>
      <c r="E40" t="s">
        <v>79</v>
      </c>
      <c r="F40" t="s">
        <v>177</v>
      </c>
      <c r="G40">
        <v>3.75</v>
      </c>
      <c r="H40">
        <v>7.5</v>
      </c>
      <c r="I40">
        <v>2</v>
      </c>
      <c r="J40">
        <v>46</v>
      </c>
      <c r="K40">
        <v>952</v>
      </c>
      <c r="L40">
        <v>998</v>
      </c>
      <c r="M40">
        <v>540</v>
      </c>
      <c r="N40">
        <v>228</v>
      </c>
      <c r="O40">
        <v>54</v>
      </c>
      <c r="P40">
        <v>82</v>
      </c>
      <c r="Q40">
        <v>94</v>
      </c>
      <c r="R40">
        <v>54.108216432865731</v>
      </c>
      <c r="S40">
        <v>28.256513026052104</v>
      </c>
      <c r="T40">
        <v>17.635270541082164</v>
      </c>
      <c r="U40">
        <v>-4.7645748655163862</v>
      </c>
      <c r="V40">
        <v>8.5265123864122234E-3</v>
      </c>
      <c r="W40" t="s">
        <v>534</v>
      </c>
      <c r="X40">
        <v>5.4</v>
      </c>
      <c r="Y40" t="s">
        <v>474</v>
      </c>
      <c r="Z40">
        <v>3.5000000000000003E-2</v>
      </c>
      <c r="AA40">
        <v>2.71</v>
      </c>
      <c r="AB40">
        <v>0.17599999999999999</v>
      </c>
      <c r="AC40">
        <v>0.14499999999999999</v>
      </c>
      <c r="AD40">
        <v>3.6829999999999998</v>
      </c>
      <c r="AE40">
        <v>3.78</v>
      </c>
      <c r="AF40">
        <v>119</v>
      </c>
      <c r="AG40">
        <v>0.32</v>
      </c>
      <c r="AH40" s="141">
        <f>AH41-((AH41-AH42)/(G41-G42))*3.5</f>
        <v>1.2065827862981255</v>
      </c>
      <c r="AI40">
        <f t="shared" si="0"/>
        <v>33.328833014519972</v>
      </c>
    </row>
    <row r="41" spans="1:35" x14ac:dyDescent="0.15">
      <c r="A41" t="s">
        <v>79</v>
      </c>
      <c r="B41" t="s">
        <v>131</v>
      </c>
      <c r="C41" t="s">
        <v>102</v>
      </c>
      <c r="D41" t="s">
        <v>111</v>
      </c>
      <c r="E41" t="s">
        <v>79</v>
      </c>
      <c r="F41" t="s">
        <v>175</v>
      </c>
      <c r="G41">
        <v>16.25</v>
      </c>
      <c r="H41">
        <v>17.5</v>
      </c>
      <c r="I41">
        <v>2</v>
      </c>
      <c r="J41">
        <v>1</v>
      </c>
      <c r="K41">
        <v>997</v>
      </c>
      <c r="L41">
        <v>999</v>
      </c>
      <c r="M41">
        <v>541</v>
      </c>
      <c r="N41">
        <v>216</v>
      </c>
      <c r="O41">
        <v>55</v>
      </c>
      <c r="P41">
        <v>87</v>
      </c>
      <c r="Q41">
        <v>100</v>
      </c>
      <c r="R41">
        <v>54.154154154154156</v>
      </c>
      <c r="S41">
        <v>27.127127127127125</v>
      </c>
      <c r="T41">
        <v>18.718718718718719</v>
      </c>
      <c r="U41">
        <v>-4.7262618680433182</v>
      </c>
      <c r="V41">
        <v>8.8595272990216883E-3</v>
      </c>
      <c r="W41" t="s">
        <v>534</v>
      </c>
      <c r="X41">
        <v>5.5</v>
      </c>
      <c r="Y41" t="s">
        <v>20</v>
      </c>
      <c r="Z41">
        <v>3.1E-2</v>
      </c>
      <c r="AA41">
        <v>2.61</v>
      </c>
      <c r="AB41">
        <v>0.17699999999999999</v>
      </c>
      <c r="AC41">
        <v>0.154</v>
      </c>
      <c r="AD41">
        <v>3.2359999999999998</v>
      </c>
      <c r="AE41">
        <v>3.33</v>
      </c>
      <c r="AF41">
        <v>118</v>
      </c>
      <c r="AG41">
        <v>0.31</v>
      </c>
      <c r="AH41">
        <v>1.2261687279053581</v>
      </c>
      <c r="AI41">
        <f t="shared" si="0"/>
        <v>69.437935061280427</v>
      </c>
    </row>
    <row r="42" spans="1:35" x14ac:dyDescent="0.15">
      <c r="A42" t="s">
        <v>79</v>
      </c>
      <c r="B42" t="s">
        <v>131</v>
      </c>
      <c r="C42" t="s">
        <v>102</v>
      </c>
      <c r="D42" t="s">
        <v>111</v>
      </c>
      <c r="E42" t="s">
        <v>79</v>
      </c>
      <c r="F42" t="s">
        <v>21</v>
      </c>
      <c r="G42">
        <v>52.5</v>
      </c>
      <c r="H42">
        <v>15</v>
      </c>
      <c r="I42">
        <v>0</v>
      </c>
      <c r="J42">
        <v>3</v>
      </c>
      <c r="K42">
        <v>997</v>
      </c>
      <c r="L42">
        <v>999</v>
      </c>
      <c r="M42">
        <v>611</v>
      </c>
      <c r="N42">
        <v>216</v>
      </c>
      <c r="O42">
        <v>60</v>
      </c>
      <c r="P42">
        <v>81</v>
      </c>
      <c r="Q42">
        <v>31</v>
      </c>
      <c r="R42">
        <v>61.161161161161161</v>
      </c>
      <c r="S42">
        <v>27.627627627627625</v>
      </c>
      <c r="T42">
        <v>11.211211211211211</v>
      </c>
      <c r="U42">
        <v>-5.2304091244775828</v>
      </c>
      <c r="V42">
        <v>5.3513354924002617E-3</v>
      </c>
      <c r="W42" t="s">
        <v>534</v>
      </c>
      <c r="X42">
        <v>5.7</v>
      </c>
      <c r="Y42" t="s">
        <v>20</v>
      </c>
      <c r="Z42">
        <v>1.7000000000000001E-2</v>
      </c>
      <c r="AA42">
        <v>2.41</v>
      </c>
      <c r="AB42">
        <v>0.154</v>
      </c>
      <c r="AC42">
        <v>0.35</v>
      </c>
      <c r="AD42">
        <v>1.7589999999999999</v>
      </c>
      <c r="AE42">
        <v>1.98</v>
      </c>
      <c r="AF42">
        <v>126</v>
      </c>
      <c r="AG42">
        <v>0.19</v>
      </c>
      <c r="AH42" s="139">
        <f>-0.0042*R42+1.6859</f>
        <v>1.4290231231231232</v>
      </c>
      <c r="AI42">
        <f t="shared" si="0"/>
        <v>37.704775103603602</v>
      </c>
    </row>
    <row r="43" spans="1:35" x14ac:dyDescent="0.15">
      <c r="A43" t="s">
        <v>80</v>
      </c>
      <c r="B43" t="s">
        <v>62</v>
      </c>
      <c r="C43" t="s">
        <v>103</v>
      </c>
      <c r="D43" t="s">
        <v>115</v>
      </c>
      <c r="F43" t="s">
        <v>177</v>
      </c>
      <c r="G43">
        <v>3.75</v>
      </c>
      <c r="H43">
        <v>7.5</v>
      </c>
      <c r="I43">
        <v>0</v>
      </c>
      <c r="J43">
        <v>5</v>
      </c>
      <c r="K43">
        <v>995</v>
      </c>
      <c r="L43">
        <v>999</v>
      </c>
      <c r="M43">
        <v>235</v>
      </c>
      <c r="N43">
        <v>296</v>
      </c>
      <c r="O43">
        <v>131</v>
      </c>
      <c r="P43">
        <v>212</v>
      </c>
      <c r="Q43">
        <v>125</v>
      </c>
      <c r="R43">
        <v>23.523523523523522</v>
      </c>
      <c r="S43">
        <v>42.742742742742749</v>
      </c>
      <c r="T43">
        <v>33.733733733733736</v>
      </c>
      <c r="U43">
        <v>-3.1765819444524994</v>
      </c>
      <c r="V43">
        <v>4.1728040402131135E-2</v>
      </c>
      <c r="W43" t="s">
        <v>534</v>
      </c>
      <c r="X43">
        <v>5.4</v>
      </c>
      <c r="Y43" t="s">
        <v>20</v>
      </c>
      <c r="Z43">
        <v>2.7E-2</v>
      </c>
      <c r="AA43">
        <v>1</v>
      </c>
      <c r="AB43">
        <v>0.10199999999999999</v>
      </c>
      <c r="AC43">
        <v>0.123</v>
      </c>
      <c r="AD43">
        <v>2.694</v>
      </c>
      <c r="AE43">
        <v>2.29</v>
      </c>
      <c r="AF43">
        <v>64.3</v>
      </c>
      <c r="AG43">
        <v>0.19</v>
      </c>
      <c r="AH43" s="141">
        <f>AH44-((AH44-AH45)/(G44-G45))*3.5</f>
        <v>1.2333975952605285</v>
      </c>
      <c r="AI43">
        <f t="shared" si="0"/>
        <v>24.92079841223898</v>
      </c>
    </row>
    <row r="44" spans="1:35" x14ac:dyDescent="0.15">
      <c r="A44" t="s">
        <v>80</v>
      </c>
      <c r="B44" t="s">
        <v>62</v>
      </c>
      <c r="C44" t="s">
        <v>103</v>
      </c>
      <c r="D44" t="s">
        <v>115</v>
      </c>
      <c r="F44" t="s">
        <v>175</v>
      </c>
      <c r="G44">
        <v>16.25</v>
      </c>
      <c r="H44">
        <v>17.5</v>
      </c>
      <c r="I44">
        <v>0</v>
      </c>
      <c r="J44">
        <v>10</v>
      </c>
      <c r="K44">
        <v>990</v>
      </c>
      <c r="L44">
        <v>999</v>
      </c>
      <c r="M44">
        <v>260</v>
      </c>
      <c r="N44">
        <v>377</v>
      </c>
      <c r="O44">
        <v>156</v>
      </c>
      <c r="P44">
        <v>136</v>
      </c>
      <c r="Q44">
        <v>70</v>
      </c>
      <c r="R44">
        <v>26.026026026026027</v>
      </c>
      <c r="S44">
        <v>53.353353353353349</v>
      </c>
      <c r="T44">
        <v>20.62062062062062</v>
      </c>
      <c r="U44">
        <v>-3.7399377410147832</v>
      </c>
      <c r="V44">
        <v>2.3755582083699253E-2</v>
      </c>
      <c r="W44" t="s">
        <v>534</v>
      </c>
      <c r="X44">
        <v>5.5</v>
      </c>
      <c r="Y44" t="s">
        <v>20</v>
      </c>
      <c r="Z44">
        <v>2.4E-2</v>
      </c>
      <c r="AA44">
        <v>0.85</v>
      </c>
      <c r="AB44">
        <v>0.111</v>
      </c>
      <c r="AC44">
        <v>7.2999999999999995E-2</v>
      </c>
      <c r="AD44">
        <v>1.609</v>
      </c>
      <c r="AE44">
        <v>1.46</v>
      </c>
      <c r="AF44">
        <v>69.2</v>
      </c>
      <c r="AG44">
        <v>0.15</v>
      </c>
      <c r="AH44">
        <v>1.2561011707396947</v>
      </c>
      <c r="AI44">
        <f t="shared" si="0"/>
        <v>35.368668715102956</v>
      </c>
    </row>
    <row r="45" spans="1:35" x14ac:dyDescent="0.15">
      <c r="A45" t="s">
        <v>80</v>
      </c>
      <c r="B45" t="s">
        <v>62</v>
      </c>
      <c r="C45" t="s">
        <v>103</v>
      </c>
      <c r="D45" t="s">
        <v>115</v>
      </c>
      <c r="F45" t="s">
        <v>21</v>
      </c>
      <c r="G45">
        <v>52.5</v>
      </c>
      <c r="H45">
        <v>15</v>
      </c>
      <c r="I45">
        <v>0</v>
      </c>
      <c r="J45">
        <v>0</v>
      </c>
      <c r="K45">
        <v>1000</v>
      </c>
      <c r="L45">
        <v>999</v>
      </c>
      <c r="M45">
        <v>463</v>
      </c>
      <c r="N45">
        <v>460</v>
      </c>
      <c r="O45">
        <v>64</v>
      </c>
      <c r="P45">
        <v>7</v>
      </c>
      <c r="Q45">
        <v>5</v>
      </c>
      <c r="R45">
        <v>46.346346346346344</v>
      </c>
      <c r="S45">
        <v>52.452452452452448</v>
      </c>
      <c r="T45">
        <v>1.2012012012012012</v>
      </c>
      <c r="U45">
        <v>-5.1155310941752026</v>
      </c>
      <c r="V45">
        <v>6.0027889414553566E-3</v>
      </c>
      <c r="W45" t="s">
        <v>534</v>
      </c>
      <c r="X45">
        <v>5.8</v>
      </c>
      <c r="Y45" t="s">
        <v>20</v>
      </c>
      <c r="Z45">
        <v>3.1E-2</v>
      </c>
      <c r="AA45">
        <v>0.81</v>
      </c>
      <c r="AB45">
        <v>0.318</v>
      </c>
      <c r="AC45">
        <v>0.12</v>
      </c>
      <c r="AD45">
        <v>0.59099999999999997</v>
      </c>
      <c r="AE45">
        <v>0.68</v>
      </c>
      <c r="AF45">
        <v>111</v>
      </c>
      <c r="AG45">
        <v>0.19</v>
      </c>
      <c r="AH45" s="139">
        <f>-0.0042*R45+1.6859</f>
        <v>1.4912453453453454</v>
      </c>
      <c r="AI45">
        <f t="shared" si="0"/>
        <v>13.219889986486486</v>
      </c>
    </row>
    <row r="46" spans="1:35" x14ac:dyDescent="0.15">
      <c r="A46" t="s">
        <v>22</v>
      </c>
      <c r="B46" t="s">
        <v>44</v>
      </c>
      <c r="C46" t="s">
        <v>179</v>
      </c>
      <c r="D46" t="s">
        <v>83</v>
      </c>
      <c r="E46" t="s">
        <v>22</v>
      </c>
      <c r="F46" t="s">
        <v>175</v>
      </c>
      <c r="G46">
        <v>16.25</v>
      </c>
      <c r="H46">
        <v>17.5</v>
      </c>
      <c r="I46">
        <v>6</v>
      </c>
      <c r="J46">
        <v>5</v>
      </c>
      <c r="K46">
        <v>989</v>
      </c>
      <c r="L46">
        <v>999</v>
      </c>
      <c r="M46">
        <v>106</v>
      </c>
      <c r="N46">
        <v>112</v>
      </c>
      <c r="O46">
        <v>96</v>
      </c>
      <c r="P46">
        <v>336</v>
      </c>
      <c r="Q46">
        <v>349</v>
      </c>
      <c r="R46">
        <v>10.61061061061061</v>
      </c>
      <c r="S46">
        <v>20.820820820820821</v>
      </c>
      <c r="T46">
        <v>68.568568568568566</v>
      </c>
      <c r="U46">
        <v>-1.4759125506181368</v>
      </c>
      <c r="V46">
        <v>0.22857005010505743</v>
      </c>
      <c r="W46" t="s">
        <v>534</v>
      </c>
      <c r="X46">
        <v>6.3</v>
      </c>
      <c r="Y46" t="s">
        <v>20</v>
      </c>
      <c r="Z46">
        <v>6.6000000000000003E-2</v>
      </c>
      <c r="AA46">
        <v>0.93</v>
      </c>
      <c r="AB46">
        <v>7.0000000000000007E-2</v>
      </c>
      <c r="AC46">
        <v>7.5999999999999998E-2</v>
      </c>
      <c r="AD46">
        <v>1.17</v>
      </c>
      <c r="AE46">
        <v>1.02</v>
      </c>
      <c r="AF46">
        <v>49.8</v>
      </c>
      <c r="AG46">
        <v>0.28000000000000003</v>
      </c>
      <c r="AH46">
        <v>1.3391796816079242</v>
      </c>
      <c r="AI46">
        <f t="shared" si="0"/>
        <v>27.419703980922247</v>
      </c>
    </row>
    <row r="47" spans="1:35" x14ac:dyDescent="0.15">
      <c r="A47" t="s">
        <v>22</v>
      </c>
      <c r="B47" t="s">
        <v>44</v>
      </c>
      <c r="C47" t="s">
        <v>179</v>
      </c>
      <c r="D47" t="s">
        <v>83</v>
      </c>
      <c r="E47" t="s">
        <v>22</v>
      </c>
      <c r="F47" t="s">
        <v>21</v>
      </c>
      <c r="G47">
        <v>52.5</v>
      </c>
      <c r="H47">
        <v>15</v>
      </c>
      <c r="I47">
        <v>13</v>
      </c>
      <c r="J47">
        <v>18</v>
      </c>
      <c r="K47">
        <v>968</v>
      </c>
      <c r="L47">
        <v>999</v>
      </c>
      <c r="M47">
        <v>138</v>
      </c>
      <c r="N47">
        <v>129</v>
      </c>
      <c r="O47">
        <v>95</v>
      </c>
      <c r="P47">
        <v>305</v>
      </c>
      <c r="Q47">
        <v>332</v>
      </c>
      <c r="R47">
        <v>13.813813813813812</v>
      </c>
      <c r="S47">
        <v>22.422422422422422</v>
      </c>
      <c r="T47">
        <v>63.763763763763762</v>
      </c>
      <c r="U47">
        <v>-1.7568214136683233</v>
      </c>
      <c r="V47">
        <v>0.17259259331721419</v>
      </c>
      <c r="W47" t="s">
        <v>534</v>
      </c>
      <c r="X47">
        <v>6.7</v>
      </c>
      <c r="Y47" t="s">
        <v>20</v>
      </c>
      <c r="Z47">
        <v>1.2999999999999999E-2</v>
      </c>
      <c r="AA47">
        <v>0.82</v>
      </c>
      <c r="AB47">
        <v>4.9000000000000002E-2</v>
      </c>
      <c r="AC47">
        <v>5.3999999999999999E-2</v>
      </c>
      <c r="AD47">
        <v>0.28100000000000003</v>
      </c>
      <c r="AE47">
        <v>0.28999999999999998</v>
      </c>
      <c r="AF47">
        <v>43.2</v>
      </c>
      <c r="AG47">
        <v>0.11</v>
      </c>
      <c r="AH47">
        <v>1.322106424822955</v>
      </c>
      <c r="AI47">
        <f t="shared" si="0"/>
        <v>5.5726785806287555</v>
      </c>
    </row>
    <row r="48" spans="1:35" x14ac:dyDescent="0.15">
      <c r="A48" t="s">
        <v>23</v>
      </c>
      <c r="B48" t="s">
        <v>45</v>
      </c>
      <c r="C48" t="s">
        <v>179</v>
      </c>
      <c r="D48" t="s">
        <v>83</v>
      </c>
      <c r="E48" t="s">
        <v>23</v>
      </c>
      <c r="F48" t="s">
        <v>177</v>
      </c>
      <c r="G48">
        <v>3.75</v>
      </c>
      <c r="H48">
        <v>7.5</v>
      </c>
      <c r="I48">
        <v>8</v>
      </c>
      <c r="J48">
        <v>10</v>
      </c>
      <c r="K48">
        <v>982</v>
      </c>
      <c r="L48">
        <v>999</v>
      </c>
      <c r="M48">
        <v>121</v>
      </c>
      <c r="N48">
        <v>123</v>
      </c>
      <c r="O48">
        <v>102</v>
      </c>
      <c r="P48">
        <v>330</v>
      </c>
      <c r="Q48">
        <v>323</v>
      </c>
      <c r="R48">
        <v>12.112112112112113</v>
      </c>
      <c r="S48">
        <v>22.522522522522522</v>
      </c>
      <c r="T48">
        <v>65.365365365365363</v>
      </c>
      <c r="U48">
        <v>-1.6425298593107842</v>
      </c>
      <c r="V48">
        <v>0.19348992030603543</v>
      </c>
      <c r="W48" t="s">
        <v>534</v>
      </c>
      <c r="X48">
        <v>5.9</v>
      </c>
      <c r="Y48" t="s">
        <v>20</v>
      </c>
      <c r="AA48">
        <v>1.31</v>
      </c>
      <c r="AB48">
        <v>9.5000000000000001E-2</v>
      </c>
      <c r="AC48">
        <v>0.20399999999999999</v>
      </c>
      <c r="AD48">
        <v>2.3609999999999998</v>
      </c>
      <c r="AE48">
        <v>1.92</v>
      </c>
      <c r="AF48">
        <v>51</v>
      </c>
      <c r="AG48">
        <v>0.3</v>
      </c>
      <c r="AH48" s="141">
        <f>AH49-((AH49-AH50)/(G49-G50))*3.5</f>
        <v>1.3467345578519603</v>
      </c>
      <c r="AI48">
        <f t="shared" si="0"/>
        <v>23.847302183163585</v>
      </c>
    </row>
    <row r="49" spans="1:35" x14ac:dyDescent="0.15">
      <c r="A49" t="s">
        <v>23</v>
      </c>
      <c r="B49" t="s">
        <v>45</v>
      </c>
      <c r="C49" t="s">
        <v>179</v>
      </c>
      <c r="D49" t="s">
        <v>83</v>
      </c>
      <c r="E49" t="s">
        <v>23</v>
      </c>
      <c r="F49" t="s">
        <v>175</v>
      </c>
      <c r="G49">
        <v>16.25</v>
      </c>
      <c r="H49">
        <v>17.5</v>
      </c>
      <c r="I49">
        <v>9</v>
      </c>
      <c r="J49">
        <v>14</v>
      </c>
      <c r="K49">
        <v>977</v>
      </c>
      <c r="L49">
        <v>999</v>
      </c>
      <c r="M49">
        <v>112</v>
      </c>
      <c r="N49">
        <v>122</v>
      </c>
      <c r="O49">
        <v>95</v>
      </c>
      <c r="P49">
        <v>324</v>
      </c>
      <c r="Q49">
        <v>346</v>
      </c>
      <c r="R49">
        <v>11.211211211211211</v>
      </c>
      <c r="S49">
        <v>21.721721721721721</v>
      </c>
      <c r="T49">
        <v>67.067067067067072</v>
      </c>
      <c r="U49">
        <v>-1.55065113873765</v>
      </c>
      <c r="V49">
        <v>0.21210981593385608</v>
      </c>
      <c r="W49" t="s">
        <v>534</v>
      </c>
      <c r="X49">
        <v>6.2</v>
      </c>
      <c r="Y49" t="s">
        <v>20</v>
      </c>
      <c r="AA49">
        <v>1.26</v>
      </c>
      <c r="AB49">
        <v>7.4999999999999997E-2</v>
      </c>
      <c r="AC49">
        <v>9.1999999999999998E-2</v>
      </c>
      <c r="AD49">
        <v>1.7609999999999999</v>
      </c>
      <c r="AE49">
        <v>1.52</v>
      </c>
      <c r="AF49">
        <v>48.2</v>
      </c>
      <c r="AG49">
        <v>0.26</v>
      </c>
      <c r="AH49">
        <v>1.3481893971918628</v>
      </c>
      <c r="AI49">
        <f t="shared" si="0"/>
        <v>41.547826747960229</v>
      </c>
    </row>
    <row r="50" spans="1:35" x14ac:dyDescent="0.15">
      <c r="A50" t="s">
        <v>23</v>
      </c>
      <c r="B50" t="s">
        <v>45</v>
      </c>
      <c r="C50" t="s">
        <v>179</v>
      </c>
      <c r="D50" t="s">
        <v>83</v>
      </c>
      <c r="E50" t="s">
        <v>23</v>
      </c>
      <c r="F50" t="s">
        <v>21</v>
      </c>
      <c r="G50">
        <v>52.5</v>
      </c>
      <c r="H50">
        <v>15</v>
      </c>
      <c r="I50">
        <v>34</v>
      </c>
      <c r="J50">
        <v>15</v>
      </c>
      <c r="K50">
        <v>951</v>
      </c>
      <c r="L50">
        <v>999</v>
      </c>
      <c r="M50">
        <v>146</v>
      </c>
      <c r="N50">
        <v>117</v>
      </c>
      <c r="O50">
        <v>89</v>
      </c>
      <c r="P50">
        <v>288</v>
      </c>
      <c r="Q50">
        <v>359</v>
      </c>
      <c r="R50">
        <v>14.614614614614615</v>
      </c>
      <c r="S50">
        <v>20.62062062062062</v>
      </c>
      <c r="T50">
        <v>64.764764764764763</v>
      </c>
      <c r="U50">
        <v>-1.7461319830063229</v>
      </c>
      <c r="V50">
        <v>0.1744474056587329</v>
      </c>
      <c r="W50" t="s">
        <v>534</v>
      </c>
      <c r="X50">
        <v>6.9</v>
      </c>
      <c r="Y50" t="s">
        <v>20</v>
      </c>
      <c r="AA50">
        <v>1.0900000000000001</v>
      </c>
      <c r="AB50">
        <v>5.3999999999999999E-2</v>
      </c>
      <c r="AC50">
        <v>5.1999999999999998E-2</v>
      </c>
      <c r="AD50">
        <v>0.317</v>
      </c>
      <c r="AE50">
        <v>0.32</v>
      </c>
      <c r="AF50">
        <v>41.7</v>
      </c>
      <c r="AG50">
        <v>0.14000000000000001</v>
      </c>
      <c r="AH50">
        <v>1.3632573760694247</v>
      </c>
      <c r="AI50">
        <f t="shared" si="0"/>
        <v>6.4822888232101148</v>
      </c>
    </row>
    <row r="51" spans="1:35" x14ac:dyDescent="0.15">
      <c r="A51" t="s">
        <v>24</v>
      </c>
      <c r="B51" t="s">
        <v>46</v>
      </c>
      <c r="C51" t="s">
        <v>179</v>
      </c>
      <c r="D51" t="s">
        <v>83</v>
      </c>
      <c r="E51" t="s">
        <v>24</v>
      </c>
      <c r="F51" t="s">
        <v>177</v>
      </c>
      <c r="G51">
        <v>3.75</v>
      </c>
      <c r="H51">
        <v>7.5</v>
      </c>
      <c r="I51">
        <v>7</v>
      </c>
      <c r="J51">
        <v>15</v>
      </c>
      <c r="K51">
        <v>978</v>
      </c>
      <c r="L51">
        <v>999</v>
      </c>
      <c r="M51">
        <v>122</v>
      </c>
      <c r="N51">
        <v>138</v>
      </c>
      <c r="O51">
        <v>108</v>
      </c>
      <c r="P51">
        <v>305</v>
      </c>
      <c r="Q51">
        <v>326</v>
      </c>
      <c r="R51">
        <v>12.212212212212211</v>
      </c>
      <c r="S51">
        <v>24.624624624624623</v>
      </c>
      <c r="T51">
        <v>63.163163163163162</v>
      </c>
      <c r="U51">
        <v>-1.7267078636312487</v>
      </c>
      <c r="V51">
        <v>0.17786901619725889</v>
      </c>
      <c r="W51" t="s">
        <v>534</v>
      </c>
      <c r="X51">
        <v>6.2</v>
      </c>
      <c r="Y51" t="s">
        <v>20</v>
      </c>
      <c r="AA51">
        <v>1.31</v>
      </c>
      <c r="AB51">
        <v>6.7000000000000004E-2</v>
      </c>
      <c r="AC51">
        <v>0.152</v>
      </c>
      <c r="AD51">
        <v>1.8079999999999998</v>
      </c>
      <c r="AE51">
        <v>1.43</v>
      </c>
      <c r="AF51">
        <v>53.1</v>
      </c>
      <c r="AG51">
        <v>0.25</v>
      </c>
      <c r="AH51" s="141">
        <f>AH52-((AH52-AH53)/(G52-G53))*3.5</f>
        <v>1.3119807965112138</v>
      </c>
      <c r="AI51">
        <f t="shared" si="0"/>
        <v>17.790459600692056</v>
      </c>
    </row>
    <row r="52" spans="1:35" x14ac:dyDescent="0.15">
      <c r="A52" t="s">
        <v>24</v>
      </c>
      <c r="B52" t="s">
        <v>46</v>
      </c>
      <c r="C52" t="s">
        <v>179</v>
      </c>
      <c r="D52" t="s">
        <v>83</v>
      </c>
      <c r="E52" t="s">
        <v>24</v>
      </c>
      <c r="F52" t="s">
        <v>175</v>
      </c>
      <c r="G52">
        <v>16.25</v>
      </c>
      <c r="H52">
        <v>17.5</v>
      </c>
      <c r="I52">
        <v>12</v>
      </c>
      <c r="J52">
        <v>64</v>
      </c>
      <c r="K52">
        <v>924</v>
      </c>
      <c r="L52">
        <v>999</v>
      </c>
      <c r="M52">
        <v>130</v>
      </c>
      <c r="N52">
        <v>145</v>
      </c>
      <c r="O52">
        <v>113</v>
      </c>
      <c r="P52">
        <v>302</v>
      </c>
      <c r="Q52">
        <v>309</v>
      </c>
      <c r="R52">
        <v>13.013013013013014</v>
      </c>
      <c r="S52">
        <v>25.825825825825827</v>
      </c>
      <c r="T52">
        <v>61.161161161161161</v>
      </c>
      <c r="U52">
        <v>-1.8263593144572674</v>
      </c>
      <c r="V52">
        <v>0.16099864753168616</v>
      </c>
      <c r="W52" t="s">
        <v>534</v>
      </c>
      <c r="X52">
        <v>6.3</v>
      </c>
      <c r="Y52" t="s">
        <v>20</v>
      </c>
      <c r="AA52">
        <v>1.34</v>
      </c>
      <c r="AB52">
        <v>5.7000000000000002E-2</v>
      </c>
      <c r="AC52">
        <v>7.1999999999999995E-2</v>
      </c>
      <c r="AD52">
        <v>1.738</v>
      </c>
      <c r="AE52">
        <v>1.43</v>
      </c>
      <c r="AF52">
        <v>56.4</v>
      </c>
      <c r="AG52">
        <v>0.28999999999999998</v>
      </c>
      <c r="AH52">
        <v>1.3134860049121955</v>
      </c>
      <c r="AI52">
        <f t="shared" si="0"/>
        <v>39.949676839404425</v>
      </c>
    </row>
    <row r="53" spans="1:35" x14ac:dyDescent="0.15">
      <c r="A53" t="s">
        <v>24</v>
      </c>
      <c r="B53" t="s">
        <v>46</v>
      </c>
      <c r="C53" t="s">
        <v>179</v>
      </c>
      <c r="D53" t="s">
        <v>83</v>
      </c>
      <c r="E53" t="s">
        <v>24</v>
      </c>
      <c r="F53" t="s">
        <v>21</v>
      </c>
      <c r="G53">
        <v>52.5</v>
      </c>
      <c r="H53">
        <v>15</v>
      </c>
      <c r="I53">
        <v>17</v>
      </c>
      <c r="J53">
        <v>6</v>
      </c>
      <c r="K53">
        <v>977</v>
      </c>
      <c r="L53">
        <v>994</v>
      </c>
      <c r="M53">
        <v>172</v>
      </c>
      <c r="N53">
        <v>160</v>
      </c>
      <c r="O53">
        <v>115</v>
      </c>
      <c r="P53">
        <v>253</v>
      </c>
      <c r="Q53">
        <v>294</v>
      </c>
      <c r="R53">
        <v>17.303822937625753</v>
      </c>
      <c r="S53">
        <v>27.665995975855129</v>
      </c>
      <c r="T53">
        <v>55.030181086519114</v>
      </c>
      <c r="U53">
        <v>-2.1914317934227108</v>
      </c>
      <c r="V53">
        <v>0.11175662161451758</v>
      </c>
      <c r="W53" t="s">
        <v>534</v>
      </c>
      <c r="X53">
        <v>7.8</v>
      </c>
      <c r="Y53" t="s">
        <v>475</v>
      </c>
      <c r="AA53">
        <v>4.24</v>
      </c>
      <c r="AB53">
        <v>6.6000000000000003E-2</v>
      </c>
      <c r="AC53">
        <v>4.5999999999999999E-2</v>
      </c>
      <c r="AD53">
        <v>2.2130000000000001</v>
      </c>
      <c r="AE53">
        <v>1.69</v>
      </c>
      <c r="AF53">
        <v>64.400000000000006</v>
      </c>
      <c r="AG53">
        <v>0.33</v>
      </c>
      <c r="AH53">
        <v>1.3290756633509349</v>
      </c>
      <c r="AI53">
        <f t="shared" si="0"/>
        <v>44.118666644934287</v>
      </c>
    </row>
    <row r="54" spans="1:35" x14ac:dyDescent="0.15">
      <c r="A54" t="s">
        <v>25</v>
      </c>
      <c r="B54" t="s">
        <v>47</v>
      </c>
      <c r="C54" t="s">
        <v>195</v>
      </c>
      <c r="D54" t="s">
        <v>83</v>
      </c>
      <c r="E54" t="s">
        <v>25</v>
      </c>
      <c r="F54" t="s">
        <v>177</v>
      </c>
      <c r="G54">
        <v>3.75</v>
      </c>
      <c r="H54">
        <v>7.5</v>
      </c>
      <c r="I54">
        <v>25</v>
      </c>
      <c r="J54">
        <v>64</v>
      </c>
      <c r="K54">
        <v>911</v>
      </c>
      <c r="L54">
        <v>999</v>
      </c>
      <c r="M54">
        <v>160</v>
      </c>
      <c r="N54">
        <v>160</v>
      </c>
      <c r="O54">
        <v>96</v>
      </c>
      <c r="P54">
        <v>239</v>
      </c>
      <c r="Q54">
        <v>344</v>
      </c>
      <c r="R54">
        <v>16.016016016016017</v>
      </c>
      <c r="S54">
        <v>25.625625625625624</v>
      </c>
      <c r="T54">
        <v>58.358358358358352</v>
      </c>
      <c r="U54">
        <v>-2.0271848740569403</v>
      </c>
      <c r="V54">
        <v>0.13170576808268319</v>
      </c>
      <c r="W54" t="s">
        <v>534</v>
      </c>
      <c r="X54">
        <v>5.8</v>
      </c>
      <c r="Y54" t="s">
        <v>20</v>
      </c>
      <c r="AA54">
        <v>1.37</v>
      </c>
      <c r="AB54">
        <v>6.6000000000000003E-2</v>
      </c>
      <c r="AC54">
        <v>0.17</v>
      </c>
      <c r="AD54">
        <v>2.7</v>
      </c>
      <c r="AE54">
        <v>2.06</v>
      </c>
      <c r="AF54">
        <v>76.099999999999994</v>
      </c>
      <c r="AG54">
        <v>0.38</v>
      </c>
      <c r="AH54" s="141">
        <f>AH55-((AH55-AH56)/(G55-G56))*3.5</f>
        <v>1.2810882425189962</v>
      </c>
      <c r="AI54">
        <f t="shared" si="0"/>
        <v>25.942036911009673</v>
      </c>
    </row>
    <row r="55" spans="1:35" x14ac:dyDescent="0.15">
      <c r="A55" t="s">
        <v>25</v>
      </c>
      <c r="B55" t="s">
        <v>47</v>
      </c>
      <c r="C55" t="s">
        <v>195</v>
      </c>
      <c r="D55" t="s">
        <v>83</v>
      </c>
      <c r="E55" t="s">
        <v>25</v>
      </c>
      <c r="F55" t="s">
        <v>175</v>
      </c>
      <c r="G55">
        <v>16.25</v>
      </c>
      <c r="H55">
        <v>17.5</v>
      </c>
      <c r="I55">
        <v>41</v>
      </c>
      <c r="J55">
        <v>68</v>
      </c>
      <c r="K55">
        <v>892</v>
      </c>
      <c r="L55">
        <v>999</v>
      </c>
      <c r="M55">
        <v>165</v>
      </c>
      <c r="N55">
        <v>164</v>
      </c>
      <c r="O55">
        <v>97</v>
      </c>
      <c r="P55">
        <v>253</v>
      </c>
      <c r="Q55">
        <v>320</v>
      </c>
      <c r="R55">
        <v>16.516516516516518</v>
      </c>
      <c r="S55">
        <v>26.126126126126124</v>
      </c>
      <c r="T55">
        <v>57.357357357357351</v>
      </c>
      <c r="U55">
        <v>-2.0802719573658668</v>
      </c>
      <c r="V55">
        <v>0.12489624112670671</v>
      </c>
      <c r="W55" t="s">
        <v>534</v>
      </c>
      <c r="X55">
        <v>5.8</v>
      </c>
      <c r="Y55" t="s">
        <v>20</v>
      </c>
      <c r="AA55">
        <v>1.33</v>
      </c>
      <c r="AB55">
        <v>5.8000000000000003E-2</v>
      </c>
      <c r="AC55">
        <v>0.105</v>
      </c>
      <c r="AD55">
        <v>2.25</v>
      </c>
      <c r="AE55">
        <v>1.75</v>
      </c>
      <c r="AF55">
        <v>75.3</v>
      </c>
      <c r="AG55">
        <v>0.39</v>
      </c>
      <c r="AH55">
        <v>1.2824238762126983</v>
      </c>
      <c r="AI55">
        <f t="shared" si="0"/>
        <v>50.495440125875</v>
      </c>
    </row>
    <row r="56" spans="1:35" x14ac:dyDescent="0.15">
      <c r="A56" t="s">
        <v>25</v>
      </c>
      <c r="B56" t="s">
        <v>47</v>
      </c>
      <c r="C56" t="s">
        <v>195</v>
      </c>
      <c r="D56" t="s">
        <v>83</v>
      </c>
      <c r="E56" t="s">
        <v>25</v>
      </c>
      <c r="F56" t="s">
        <v>21</v>
      </c>
      <c r="G56">
        <v>52.5</v>
      </c>
      <c r="H56">
        <v>15</v>
      </c>
      <c r="I56">
        <v>30</v>
      </c>
      <c r="J56">
        <v>38</v>
      </c>
      <c r="K56">
        <v>932</v>
      </c>
      <c r="L56">
        <v>999</v>
      </c>
      <c r="M56">
        <v>221</v>
      </c>
      <c r="N56">
        <v>179</v>
      </c>
      <c r="O56">
        <v>97</v>
      </c>
      <c r="P56">
        <v>225</v>
      </c>
      <c r="Q56">
        <v>277</v>
      </c>
      <c r="R56">
        <v>22.122122122122121</v>
      </c>
      <c r="S56">
        <v>27.627627627627625</v>
      </c>
      <c r="T56">
        <v>50.250250250250247</v>
      </c>
      <c r="U56">
        <v>-2.5240480857255521</v>
      </c>
      <c r="V56">
        <v>8.0134557721013702E-2</v>
      </c>
      <c r="W56" t="s">
        <v>534</v>
      </c>
      <c r="X56">
        <v>6.3</v>
      </c>
      <c r="Y56" t="s">
        <v>20</v>
      </c>
      <c r="AA56">
        <v>1.5</v>
      </c>
      <c r="AB56">
        <v>7.0000000000000007E-2</v>
      </c>
      <c r="AC56">
        <v>5.0999999999999997E-2</v>
      </c>
      <c r="AD56">
        <v>0.438</v>
      </c>
      <c r="AE56">
        <v>0.4</v>
      </c>
      <c r="AF56">
        <v>58.5</v>
      </c>
      <c r="AG56">
        <v>0.21</v>
      </c>
      <c r="AH56">
        <v>1.2962572251831839</v>
      </c>
      <c r="AI56">
        <f t="shared" si="0"/>
        <v>8.5164099694535178</v>
      </c>
    </row>
    <row r="57" spans="1:35" x14ac:dyDescent="0.15">
      <c r="A57" t="s">
        <v>25</v>
      </c>
      <c r="B57" t="s">
        <v>48</v>
      </c>
      <c r="C57" t="s">
        <v>195</v>
      </c>
      <c r="D57" t="s">
        <v>83</v>
      </c>
      <c r="E57" t="s">
        <v>26</v>
      </c>
      <c r="F57" t="s">
        <v>177</v>
      </c>
      <c r="G57">
        <v>3.75</v>
      </c>
      <c r="H57">
        <v>7.5</v>
      </c>
      <c r="I57">
        <v>42</v>
      </c>
      <c r="J57">
        <v>45</v>
      </c>
      <c r="K57">
        <v>913</v>
      </c>
      <c r="L57">
        <v>999</v>
      </c>
      <c r="M57">
        <v>120</v>
      </c>
      <c r="N57">
        <v>164</v>
      </c>
      <c r="O57">
        <v>101</v>
      </c>
      <c r="P57">
        <v>249</v>
      </c>
      <c r="Q57">
        <v>365</v>
      </c>
      <c r="R57">
        <v>12.012012012012011</v>
      </c>
      <c r="S57">
        <v>26.526526526526528</v>
      </c>
      <c r="T57">
        <v>61.461461461461461</v>
      </c>
      <c r="U57">
        <v>-1.782711647349291</v>
      </c>
      <c r="V57">
        <v>0.16818147952432871</v>
      </c>
      <c r="W57" t="s">
        <v>534</v>
      </c>
      <c r="X57">
        <v>5.6</v>
      </c>
      <c r="Y57" t="s">
        <v>20</v>
      </c>
      <c r="AA57">
        <v>0.72</v>
      </c>
      <c r="AB57">
        <v>5.8999999999999997E-2</v>
      </c>
      <c r="AC57">
        <v>0.14099999999999999</v>
      </c>
      <c r="AD57">
        <v>1.64</v>
      </c>
      <c r="AE57">
        <v>1.39</v>
      </c>
      <c r="AF57">
        <v>62.9</v>
      </c>
      <c r="AG57">
        <v>0.32</v>
      </c>
      <c r="AH57" s="141"/>
    </row>
    <row r="58" spans="1:35" x14ac:dyDescent="0.15">
      <c r="A58" t="s">
        <v>26</v>
      </c>
      <c r="B58" t="s">
        <v>48</v>
      </c>
      <c r="C58" t="s">
        <v>195</v>
      </c>
      <c r="D58" t="s">
        <v>83</v>
      </c>
      <c r="E58" t="s">
        <v>26</v>
      </c>
      <c r="F58" t="s">
        <v>175</v>
      </c>
      <c r="G58">
        <v>16.25</v>
      </c>
      <c r="H58">
        <v>17.5</v>
      </c>
      <c r="I58">
        <v>39</v>
      </c>
      <c r="J58">
        <v>96</v>
      </c>
      <c r="K58">
        <v>865</v>
      </c>
      <c r="L58">
        <v>999</v>
      </c>
      <c r="M58">
        <v>118</v>
      </c>
      <c r="N58">
        <v>158</v>
      </c>
      <c r="O58">
        <v>104</v>
      </c>
      <c r="P58">
        <v>219</v>
      </c>
      <c r="Q58">
        <v>400</v>
      </c>
      <c r="R58">
        <v>11.811811811811811</v>
      </c>
      <c r="S58">
        <v>26.226226226226224</v>
      </c>
      <c r="T58">
        <v>61.961961961961961</v>
      </c>
      <c r="U58">
        <v>-1.7577987846427865</v>
      </c>
      <c r="V58">
        <v>0.17242398873413312</v>
      </c>
      <c r="W58" t="s">
        <v>534</v>
      </c>
      <c r="X58">
        <v>5.5</v>
      </c>
      <c r="Y58" t="s">
        <v>20</v>
      </c>
      <c r="AA58">
        <v>0.66</v>
      </c>
      <c r="AB58">
        <v>4.5999999999999999E-2</v>
      </c>
      <c r="AC58">
        <v>8.7999999999999995E-2</v>
      </c>
      <c r="AD58">
        <v>1.2789999999999999</v>
      </c>
      <c r="AE58">
        <v>1.1599999999999999</v>
      </c>
      <c r="AF58">
        <v>64.7</v>
      </c>
      <c r="AG58">
        <v>0.34</v>
      </c>
      <c r="AH58">
        <v>1.3364667103033285</v>
      </c>
      <c r="AI58">
        <f t="shared" si="0"/>
        <v>29.91346614336425</v>
      </c>
    </row>
    <row r="59" spans="1:35" x14ac:dyDescent="0.15">
      <c r="A59" t="s">
        <v>27</v>
      </c>
      <c r="B59" t="s">
        <v>49</v>
      </c>
      <c r="C59" t="s">
        <v>195</v>
      </c>
      <c r="D59" t="s">
        <v>83</v>
      </c>
      <c r="E59" t="s">
        <v>27</v>
      </c>
      <c r="F59" t="s">
        <v>177</v>
      </c>
      <c r="G59">
        <v>3.75</v>
      </c>
      <c r="H59">
        <v>7.5</v>
      </c>
      <c r="I59">
        <v>20</v>
      </c>
      <c r="J59">
        <v>12</v>
      </c>
      <c r="K59">
        <v>968</v>
      </c>
      <c r="L59">
        <v>999</v>
      </c>
      <c r="M59">
        <v>213</v>
      </c>
      <c r="N59">
        <v>212</v>
      </c>
      <c r="O59">
        <v>119</v>
      </c>
      <c r="P59">
        <v>201</v>
      </c>
      <c r="Q59">
        <v>254</v>
      </c>
      <c r="R59">
        <v>21.321321321321321</v>
      </c>
      <c r="S59">
        <v>33.133133133133136</v>
      </c>
      <c r="T59">
        <v>45.545545545545544</v>
      </c>
      <c r="U59">
        <v>-2.6708246035561092</v>
      </c>
      <c r="V59">
        <v>6.9195143216370367E-2</v>
      </c>
      <c r="W59" t="s">
        <v>534</v>
      </c>
      <c r="X59">
        <v>6</v>
      </c>
      <c r="Y59" t="s">
        <v>20</v>
      </c>
      <c r="AA59">
        <v>1.94</v>
      </c>
      <c r="AB59">
        <v>0.10299999999999999</v>
      </c>
      <c r="AC59">
        <v>0.19700000000000001</v>
      </c>
      <c r="AD59">
        <v>2.125</v>
      </c>
      <c r="AE59">
        <v>1.81</v>
      </c>
      <c r="AF59">
        <v>78.8</v>
      </c>
      <c r="AG59">
        <v>0.59</v>
      </c>
      <c r="AH59">
        <v>1.3516035746039536</v>
      </c>
      <c r="AI59">
        <f t="shared" si="0"/>
        <v>21.541181970250513</v>
      </c>
    </row>
    <row r="60" spans="1:35" x14ac:dyDescent="0.15">
      <c r="A60" t="s">
        <v>27</v>
      </c>
      <c r="B60" t="s">
        <v>49</v>
      </c>
      <c r="C60" t="s">
        <v>195</v>
      </c>
      <c r="D60" t="s">
        <v>83</v>
      </c>
      <c r="E60" t="s">
        <v>27</v>
      </c>
      <c r="F60" t="s">
        <v>175</v>
      </c>
      <c r="G60">
        <v>16.25</v>
      </c>
      <c r="H60">
        <v>17.5</v>
      </c>
      <c r="I60">
        <v>30</v>
      </c>
      <c r="J60">
        <v>54</v>
      </c>
      <c r="K60">
        <v>916</v>
      </c>
      <c r="L60">
        <v>999</v>
      </c>
      <c r="M60">
        <v>211</v>
      </c>
      <c r="N60">
        <v>201</v>
      </c>
      <c r="O60">
        <v>120</v>
      </c>
      <c r="P60">
        <v>193</v>
      </c>
      <c r="Q60">
        <v>274</v>
      </c>
      <c r="R60">
        <v>21.121121121121121</v>
      </c>
      <c r="S60">
        <v>32.132132132132128</v>
      </c>
      <c r="T60">
        <v>46.746746746746751</v>
      </c>
      <c r="U60">
        <v>-2.6201655351690669</v>
      </c>
      <c r="V60">
        <v>7.279081239064196E-2</v>
      </c>
      <c r="W60" t="s">
        <v>534</v>
      </c>
      <c r="X60">
        <v>6.1</v>
      </c>
      <c r="Y60" t="s">
        <v>20</v>
      </c>
      <c r="AA60">
        <v>2.02</v>
      </c>
      <c r="AB60">
        <v>8.8999999999999996E-2</v>
      </c>
      <c r="AC60">
        <v>0.109</v>
      </c>
      <c r="AD60">
        <v>1.282</v>
      </c>
      <c r="AE60">
        <v>1.24</v>
      </c>
      <c r="AF60">
        <v>79.2</v>
      </c>
      <c r="AG60">
        <v>0.67</v>
      </c>
      <c r="AH60">
        <v>1.2687576160301286</v>
      </c>
      <c r="AI60">
        <f t="shared" si="0"/>
        <v>28.464577115635937</v>
      </c>
    </row>
    <row r="61" spans="1:35" x14ac:dyDescent="0.15">
      <c r="A61" t="s">
        <v>27</v>
      </c>
      <c r="B61" t="s">
        <v>49</v>
      </c>
      <c r="C61" t="s">
        <v>195</v>
      </c>
      <c r="D61" t="s">
        <v>83</v>
      </c>
      <c r="E61" t="s">
        <v>27</v>
      </c>
      <c r="F61" t="s">
        <v>21</v>
      </c>
      <c r="G61">
        <v>52.5</v>
      </c>
      <c r="H61">
        <v>15</v>
      </c>
      <c r="I61">
        <v>2</v>
      </c>
      <c r="J61">
        <v>20</v>
      </c>
      <c r="K61">
        <v>978</v>
      </c>
      <c r="L61">
        <v>994</v>
      </c>
      <c r="M61">
        <v>352</v>
      </c>
      <c r="N61">
        <v>307</v>
      </c>
      <c r="O61">
        <v>141</v>
      </c>
      <c r="P61">
        <v>105</v>
      </c>
      <c r="Q61">
        <v>89</v>
      </c>
      <c r="R61">
        <v>35.412474849094565</v>
      </c>
      <c r="S61">
        <v>45.070422535211272</v>
      </c>
      <c r="T61">
        <v>19.517102615694164</v>
      </c>
      <c r="U61">
        <v>-4.0863044339130328</v>
      </c>
      <c r="V61">
        <v>1.6801208948982821E-2</v>
      </c>
      <c r="W61" t="s">
        <v>534</v>
      </c>
      <c r="X61">
        <v>7.5</v>
      </c>
      <c r="Y61" t="s">
        <v>475</v>
      </c>
      <c r="AA61">
        <v>4.24</v>
      </c>
      <c r="AB61">
        <v>0.106</v>
      </c>
      <c r="AC61">
        <v>0.129</v>
      </c>
      <c r="AD61">
        <v>0.378</v>
      </c>
      <c r="AE61">
        <v>0.53</v>
      </c>
      <c r="AF61">
        <v>81.8</v>
      </c>
      <c r="AG61">
        <v>0.34</v>
      </c>
      <c r="AH61">
        <v>1.2806245709607438</v>
      </c>
      <c r="AI61">
        <f t="shared" si="0"/>
        <v>7.261141317347418</v>
      </c>
    </row>
    <row r="62" spans="1:35" x14ac:dyDescent="0.15">
      <c r="A62" t="s">
        <v>28</v>
      </c>
      <c r="B62" t="s">
        <v>50</v>
      </c>
      <c r="C62" t="s">
        <v>50</v>
      </c>
      <c r="D62" t="s">
        <v>91</v>
      </c>
      <c r="E62" t="s">
        <v>28</v>
      </c>
      <c r="F62" t="s">
        <v>177</v>
      </c>
      <c r="G62">
        <v>3.75</v>
      </c>
      <c r="H62">
        <v>7.5</v>
      </c>
      <c r="I62">
        <v>1</v>
      </c>
      <c r="J62">
        <v>5</v>
      </c>
      <c r="K62">
        <v>993</v>
      </c>
      <c r="L62">
        <v>999</v>
      </c>
      <c r="M62">
        <v>145</v>
      </c>
      <c r="N62">
        <v>199</v>
      </c>
      <c r="O62">
        <v>177</v>
      </c>
      <c r="P62">
        <v>287</v>
      </c>
      <c r="Q62">
        <v>191</v>
      </c>
      <c r="R62">
        <v>14.514514514514515</v>
      </c>
      <c r="S62">
        <v>37.637637637637638</v>
      </c>
      <c r="T62">
        <v>47.847847847847845</v>
      </c>
      <c r="U62">
        <v>-2.3644575908262446</v>
      </c>
      <c r="V62">
        <v>9.4000273153670405E-2</v>
      </c>
      <c r="W62" t="s">
        <v>534</v>
      </c>
      <c r="X62">
        <v>5.6</v>
      </c>
      <c r="Y62" t="s">
        <v>20</v>
      </c>
      <c r="AA62">
        <v>0.9</v>
      </c>
      <c r="AB62">
        <v>7.0000000000000007E-2</v>
      </c>
      <c r="AC62">
        <v>0.18</v>
      </c>
      <c r="AD62">
        <v>1.9850000000000001</v>
      </c>
      <c r="AE62">
        <v>1.24</v>
      </c>
      <c r="AF62">
        <v>48.9</v>
      </c>
      <c r="AG62">
        <v>0.18</v>
      </c>
      <c r="AH62" s="141">
        <f>AH63-((AH63-AH64)/(G63-G64))*3.5</f>
        <v>1.2911465402149238</v>
      </c>
      <c r="AI62">
        <f t="shared" si="0"/>
        <v>19.221944117449677</v>
      </c>
    </row>
    <row r="63" spans="1:35" x14ac:dyDescent="0.15">
      <c r="A63" t="s">
        <v>28</v>
      </c>
      <c r="B63" t="s">
        <v>50</v>
      </c>
      <c r="C63" t="s">
        <v>50</v>
      </c>
      <c r="D63" t="s">
        <v>91</v>
      </c>
      <c r="E63" t="s">
        <v>28</v>
      </c>
      <c r="F63" t="s">
        <v>175</v>
      </c>
      <c r="G63">
        <v>16.25</v>
      </c>
      <c r="H63">
        <v>17.5</v>
      </c>
      <c r="I63">
        <v>0</v>
      </c>
      <c r="J63">
        <v>1</v>
      </c>
      <c r="K63">
        <v>999</v>
      </c>
      <c r="L63">
        <v>999</v>
      </c>
      <c r="M63">
        <v>161</v>
      </c>
      <c r="N63">
        <v>227</v>
      </c>
      <c r="O63">
        <v>191</v>
      </c>
      <c r="P63">
        <v>301</v>
      </c>
      <c r="Q63">
        <v>119</v>
      </c>
      <c r="R63">
        <v>16.116116116116117</v>
      </c>
      <c r="S63">
        <v>41.841841841841841</v>
      </c>
      <c r="T63">
        <v>42.042042042042041</v>
      </c>
      <c r="U63">
        <v>-2.6299650213710932</v>
      </c>
      <c r="V63">
        <v>7.2080983488643585E-2</v>
      </c>
      <c r="W63" t="s">
        <v>534</v>
      </c>
      <c r="X63">
        <v>5.6</v>
      </c>
      <c r="Y63" t="s">
        <v>20</v>
      </c>
      <c r="AA63">
        <v>0.85</v>
      </c>
      <c r="AB63">
        <v>6.2E-2</v>
      </c>
      <c r="AC63">
        <v>0.11</v>
      </c>
      <c r="AD63">
        <v>1.4279999999999999</v>
      </c>
      <c r="AE63">
        <v>0.89</v>
      </c>
      <c r="AF63">
        <v>50.9</v>
      </c>
      <c r="AG63">
        <v>0.15</v>
      </c>
      <c r="AH63">
        <v>1.2919281517049419</v>
      </c>
      <c r="AI63">
        <f t="shared" si="0"/>
        <v>32.285284511106497</v>
      </c>
    </row>
    <row r="64" spans="1:35" x14ac:dyDescent="0.15">
      <c r="A64" t="s">
        <v>28</v>
      </c>
      <c r="B64" t="s">
        <v>50</v>
      </c>
      <c r="C64" t="s">
        <v>50</v>
      </c>
      <c r="D64" t="s">
        <v>91</v>
      </c>
      <c r="E64" t="s">
        <v>28</v>
      </c>
      <c r="F64" t="s">
        <v>21</v>
      </c>
      <c r="G64">
        <v>52.5</v>
      </c>
      <c r="H64">
        <v>15</v>
      </c>
      <c r="I64">
        <v>0</v>
      </c>
      <c r="J64">
        <v>1</v>
      </c>
      <c r="K64">
        <v>999</v>
      </c>
      <c r="L64">
        <v>999</v>
      </c>
      <c r="M64">
        <v>100</v>
      </c>
      <c r="N64">
        <v>161</v>
      </c>
      <c r="O64">
        <v>115</v>
      </c>
      <c r="P64">
        <v>224</v>
      </c>
      <c r="Q64">
        <v>399</v>
      </c>
      <c r="R64">
        <v>10.01001001001001</v>
      </c>
      <c r="S64">
        <v>27.627627627627625</v>
      </c>
      <c r="T64">
        <v>62.362362362362369</v>
      </c>
      <c r="U64">
        <v>-1.6843822249845377</v>
      </c>
      <c r="V64">
        <v>0.1855590302871381</v>
      </c>
      <c r="W64" t="s">
        <v>534</v>
      </c>
      <c r="X64">
        <v>5.5</v>
      </c>
      <c r="Y64" t="s">
        <v>20</v>
      </c>
      <c r="AA64">
        <v>0.32</v>
      </c>
      <c r="AB64">
        <v>0.06</v>
      </c>
      <c r="AC64">
        <v>5.6000000000000001E-2</v>
      </c>
      <c r="AD64">
        <v>0.30099999999999999</v>
      </c>
      <c r="AE64">
        <v>0.23</v>
      </c>
      <c r="AF64">
        <v>46.1</v>
      </c>
      <c r="AG64">
        <v>0.1</v>
      </c>
      <c r="AH64">
        <v>1.3000234135658444</v>
      </c>
      <c r="AI64">
        <f t="shared" si="0"/>
        <v>5.8696057122497871</v>
      </c>
    </row>
    <row r="65" spans="1:35" x14ac:dyDescent="0.15">
      <c r="A65" t="s">
        <v>29</v>
      </c>
      <c r="B65" t="s">
        <v>51</v>
      </c>
      <c r="C65" t="s">
        <v>189</v>
      </c>
      <c r="D65" t="s">
        <v>406</v>
      </c>
      <c r="E65" t="s">
        <v>29</v>
      </c>
      <c r="F65" t="s">
        <v>177</v>
      </c>
      <c r="G65">
        <v>3.75</v>
      </c>
      <c r="H65">
        <v>7.5</v>
      </c>
      <c r="I65">
        <v>4</v>
      </c>
      <c r="J65">
        <v>19</v>
      </c>
      <c r="K65">
        <v>977</v>
      </c>
      <c r="L65">
        <v>999</v>
      </c>
      <c r="M65">
        <v>186</v>
      </c>
      <c r="N65">
        <v>159</v>
      </c>
      <c r="O65">
        <v>128</v>
      </c>
      <c r="P65">
        <v>226</v>
      </c>
      <c r="Q65">
        <v>300</v>
      </c>
      <c r="R65">
        <v>18.618618618618619</v>
      </c>
      <c r="S65">
        <v>28.728728728728729</v>
      </c>
      <c r="T65">
        <v>52.652652652652655</v>
      </c>
      <c r="U65">
        <v>-2.3216278541780282</v>
      </c>
      <c r="V65">
        <v>9.8113740674861699E-2</v>
      </c>
      <c r="W65" t="s">
        <v>534</v>
      </c>
      <c r="X65">
        <v>6.3</v>
      </c>
      <c r="Y65" t="s">
        <v>20</v>
      </c>
      <c r="AA65">
        <v>1.62</v>
      </c>
      <c r="AB65">
        <v>0.14599999999999999</v>
      </c>
      <c r="AC65">
        <v>0.154</v>
      </c>
      <c r="AD65">
        <v>2.1550000000000002</v>
      </c>
      <c r="AE65">
        <v>1.65</v>
      </c>
      <c r="AF65">
        <v>58.5</v>
      </c>
      <c r="AG65">
        <v>0.24</v>
      </c>
      <c r="AH65" s="141">
        <f>AH66-((AH66-AH67)/(G66-G67))*3.5</f>
        <v>1.2814843993817415</v>
      </c>
      <c r="AI65">
        <f t="shared" si="0"/>
        <v>20.711991605007398</v>
      </c>
    </row>
    <row r="66" spans="1:35" x14ac:dyDescent="0.15">
      <c r="A66" t="s">
        <v>29</v>
      </c>
      <c r="B66" t="s">
        <v>51</v>
      </c>
      <c r="C66" t="s">
        <v>189</v>
      </c>
      <c r="D66" t="s">
        <v>406</v>
      </c>
      <c r="E66" t="s">
        <v>29</v>
      </c>
      <c r="F66" t="s">
        <v>175</v>
      </c>
      <c r="G66">
        <v>16.25</v>
      </c>
      <c r="H66">
        <v>17.5</v>
      </c>
      <c r="I66">
        <v>21</v>
      </c>
      <c r="J66">
        <v>37</v>
      </c>
      <c r="K66">
        <v>942</v>
      </c>
      <c r="L66">
        <v>999</v>
      </c>
      <c r="M66">
        <v>187</v>
      </c>
      <c r="N66">
        <v>162</v>
      </c>
      <c r="O66">
        <v>125</v>
      </c>
      <c r="P66">
        <v>228</v>
      </c>
      <c r="Q66">
        <v>297</v>
      </c>
      <c r="R66">
        <v>18.718718718718719</v>
      </c>
      <c r="S66">
        <v>28.728728728728729</v>
      </c>
      <c r="T66">
        <v>52.552552552552555</v>
      </c>
      <c r="U66">
        <v>-2.3285672414568799</v>
      </c>
      <c r="V66">
        <v>9.7435248314306361E-2</v>
      </c>
      <c r="W66" t="s">
        <v>534</v>
      </c>
      <c r="X66">
        <v>6.8</v>
      </c>
      <c r="Y66" t="s">
        <v>20</v>
      </c>
      <c r="AA66">
        <v>1.82</v>
      </c>
      <c r="AB66">
        <v>0.14000000000000001</v>
      </c>
      <c r="AC66">
        <v>6.6000000000000003E-2</v>
      </c>
      <c r="AD66">
        <v>1.6600000000000001</v>
      </c>
      <c r="AE66">
        <v>1.38</v>
      </c>
      <c r="AF66">
        <v>57.6</v>
      </c>
      <c r="AG66">
        <v>0.25</v>
      </c>
      <c r="AH66">
        <v>1.2827225207744897</v>
      </c>
      <c r="AI66">
        <f t="shared" si="0"/>
        <v>37.263089228498927</v>
      </c>
    </row>
    <row r="67" spans="1:35" x14ac:dyDescent="0.15">
      <c r="A67" t="s">
        <v>29</v>
      </c>
      <c r="B67" t="s">
        <v>51</v>
      </c>
      <c r="C67" t="s">
        <v>189</v>
      </c>
      <c r="D67" t="s">
        <v>406</v>
      </c>
      <c r="E67" t="s">
        <v>29</v>
      </c>
      <c r="F67" t="s">
        <v>21</v>
      </c>
      <c r="G67">
        <v>52.5</v>
      </c>
      <c r="H67">
        <v>15</v>
      </c>
      <c r="I67">
        <v>22</v>
      </c>
      <c r="J67">
        <v>32</v>
      </c>
      <c r="K67">
        <v>947</v>
      </c>
      <c r="L67">
        <v>999</v>
      </c>
      <c r="M67">
        <v>252</v>
      </c>
      <c r="N67">
        <v>150</v>
      </c>
      <c r="O67">
        <v>115</v>
      </c>
      <c r="P67">
        <v>221</v>
      </c>
      <c r="Q67">
        <v>261</v>
      </c>
      <c r="R67">
        <v>25.225225225225223</v>
      </c>
      <c r="S67">
        <v>26.526526526526528</v>
      </c>
      <c r="T67">
        <v>48.248248248248245</v>
      </c>
      <c r="U67">
        <v>-2.6987107681576705</v>
      </c>
      <c r="V67">
        <v>6.7292212102534818E-2</v>
      </c>
      <c r="W67" t="s">
        <v>534</v>
      </c>
      <c r="X67">
        <v>5.4</v>
      </c>
      <c r="Y67" t="s">
        <v>20</v>
      </c>
      <c r="AA67">
        <v>1.38</v>
      </c>
      <c r="AB67">
        <v>0.152</v>
      </c>
      <c r="AC67">
        <v>8.7999999999999995E-2</v>
      </c>
      <c r="AD67">
        <v>0.26200000000000001</v>
      </c>
      <c r="AE67">
        <v>0.31</v>
      </c>
      <c r="AF67">
        <v>32.700000000000003</v>
      </c>
      <c r="AG67">
        <v>0.05</v>
      </c>
      <c r="AH67">
        <v>1.2955459209136679</v>
      </c>
      <c r="AI67">
        <f t="shared" ref="AI67:AI106" si="1">AH67*H67*AD67</f>
        <v>5.0914954691907148</v>
      </c>
    </row>
    <row r="68" spans="1:35" x14ac:dyDescent="0.15">
      <c r="A68" t="s">
        <v>30</v>
      </c>
      <c r="B68" t="s">
        <v>53</v>
      </c>
      <c r="C68" t="s">
        <v>189</v>
      </c>
      <c r="D68" t="s">
        <v>406</v>
      </c>
      <c r="E68" t="s">
        <v>30</v>
      </c>
      <c r="F68" t="s">
        <v>177</v>
      </c>
      <c r="G68">
        <v>3.75</v>
      </c>
      <c r="H68">
        <v>7.5</v>
      </c>
      <c r="I68">
        <v>4</v>
      </c>
      <c r="J68">
        <v>25</v>
      </c>
      <c r="K68">
        <v>972</v>
      </c>
      <c r="L68">
        <v>999</v>
      </c>
      <c r="M68">
        <v>215</v>
      </c>
      <c r="N68">
        <v>173</v>
      </c>
      <c r="O68">
        <v>132</v>
      </c>
      <c r="P68">
        <v>198</v>
      </c>
      <c r="Q68">
        <v>281</v>
      </c>
      <c r="R68">
        <v>21.521521521521521</v>
      </c>
      <c r="S68">
        <v>30.53053053053053</v>
      </c>
      <c r="T68">
        <v>47.947947947947952</v>
      </c>
      <c r="U68">
        <v>-2.5890746141575289</v>
      </c>
      <c r="V68">
        <v>7.5089494699525486E-2</v>
      </c>
      <c r="W68" t="s">
        <v>534</v>
      </c>
      <c r="X68">
        <v>6.8</v>
      </c>
      <c r="Y68" t="s">
        <v>20</v>
      </c>
      <c r="AA68">
        <v>2.1</v>
      </c>
      <c r="AB68">
        <v>0.16300000000000001</v>
      </c>
      <c r="AC68">
        <v>0.16</v>
      </c>
      <c r="AD68">
        <v>1.9449999999999998</v>
      </c>
      <c r="AE68">
        <v>1.54</v>
      </c>
      <c r="AF68">
        <v>48.7</v>
      </c>
      <c r="AG68">
        <v>0.21</v>
      </c>
      <c r="AH68" s="141">
        <f>AH69-((AH69-AH70)/(G69-G70))*3.5</f>
        <v>1.2516498601255444</v>
      </c>
      <c r="AI68">
        <f t="shared" si="1"/>
        <v>18.258442334581378</v>
      </c>
    </row>
    <row r="69" spans="1:35" x14ac:dyDescent="0.15">
      <c r="A69" t="s">
        <v>30</v>
      </c>
      <c r="B69" t="s">
        <v>53</v>
      </c>
      <c r="C69" t="s">
        <v>189</v>
      </c>
      <c r="D69" t="s">
        <v>406</v>
      </c>
      <c r="E69" t="s">
        <v>30</v>
      </c>
      <c r="F69" t="s">
        <v>175</v>
      </c>
      <c r="G69">
        <v>16.25</v>
      </c>
      <c r="H69">
        <v>17.5</v>
      </c>
      <c r="I69">
        <v>4</v>
      </c>
      <c r="J69">
        <v>15</v>
      </c>
      <c r="K69">
        <v>981</v>
      </c>
      <c r="L69">
        <v>999</v>
      </c>
      <c r="M69">
        <v>241</v>
      </c>
      <c r="N69">
        <v>179</v>
      </c>
      <c r="O69">
        <v>137</v>
      </c>
      <c r="P69">
        <v>223</v>
      </c>
      <c r="Q69">
        <v>219</v>
      </c>
      <c r="R69">
        <v>24.124124124124123</v>
      </c>
      <c r="S69">
        <v>31.631631631631627</v>
      </c>
      <c r="T69">
        <v>44.244244244244243</v>
      </c>
      <c r="U69">
        <v>-2.8099570066199373</v>
      </c>
      <c r="V69">
        <v>6.0207580864136315E-2</v>
      </c>
      <c r="W69" t="s">
        <v>534</v>
      </c>
      <c r="X69">
        <v>7.2</v>
      </c>
      <c r="Y69" t="s">
        <v>20</v>
      </c>
      <c r="AA69">
        <v>2.25</v>
      </c>
      <c r="AB69">
        <v>0.21099999999999999</v>
      </c>
      <c r="AC69">
        <v>8.1000000000000003E-2</v>
      </c>
      <c r="AD69">
        <v>1.3359999999999999</v>
      </c>
      <c r="AE69">
        <v>1.17</v>
      </c>
      <c r="AF69">
        <v>45.6</v>
      </c>
      <c r="AG69">
        <v>0.18</v>
      </c>
      <c r="AH69">
        <v>1.2530668552130675</v>
      </c>
      <c r="AI69">
        <f t="shared" si="1"/>
        <v>29.296703074881517</v>
      </c>
    </row>
    <row r="70" spans="1:35" x14ac:dyDescent="0.15">
      <c r="A70" t="s">
        <v>30</v>
      </c>
      <c r="B70" t="s">
        <v>53</v>
      </c>
      <c r="C70" t="s">
        <v>189</v>
      </c>
      <c r="D70" t="s">
        <v>406</v>
      </c>
      <c r="E70" t="s">
        <v>30</v>
      </c>
      <c r="F70" t="s">
        <v>21</v>
      </c>
      <c r="G70">
        <v>52.5</v>
      </c>
      <c r="H70">
        <v>15</v>
      </c>
      <c r="I70">
        <v>4</v>
      </c>
      <c r="J70">
        <v>3</v>
      </c>
      <c r="K70">
        <v>993</v>
      </c>
      <c r="L70">
        <v>999</v>
      </c>
      <c r="M70">
        <v>361</v>
      </c>
      <c r="N70">
        <v>145</v>
      </c>
      <c r="O70">
        <v>81</v>
      </c>
      <c r="P70">
        <v>163</v>
      </c>
      <c r="Q70">
        <v>249</v>
      </c>
      <c r="R70">
        <v>36.136136136136138</v>
      </c>
      <c r="S70">
        <v>22.622622622622622</v>
      </c>
      <c r="T70">
        <v>41.241241241241241</v>
      </c>
      <c r="U70">
        <v>-3.3116608356180453</v>
      </c>
      <c r="V70">
        <v>3.645557672651515E-2</v>
      </c>
      <c r="W70" t="s">
        <v>534</v>
      </c>
      <c r="X70">
        <v>6.4</v>
      </c>
      <c r="Y70" t="s">
        <v>20</v>
      </c>
      <c r="AA70">
        <v>2.58</v>
      </c>
      <c r="AB70">
        <v>0.52400000000000002</v>
      </c>
      <c r="AC70">
        <v>0.13800000000000001</v>
      </c>
      <c r="AD70">
        <v>0.33700000000000002</v>
      </c>
      <c r="AE70">
        <v>0.37</v>
      </c>
      <c r="AF70">
        <v>30.5</v>
      </c>
      <c r="AG70">
        <v>0.04</v>
      </c>
      <c r="AH70">
        <v>1.2677428757624141</v>
      </c>
      <c r="AI70">
        <f t="shared" si="1"/>
        <v>6.4084402369790032</v>
      </c>
    </row>
    <row r="71" spans="1:35" x14ac:dyDescent="0.15">
      <c r="A71" t="s">
        <v>31</v>
      </c>
      <c r="B71" t="s">
        <v>52</v>
      </c>
      <c r="C71" t="s">
        <v>189</v>
      </c>
      <c r="D71" t="s">
        <v>406</v>
      </c>
      <c r="E71" t="s">
        <v>31</v>
      </c>
      <c r="F71" t="s">
        <v>177</v>
      </c>
      <c r="G71">
        <v>3.75</v>
      </c>
      <c r="H71">
        <v>7.5</v>
      </c>
      <c r="I71">
        <v>0</v>
      </c>
      <c r="J71">
        <v>1</v>
      </c>
      <c r="K71">
        <v>1000</v>
      </c>
      <c r="L71">
        <v>999</v>
      </c>
      <c r="M71">
        <v>280</v>
      </c>
      <c r="N71">
        <v>196</v>
      </c>
      <c r="O71">
        <v>193</v>
      </c>
      <c r="P71">
        <v>268</v>
      </c>
      <c r="Q71">
        <v>62</v>
      </c>
      <c r="R71">
        <v>28.028028028028029</v>
      </c>
      <c r="S71">
        <v>38.938938938938939</v>
      </c>
      <c r="T71">
        <v>33.033033033033036</v>
      </c>
      <c r="U71">
        <v>-3.3490892554493201</v>
      </c>
      <c r="V71">
        <v>3.5116321540032379E-2</v>
      </c>
      <c r="W71" t="s">
        <v>534</v>
      </c>
      <c r="X71">
        <v>6.6</v>
      </c>
      <c r="Y71" t="s">
        <v>20</v>
      </c>
      <c r="AA71">
        <v>3.19</v>
      </c>
      <c r="AB71">
        <v>0.161</v>
      </c>
      <c r="AC71">
        <v>0.23200000000000001</v>
      </c>
      <c r="AD71">
        <v>6.2060000000000004</v>
      </c>
      <c r="AE71">
        <v>3.42</v>
      </c>
      <c r="AF71">
        <v>58.8</v>
      </c>
      <c r="AG71">
        <v>0.59</v>
      </c>
      <c r="AH71" s="141">
        <f>AH72-((AH72-AH73)/(G72-G73))*3.5</f>
        <v>1.2671959238062174</v>
      </c>
      <c r="AI71">
        <f t="shared" si="1"/>
        <v>58.981634273560395</v>
      </c>
    </row>
    <row r="72" spans="1:35" x14ac:dyDescent="0.15">
      <c r="A72" t="s">
        <v>31</v>
      </c>
      <c r="B72" t="s">
        <v>52</v>
      </c>
      <c r="C72" t="s">
        <v>189</v>
      </c>
      <c r="D72" t="s">
        <v>406</v>
      </c>
      <c r="E72" t="s">
        <v>31</v>
      </c>
      <c r="F72" t="s">
        <v>175</v>
      </c>
      <c r="G72">
        <v>16.25</v>
      </c>
      <c r="H72">
        <v>17.5</v>
      </c>
      <c r="I72">
        <v>0</v>
      </c>
      <c r="J72">
        <v>3</v>
      </c>
      <c r="K72">
        <v>997</v>
      </c>
      <c r="L72">
        <v>999</v>
      </c>
      <c r="M72">
        <v>227</v>
      </c>
      <c r="N72">
        <v>186</v>
      </c>
      <c r="O72">
        <v>201</v>
      </c>
      <c r="P72">
        <v>345</v>
      </c>
      <c r="Q72">
        <v>40</v>
      </c>
      <c r="R72">
        <v>22.722722722722725</v>
      </c>
      <c r="S72">
        <v>38.738738738738739</v>
      </c>
      <c r="T72">
        <v>38.538538538538539</v>
      </c>
      <c r="U72">
        <v>-2.9739456709043299</v>
      </c>
      <c r="V72">
        <v>5.1101283181473216E-2</v>
      </c>
      <c r="W72" t="s">
        <v>534</v>
      </c>
      <c r="X72">
        <v>6.7</v>
      </c>
      <c r="Y72" t="s">
        <v>20</v>
      </c>
      <c r="AA72">
        <v>3.16</v>
      </c>
      <c r="AB72">
        <v>0.15</v>
      </c>
      <c r="AC72">
        <v>8.8999999999999996E-2</v>
      </c>
      <c r="AD72">
        <v>5.327</v>
      </c>
      <c r="AE72">
        <v>2.8</v>
      </c>
      <c r="AF72">
        <v>55.8</v>
      </c>
      <c r="AG72">
        <v>0.49</v>
      </c>
      <c r="AH72">
        <v>1.2685070631626352</v>
      </c>
      <c r="AI72">
        <f t="shared" si="1"/>
        <v>118.25339969567875</v>
      </c>
    </row>
    <row r="73" spans="1:35" x14ac:dyDescent="0.15">
      <c r="A73" t="s">
        <v>31</v>
      </c>
      <c r="B73" t="s">
        <v>52</v>
      </c>
      <c r="C73" t="s">
        <v>189</v>
      </c>
      <c r="D73" t="s">
        <v>406</v>
      </c>
      <c r="E73" t="s">
        <v>31</v>
      </c>
      <c r="F73" t="s">
        <v>21</v>
      </c>
      <c r="G73">
        <v>52.5</v>
      </c>
      <c r="H73">
        <v>15</v>
      </c>
      <c r="I73">
        <v>0</v>
      </c>
      <c r="J73">
        <v>0</v>
      </c>
      <c r="K73">
        <v>1000</v>
      </c>
      <c r="L73">
        <v>957</v>
      </c>
      <c r="M73">
        <v>172</v>
      </c>
      <c r="N73">
        <v>250</v>
      </c>
      <c r="O73">
        <v>257</v>
      </c>
      <c r="P73">
        <v>261</v>
      </c>
      <c r="Q73">
        <v>17</v>
      </c>
      <c r="R73">
        <v>17.972831765935215</v>
      </c>
      <c r="S73">
        <v>52.978056426332287</v>
      </c>
      <c r="T73">
        <v>29.049111807732498</v>
      </c>
      <c r="U73">
        <v>-3.1678645176090461</v>
      </c>
      <c r="V73">
        <v>4.2093391689525791E-2</v>
      </c>
      <c r="W73" t="s">
        <v>534</v>
      </c>
      <c r="X73">
        <v>8.4</v>
      </c>
      <c r="Y73" t="s">
        <v>476</v>
      </c>
      <c r="AA73">
        <v>6.82</v>
      </c>
      <c r="AB73">
        <v>0.16700000000000001</v>
      </c>
      <c r="AC73">
        <v>5.8000000000000003E-2</v>
      </c>
      <c r="AD73">
        <v>0.47199999999999998</v>
      </c>
      <c r="AE73">
        <v>0.28999999999999998</v>
      </c>
      <c r="AF73">
        <v>50.1</v>
      </c>
      <c r="AG73">
        <v>0.19</v>
      </c>
      <c r="AH73">
        <v>1.2820867207826763</v>
      </c>
      <c r="AI73">
        <f t="shared" si="1"/>
        <v>9.077173983141348</v>
      </c>
    </row>
    <row r="74" spans="1:35" x14ac:dyDescent="0.15">
      <c r="A74" t="s">
        <v>32</v>
      </c>
      <c r="B74" t="s">
        <v>55</v>
      </c>
      <c r="C74" t="s">
        <v>189</v>
      </c>
      <c r="D74" t="s">
        <v>91</v>
      </c>
      <c r="E74" t="s">
        <v>32</v>
      </c>
      <c r="F74" t="s">
        <v>177</v>
      </c>
      <c r="G74">
        <v>3.75</v>
      </c>
      <c r="H74">
        <v>7.5</v>
      </c>
      <c r="I74">
        <v>4</v>
      </c>
      <c r="J74">
        <v>51</v>
      </c>
      <c r="K74">
        <v>945</v>
      </c>
      <c r="L74">
        <v>999</v>
      </c>
      <c r="M74">
        <v>151</v>
      </c>
      <c r="N74">
        <v>152</v>
      </c>
      <c r="O74">
        <v>127</v>
      </c>
      <c r="P74">
        <v>225</v>
      </c>
      <c r="Q74">
        <v>344</v>
      </c>
      <c r="R74">
        <v>15.115115115115115</v>
      </c>
      <c r="S74">
        <v>27.927927927927925</v>
      </c>
      <c r="T74">
        <v>56.956956956956958</v>
      </c>
      <c r="U74">
        <v>-2.0493250643547589</v>
      </c>
      <c r="V74">
        <v>0.12882182069144851</v>
      </c>
      <c r="W74" t="s">
        <v>534</v>
      </c>
      <c r="X74">
        <v>6.2</v>
      </c>
      <c r="Y74" t="s">
        <v>20</v>
      </c>
      <c r="AA74">
        <v>1.55</v>
      </c>
      <c r="AB74">
        <v>9.4E-2</v>
      </c>
      <c r="AC74">
        <v>0.13400000000000001</v>
      </c>
      <c r="AD74">
        <v>1.7530000000000001</v>
      </c>
      <c r="AE74">
        <v>1.48</v>
      </c>
      <c r="AF74">
        <v>58.2</v>
      </c>
      <c r="AG74">
        <v>0.22</v>
      </c>
      <c r="AH74" s="141">
        <f>AH75-((AH75-AH76)/(G75-G76))*3.5</f>
        <v>1.291447036344312</v>
      </c>
      <c r="AI74">
        <f t="shared" si="1"/>
        <v>16.979299910336842</v>
      </c>
    </row>
    <row r="75" spans="1:35" x14ac:dyDescent="0.15">
      <c r="A75" t="s">
        <v>32</v>
      </c>
      <c r="B75" t="s">
        <v>55</v>
      </c>
      <c r="C75" t="s">
        <v>189</v>
      </c>
      <c r="D75" t="s">
        <v>91</v>
      </c>
      <c r="E75" t="s">
        <v>32</v>
      </c>
      <c r="F75" t="s">
        <v>175</v>
      </c>
      <c r="G75">
        <v>16.25</v>
      </c>
      <c r="H75">
        <v>17.5</v>
      </c>
      <c r="I75">
        <v>14</v>
      </c>
      <c r="J75">
        <v>44</v>
      </c>
      <c r="K75">
        <v>942</v>
      </c>
      <c r="L75">
        <v>999</v>
      </c>
      <c r="M75">
        <v>162</v>
      </c>
      <c r="N75">
        <v>149</v>
      </c>
      <c r="O75">
        <v>140</v>
      </c>
      <c r="P75">
        <v>219</v>
      </c>
      <c r="Q75">
        <v>329</v>
      </c>
      <c r="R75">
        <v>16.216216216216218</v>
      </c>
      <c r="S75">
        <v>28.928928928928926</v>
      </c>
      <c r="T75">
        <v>54.85485485485485</v>
      </c>
      <c r="U75">
        <v>-2.1624386182514637</v>
      </c>
      <c r="V75">
        <v>0.11504422972558923</v>
      </c>
      <c r="W75" t="s">
        <v>534</v>
      </c>
      <c r="X75">
        <v>6.5</v>
      </c>
      <c r="Y75" t="s">
        <v>20</v>
      </c>
      <c r="AA75">
        <v>1.41</v>
      </c>
      <c r="AB75">
        <v>9.1999999999999998E-2</v>
      </c>
      <c r="AC75">
        <v>6.8000000000000005E-2</v>
      </c>
      <c r="AD75">
        <v>1.5289999999999999</v>
      </c>
      <c r="AE75">
        <v>1.37</v>
      </c>
      <c r="AF75">
        <v>55.9</v>
      </c>
      <c r="AG75">
        <v>0.22</v>
      </c>
      <c r="AH75">
        <v>1.2923522679602122</v>
      </c>
      <c r="AI75">
        <f t="shared" si="1"/>
        <v>34.580115809945376</v>
      </c>
    </row>
    <row r="76" spans="1:35" x14ac:dyDescent="0.15">
      <c r="A76" t="s">
        <v>32</v>
      </c>
      <c r="B76" t="s">
        <v>55</v>
      </c>
      <c r="C76" t="s">
        <v>189</v>
      </c>
      <c r="D76" t="s">
        <v>91</v>
      </c>
      <c r="E76" t="s">
        <v>32</v>
      </c>
      <c r="F76" t="s">
        <v>21</v>
      </c>
      <c r="G76">
        <v>52.5</v>
      </c>
      <c r="H76">
        <v>15</v>
      </c>
      <c r="I76">
        <v>7</v>
      </c>
      <c r="J76">
        <v>20</v>
      </c>
      <c r="K76">
        <v>974</v>
      </c>
      <c r="L76">
        <v>999</v>
      </c>
      <c r="M76">
        <v>151</v>
      </c>
      <c r="N76">
        <v>168</v>
      </c>
      <c r="O76">
        <v>156</v>
      </c>
      <c r="P76">
        <v>218</v>
      </c>
      <c r="Q76">
        <v>306</v>
      </c>
      <c r="R76">
        <v>15.115115115115115</v>
      </c>
      <c r="S76">
        <v>32.432432432432435</v>
      </c>
      <c r="T76">
        <v>52.452452452452448</v>
      </c>
      <c r="U76">
        <v>-2.2148363865867875</v>
      </c>
      <c r="V76">
        <v>0.10917137468855831</v>
      </c>
      <c r="W76" t="s">
        <v>534</v>
      </c>
      <c r="X76">
        <v>5.4</v>
      </c>
      <c r="Y76" t="s">
        <v>20</v>
      </c>
      <c r="AA76">
        <v>0.56999999999999995</v>
      </c>
      <c r="AB76">
        <v>3.3000000000000002E-2</v>
      </c>
      <c r="AC76">
        <v>5.0999999999999997E-2</v>
      </c>
      <c r="AD76">
        <v>0.51500000000000001</v>
      </c>
      <c r="AE76">
        <v>0.49</v>
      </c>
      <c r="AF76">
        <v>44</v>
      </c>
      <c r="AG76">
        <v>7.0000000000000007E-2</v>
      </c>
      <c r="AH76">
        <v>1.3017278811248925</v>
      </c>
      <c r="AI76">
        <f t="shared" si="1"/>
        <v>10.055847881689793</v>
      </c>
    </row>
    <row r="77" spans="1:35" x14ac:dyDescent="0.15">
      <c r="A77" t="s">
        <v>33</v>
      </c>
      <c r="B77" t="s">
        <v>54</v>
      </c>
      <c r="C77" t="s">
        <v>189</v>
      </c>
      <c r="D77" t="s">
        <v>91</v>
      </c>
      <c r="E77" t="s">
        <v>33</v>
      </c>
      <c r="F77" t="s">
        <v>177</v>
      </c>
      <c r="G77">
        <v>3.75</v>
      </c>
      <c r="H77">
        <v>7.5</v>
      </c>
      <c r="I77">
        <v>28</v>
      </c>
      <c r="J77">
        <v>112</v>
      </c>
      <c r="K77">
        <v>860</v>
      </c>
      <c r="L77">
        <v>999</v>
      </c>
      <c r="M77">
        <v>166</v>
      </c>
      <c r="N77">
        <v>164</v>
      </c>
      <c r="O77">
        <v>146</v>
      </c>
      <c r="P77">
        <v>243</v>
      </c>
      <c r="Q77">
        <v>280</v>
      </c>
      <c r="R77">
        <v>16.616616616616618</v>
      </c>
      <c r="S77">
        <v>31.031031031031031</v>
      </c>
      <c r="T77">
        <v>52.352352352352348</v>
      </c>
      <c r="U77">
        <v>-2.2674347844084823</v>
      </c>
      <c r="V77">
        <v>0.10357753830325282</v>
      </c>
      <c r="W77" t="s">
        <v>534</v>
      </c>
      <c r="X77">
        <v>5.9</v>
      </c>
      <c r="Y77" t="s">
        <v>20</v>
      </c>
      <c r="AA77">
        <v>1.0900000000000001</v>
      </c>
      <c r="AB77">
        <v>7.0000000000000007E-2</v>
      </c>
      <c r="AC77">
        <v>9.9000000000000005E-2</v>
      </c>
      <c r="AD77">
        <v>1.7399999999999998</v>
      </c>
      <c r="AE77">
        <v>1.44</v>
      </c>
      <c r="AF77">
        <v>55.4</v>
      </c>
      <c r="AG77">
        <v>0.21</v>
      </c>
      <c r="AH77" s="141">
        <f>AH78-((AH78-AH79)/(G78-G79))*3.5</f>
        <v>1.2817072866567578</v>
      </c>
      <c r="AI77">
        <f t="shared" si="1"/>
        <v>16.726280090870688</v>
      </c>
    </row>
    <row r="78" spans="1:35" x14ac:dyDescent="0.15">
      <c r="A78" t="s">
        <v>33</v>
      </c>
      <c r="B78" t="s">
        <v>54</v>
      </c>
      <c r="C78" t="s">
        <v>189</v>
      </c>
      <c r="D78" t="s">
        <v>91</v>
      </c>
      <c r="E78" t="s">
        <v>33</v>
      </c>
      <c r="F78" t="s">
        <v>175</v>
      </c>
      <c r="G78">
        <v>16.25</v>
      </c>
      <c r="H78">
        <v>17.5</v>
      </c>
      <c r="I78">
        <v>24</v>
      </c>
      <c r="J78">
        <v>107</v>
      </c>
      <c r="K78">
        <v>868</v>
      </c>
      <c r="L78">
        <v>999</v>
      </c>
      <c r="M78">
        <v>165</v>
      </c>
      <c r="N78">
        <v>165</v>
      </c>
      <c r="O78">
        <v>136</v>
      </c>
      <c r="P78">
        <v>240</v>
      </c>
      <c r="Q78">
        <v>293</v>
      </c>
      <c r="R78">
        <v>16.516516516516518</v>
      </c>
      <c r="S78">
        <v>30.130130130130127</v>
      </c>
      <c r="T78">
        <v>53.353353353353349</v>
      </c>
      <c r="U78">
        <v>-2.227393132683225</v>
      </c>
      <c r="V78">
        <v>0.10780910817218825</v>
      </c>
      <c r="W78" t="s">
        <v>534</v>
      </c>
      <c r="X78">
        <v>6.5</v>
      </c>
      <c r="Y78" t="s">
        <v>20</v>
      </c>
      <c r="AA78">
        <v>1.33</v>
      </c>
      <c r="AB78">
        <v>7.1999999999999995E-2</v>
      </c>
      <c r="AC78">
        <v>5.1999999999999998E-2</v>
      </c>
      <c r="AD78">
        <v>1.3320000000000001</v>
      </c>
      <c r="AE78">
        <v>1.18</v>
      </c>
      <c r="AF78">
        <v>57.1</v>
      </c>
      <c r="AG78">
        <v>0.21</v>
      </c>
      <c r="AH78">
        <v>1.2831314445945394</v>
      </c>
      <c r="AI78">
        <f t="shared" si="1"/>
        <v>29.909793973498719</v>
      </c>
    </row>
    <row r="79" spans="1:35" x14ac:dyDescent="0.15">
      <c r="A79" t="s">
        <v>33</v>
      </c>
      <c r="B79" t="s">
        <v>54</v>
      </c>
      <c r="C79" t="s">
        <v>189</v>
      </c>
      <c r="D79" t="s">
        <v>91</v>
      </c>
      <c r="E79" t="s">
        <v>33</v>
      </c>
      <c r="F79" t="s">
        <v>21</v>
      </c>
      <c r="G79">
        <v>52.5</v>
      </c>
      <c r="H79">
        <v>15</v>
      </c>
      <c r="I79">
        <v>15</v>
      </c>
      <c r="J79">
        <v>37</v>
      </c>
      <c r="K79">
        <v>948</v>
      </c>
      <c r="L79">
        <v>999</v>
      </c>
      <c r="M79">
        <v>142</v>
      </c>
      <c r="N79">
        <v>160</v>
      </c>
      <c r="O79">
        <v>132</v>
      </c>
      <c r="P79">
        <v>270</v>
      </c>
      <c r="Q79">
        <v>295</v>
      </c>
      <c r="R79">
        <v>14.214214214214213</v>
      </c>
      <c r="S79">
        <v>29.22922922922923</v>
      </c>
      <c r="T79">
        <v>56.556556556556558</v>
      </c>
      <c r="U79">
        <v>-2.0346849608232382</v>
      </c>
      <c r="V79">
        <v>0.13072165846133124</v>
      </c>
      <c r="W79" t="s">
        <v>534</v>
      </c>
      <c r="X79">
        <v>7.1</v>
      </c>
      <c r="Y79" t="s">
        <v>20</v>
      </c>
      <c r="AA79">
        <v>0.66</v>
      </c>
      <c r="AB79">
        <v>3.5000000000000003E-2</v>
      </c>
      <c r="AC79">
        <v>2.3E-2</v>
      </c>
      <c r="AD79">
        <v>0.48699999999999999</v>
      </c>
      <c r="AE79">
        <v>0.37</v>
      </c>
      <c r="AF79">
        <v>38.1</v>
      </c>
      <c r="AG79">
        <v>7.0000000000000007E-2</v>
      </c>
      <c r="AH79">
        <v>1.2978816518072782</v>
      </c>
      <c r="AI79">
        <f t="shared" si="1"/>
        <v>9.4810254664521683</v>
      </c>
    </row>
    <row r="80" spans="1:35" x14ac:dyDescent="0.15">
      <c r="A80" t="s">
        <v>34</v>
      </c>
      <c r="B80" t="s">
        <v>56</v>
      </c>
      <c r="C80" t="s">
        <v>396</v>
      </c>
      <c r="D80" t="s">
        <v>406</v>
      </c>
      <c r="E80" t="s">
        <v>402</v>
      </c>
      <c r="F80" t="s">
        <v>177</v>
      </c>
      <c r="G80">
        <v>3.75</v>
      </c>
      <c r="H80">
        <v>7.5</v>
      </c>
      <c r="I80">
        <v>0</v>
      </c>
      <c r="J80">
        <v>0</v>
      </c>
      <c r="K80">
        <v>1000</v>
      </c>
      <c r="L80">
        <v>999</v>
      </c>
      <c r="M80">
        <v>28</v>
      </c>
      <c r="N80">
        <v>3</v>
      </c>
      <c r="O80">
        <v>30</v>
      </c>
      <c r="P80">
        <v>481</v>
      </c>
      <c r="Q80">
        <v>457</v>
      </c>
      <c r="R80">
        <v>2.8028028028028027</v>
      </c>
      <c r="S80">
        <v>3.303303303303303</v>
      </c>
      <c r="T80">
        <v>93.893893893893903</v>
      </c>
      <c r="U80">
        <v>-0.29098520085428731</v>
      </c>
      <c r="V80">
        <v>0.74752674069339142</v>
      </c>
      <c r="W80" t="s">
        <v>534</v>
      </c>
      <c r="X80">
        <v>6.3</v>
      </c>
      <c r="Y80" t="s">
        <v>20</v>
      </c>
      <c r="AA80">
        <v>0.6</v>
      </c>
      <c r="AB80">
        <v>0.14499999999999999</v>
      </c>
      <c r="AC80">
        <v>4.9000000000000002E-2</v>
      </c>
      <c r="AD80">
        <v>2.2690000000000001</v>
      </c>
      <c r="AE80">
        <v>1.58</v>
      </c>
      <c r="AF80">
        <v>33.1</v>
      </c>
      <c r="AG80">
        <v>0.13</v>
      </c>
      <c r="AH80" s="141">
        <f>AH81-((AH81-AH82)/(G81-G82))*3.5</f>
        <v>1.36201510732778</v>
      </c>
      <c r="AI80">
        <f t="shared" si="1"/>
        <v>23.1780920889505</v>
      </c>
    </row>
    <row r="81" spans="1:35" x14ac:dyDescent="0.15">
      <c r="A81" t="s">
        <v>34</v>
      </c>
      <c r="B81" t="s">
        <v>56</v>
      </c>
      <c r="C81" t="s">
        <v>396</v>
      </c>
      <c r="D81" t="s">
        <v>406</v>
      </c>
      <c r="E81" t="s">
        <v>402</v>
      </c>
      <c r="F81" t="s">
        <v>175</v>
      </c>
      <c r="G81">
        <v>16.25</v>
      </c>
      <c r="H81">
        <v>17.5</v>
      </c>
      <c r="I81">
        <v>0</v>
      </c>
      <c r="J81">
        <v>0</v>
      </c>
      <c r="K81">
        <v>1000</v>
      </c>
      <c r="L81">
        <v>999</v>
      </c>
      <c r="M81">
        <v>33</v>
      </c>
      <c r="N81">
        <v>8</v>
      </c>
      <c r="O81">
        <v>19</v>
      </c>
      <c r="P81">
        <v>400</v>
      </c>
      <c r="Q81">
        <v>539</v>
      </c>
      <c r="R81">
        <v>3.303303303303303</v>
      </c>
      <c r="S81">
        <v>2.7027027027027026</v>
      </c>
      <c r="T81">
        <v>93.993993993993996</v>
      </c>
      <c r="U81">
        <v>-0.3036139609509404</v>
      </c>
      <c r="V81">
        <v>0.73814576454517067</v>
      </c>
      <c r="W81" t="s">
        <v>534</v>
      </c>
      <c r="X81">
        <v>5.8</v>
      </c>
      <c r="Y81" t="s">
        <v>20</v>
      </c>
      <c r="AA81">
        <v>0.34</v>
      </c>
      <c r="AB81">
        <v>6.5000000000000002E-2</v>
      </c>
      <c r="AC81">
        <v>0.03</v>
      </c>
      <c r="AD81">
        <v>1.4869999999999999</v>
      </c>
      <c r="AE81">
        <v>1.05</v>
      </c>
      <c r="AF81">
        <v>25.6</v>
      </c>
      <c r="AG81">
        <v>0.1</v>
      </c>
      <c r="AH81">
        <v>1.364714738875926</v>
      </c>
      <c r="AI81">
        <f t="shared" si="1"/>
        <v>35.513289292398781</v>
      </c>
    </row>
    <row r="82" spans="1:35" x14ac:dyDescent="0.15">
      <c r="A82" t="s">
        <v>34</v>
      </c>
      <c r="B82" t="s">
        <v>56</v>
      </c>
      <c r="C82" t="s">
        <v>396</v>
      </c>
      <c r="D82" t="s">
        <v>406</v>
      </c>
      <c r="E82" t="s">
        <v>402</v>
      </c>
      <c r="F82" t="s">
        <v>21</v>
      </c>
      <c r="G82">
        <v>52.5</v>
      </c>
      <c r="H82">
        <v>15</v>
      </c>
      <c r="I82">
        <v>0</v>
      </c>
      <c r="J82">
        <v>0</v>
      </c>
      <c r="K82">
        <v>1000</v>
      </c>
      <c r="L82">
        <v>999</v>
      </c>
      <c r="M82">
        <v>9</v>
      </c>
      <c r="N82">
        <v>0</v>
      </c>
      <c r="O82">
        <v>10</v>
      </c>
      <c r="P82">
        <v>110</v>
      </c>
      <c r="Q82">
        <v>870</v>
      </c>
      <c r="R82">
        <v>0.90090090090090091</v>
      </c>
      <c r="S82">
        <v>1.0010010010010011</v>
      </c>
      <c r="T82">
        <v>98.098098098098092</v>
      </c>
      <c r="U82">
        <v>-7.4542166748630428E-2</v>
      </c>
      <c r="V82">
        <v>0.92816833539292876</v>
      </c>
      <c r="W82" t="s">
        <v>534</v>
      </c>
      <c r="X82">
        <v>6.3</v>
      </c>
      <c r="Y82" t="s">
        <v>20</v>
      </c>
      <c r="AA82">
        <v>0.22</v>
      </c>
      <c r="AB82">
        <v>1.4999999999999999E-2</v>
      </c>
      <c r="AC82">
        <v>7.0000000000000001E-3</v>
      </c>
      <c r="AD82">
        <v>0.42499999999999999</v>
      </c>
      <c r="AE82">
        <v>0.19</v>
      </c>
      <c r="AF82">
        <v>7.7</v>
      </c>
      <c r="AG82">
        <v>0.02</v>
      </c>
      <c r="AH82">
        <v>1.3926752084817231</v>
      </c>
      <c r="AI82">
        <f t="shared" si="1"/>
        <v>8.8783044540709852</v>
      </c>
    </row>
    <row r="83" spans="1:35" x14ac:dyDescent="0.15">
      <c r="A83" t="s">
        <v>35</v>
      </c>
      <c r="B83" t="s">
        <v>57</v>
      </c>
      <c r="C83" t="s">
        <v>396</v>
      </c>
      <c r="D83" t="s">
        <v>406</v>
      </c>
      <c r="E83" t="s">
        <v>402</v>
      </c>
      <c r="F83" t="s">
        <v>177</v>
      </c>
      <c r="G83">
        <v>3.75</v>
      </c>
      <c r="H83">
        <v>7.5</v>
      </c>
      <c r="I83">
        <v>0</v>
      </c>
      <c r="J83">
        <v>0</v>
      </c>
      <c r="K83">
        <v>1000</v>
      </c>
      <c r="L83">
        <v>998</v>
      </c>
      <c r="M83">
        <v>30</v>
      </c>
      <c r="N83">
        <v>6</v>
      </c>
      <c r="O83">
        <v>21</v>
      </c>
      <c r="P83">
        <v>600</v>
      </c>
      <c r="Q83">
        <v>341</v>
      </c>
      <c r="R83">
        <v>3.0060120240480961</v>
      </c>
      <c r="S83">
        <v>2.7054108216432864</v>
      </c>
      <c r="T83">
        <v>94.288577154308612</v>
      </c>
      <c r="U83">
        <v>-0.28310390373533301</v>
      </c>
      <c r="V83">
        <v>0.75344149840646502</v>
      </c>
      <c r="W83" t="s">
        <v>534</v>
      </c>
      <c r="X83">
        <v>6.2</v>
      </c>
      <c r="Y83" t="s">
        <v>474</v>
      </c>
      <c r="AA83">
        <v>0.35</v>
      </c>
      <c r="AB83">
        <v>8.3000000000000004E-2</v>
      </c>
      <c r="AC83">
        <v>3.7999999999999999E-2</v>
      </c>
      <c r="AD83">
        <v>1.5409999999999999</v>
      </c>
      <c r="AE83">
        <v>1.1599999999999999</v>
      </c>
      <c r="AF83">
        <v>29.3</v>
      </c>
      <c r="AG83">
        <v>0.1</v>
      </c>
      <c r="AH83" s="141">
        <f>AH84-((AH84-AH85)/(G84-G85))*3.5</f>
        <v>1.3625020696690335</v>
      </c>
      <c r="AI83">
        <f t="shared" si="1"/>
        <v>15.747117670199854</v>
      </c>
    </row>
    <row r="84" spans="1:35" x14ac:dyDescent="0.15">
      <c r="A84" t="s">
        <v>35</v>
      </c>
      <c r="B84" t="s">
        <v>57</v>
      </c>
      <c r="C84" t="s">
        <v>396</v>
      </c>
      <c r="D84" t="s">
        <v>406</v>
      </c>
      <c r="E84" t="s">
        <v>402</v>
      </c>
      <c r="F84" t="s">
        <v>175</v>
      </c>
      <c r="G84">
        <v>16.25</v>
      </c>
      <c r="H84">
        <v>17.5</v>
      </c>
      <c r="I84">
        <v>0</v>
      </c>
      <c r="J84">
        <v>0</v>
      </c>
      <c r="K84">
        <v>1000</v>
      </c>
      <c r="L84">
        <v>999</v>
      </c>
      <c r="M84">
        <v>24</v>
      </c>
      <c r="N84">
        <v>3</v>
      </c>
      <c r="O84">
        <v>14</v>
      </c>
      <c r="P84">
        <v>626</v>
      </c>
      <c r="Q84">
        <v>332</v>
      </c>
      <c r="R84">
        <v>2.4024024024024024</v>
      </c>
      <c r="S84">
        <v>1.7017017017017018</v>
      </c>
      <c r="T84">
        <v>95.895895895895904</v>
      </c>
      <c r="U84">
        <v>-0.20437918161193858</v>
      </c>
      <c r="V84">
        <v>0.81515322146655944</v>
      </c>
      <c r="W84" t="s">
        <v>534</v>
      </c>
      <c r="X84">
        <v>6.1</v>
      </c>
      <c r="Y84" t="s">
        <v>20</v>
      </c>
      <c r="AA84">
        <v>0.25</v>
      </c>
      <c r="AB84">
        <v>4.7E-2</v>
      </c>
      <c r="AC84">
        <v>1.9E-2</v>
      </c>
      <c r="AD84">
        <v>0.85199999999999998</v>
      </c>
      <c r="AE84">
        <v>0.66</v>
      </c>
      <c r="AF84">
        <v>24.5</v>
      </c>
      <c r="AG84">
        <v>0.08</v>
      </c>
      <c r="AH84">
        <v>1.3651313339064224</v>
      </c>
      <c r="AI84">
        <f t="shared" si="1"/>
        <v>20.35410818854476</v>
      </c>
    </row>
    <row r="85" spans="1:35" x14ac:dyDescent="0.15">
      <c r="A85" t="s">
        <v>35</v>
      </c>
      <c r="B85" t="s">
        <v>57</v>
      </c>
      <c r="C85" t="s">
        <v>396</v>
      </c>
      <c r="D85" t="s">
        <v>406</v>
      </c>
      <c r="E85" t="s">
        <v>402</v>
      </c>
      <c r="F85" t="s">
        <v>21</v>
      </c>
      <c r="G85">
        <v>52.5</v>
      </c>
      <c r="H85">
        <v>15</v>
      </c>
      <c r="I85">
        <v>4</v>
      </c>
      <c r="J85">
        <v>0</v>
      </c>
      <c r="K85">
        <v>996</v>
      </c>
      <c r="L85">
        <v>999</v>
      </c>
      <c r="M85">
        <v>5</v>
      </c>
      <c r="N85">
        <v>5</v>
      </c>
      <c r="O85">
        <v>10</v>
      </c>
      <c r="P85">
        <v>384</v>
      </c>
      <c r="Q85">
        <v>595</v>
      </c>
      <c r="R85">
        <v>0.50050050050050054</v>
      </c>
      <c r="S85">
        <v>1.5015015015015014</v>
      </c>
      <c r="T85">
        <v>97.997997997997999</v>
      </c>
      <c r="U85">
        <v>-6.5174764547894795E-2</v>
      </c>
      <c r="V85">
        <v>0.93690371151524621</v>
      </c>
      <c r="W85" t="s">
        <v>534</v>
      </c>
      <c r="X85">
        <v>6.4</v>
      </c>
      <c r="Y85" t="s">
        <v>20</v>
      </c>
      <c r="AA85">
        <v>7.0000000000000007E-2</v>
      </c>
      <c r="AB85">
        <v>8.9999999999999993E-3</v>
      </c>
      <c r="AC85">
        <v>6.0000000000000001E-3</v>
      </c>
      <c r="AD85">
        <v>0.128</v>
      </c>
      <c r="AE85">
        <v>0.08</v>
      </c>
      <c r="AF85">
        <v>9.1999999999999993</v>
      </c>
      <c r="AG85">
        <v>0.02</v>
      </c>
      <c r="AH85">
        <v>1.3923629992222366</v>
      </c>
      <c r="AI85">
        <f t="shared" si="1"/>
        <v>2.6733369585066944</v>
      </c>
    </row>
    <row r="86" spans="1:35" x14ac:dyDescent="0.15">
      <c r="A86" t="s">
        <v>36</v>
      </c>
      <c r="B86" t="s">
        <v>58</v>
      </c>
      <c r="C86" t="s">
        <v>210</v>
      </c>
      <c r="D86" t="s">
        <v>406</v>
      </c>
      <c r="E86" t="s">
        <v>36</v>
      </c>
      <c r="F86" t="s">
        <v>177</v>
      </c>
      <c r="G86">
        <v>3.75</v>
      </c>
      <c r="H86">
        <v>7.5</v>
      </c>
      <c r="I86">
        <v>0</v>
      </c>
      <c r="J86">
        <v>0</v>
      </c>
      <c r="K86">
        <v>1000</v>
      </c>
      <c r="L86">
        <v>998</v>
      </c>
      <c r="M86">
        <v>572</v>
      </c>
      <c r="N86">
        <v>380</v>
      </c>
      <c r="O86">
        <v>32</v>
      </c>
      <c r="P86">
        <v>7</v>
      </c>
      <c r="Q86">
        <v>7</v>
      </c>
      <c r="R86">
        <v>57.314629258517037</v>
      </c>
      <c r="S86">
        <v>41.282565130260522</v>
      </c>
      <c r="T86">
        <v>1.402805611222445</v>
      </c>
      <c r="U86">
        <v>-5.4654806856486049</v>
      </c>
      <c r="V86">
        <v>4.2303071103127234E-3</v>
      </c>
      <c r="W86" t="s">
        <v>534</v>
      </c>
      <c r="X86">
        <v>5.9</v>
      </c>
      <c r="Y86" t="s">
        <v>474</v>
      </c>
      <c r="AA86">
        <v>2.16</v>
      </c>
      <c r="AB86">
        <v>0.50700000000000001</v>
      </c>
      <c r="AC86">
        <v>0.92</v>
      </c>
      <c r="AD86">
        <v>3.5909999999999997</v>
      </c>
      <c r="AE86">
        <v>3</v>
      </c>
      <c r="AF86">
        <v>150</v>
      </c>
      <c r="AG86">
        <v>0.3</v>
      </c>
      <c r="AH86" s="141">
        <f>AH87-((AH87-AH88)/(G87-G88))*3.5</f>
        <v>1.2255993371100784</v>
      </c>
      <c r="AI86">
        <f t="shared" si="1"/>
        <v>33.008454146717185</v>
      </c>
    </row>
    <row r="87" spans="1:35" x14ac:dyDescent="0.15">
      <c r="A87" t="s">
        <v>36</v>
      </c>
      <c r="B87" t="s">
        <v>58</v>
      </c>
      <c r="C87" t="s">
        <v>210</v>
      </c>
      <c r="D87" t="s">
        <v>406</v>
      </c>
      <c r="E87" t="s">
        <v>36</v>
      </c>
      <c r="F87" t="s">
        <v>175</v>
      </c>
      <c r="G87">
        <v>16.25</v>
      </c>
      <c r="H87">
        <v>17.5</v>
      </c>
      <c r="I87">
        <v>0</v>
      </c>
      <c r="J87">
        <v>0</v>
      </c>
      <c r="K87">
        <v>1000</v>
      </c>
      <c r="L87">
        <v>998</v>
      </c>
      <c r="M87">
        <v>584</v>
      </c>
      <c r="N87">
        <v>383</v>
      </c>
      <c r="O87">
        <v>28</v>
      </c>
      <c r="P87">
        <v>2</v>
      </c>
      <c r="Q87">
        <v>1</v>
      </c>
      <c r="R87">
        <v>58.517034068136276</v>
      </c>
      <c r="S87">
        <v>41.182364729458918</v>
      </c>
      <c r="T87">
        <v>0.30060120240480964</v>
      </c>
      <c r="U87">
        <v>-5.5451550577381026</v>
      </c>
      <c r="V87">
        <v>3.9063374491876751E-3</v>
      </c>
      <c r="W87" t="s">
        <v>534</v>
      </c>
      <c r="X87">
        <v>5.6</v>
      </c>
      <c r="Y87" t="s">
        <v>474</v>
      </c>
      <c r="AA87">
        <v>1.66</v>
      </c>
      <c r="AB87">
        <v>0.39500000000000002</v>
      </c>
      <c r="AC87">
        <v>0.56499999999999995</v>
      </c>
      <c r="AD87">
        <v>1.8989999999999998</v>
      </c>
      <c r="AE87">
        <v>1.99</v>
      </c>
      <c r="AF87">
        <v>148</v>
      </c>
      <c r="AG87">
        <v>0.23</v>
      </c>
      <c r="AH87">
        <v>1.2269294718572203</v>
      </c>
      <c r="AI87">
        <f t="shared" si="1"/>
        <v>40.773933673495073</v>
      </c>
    </row>
    <row r="88" spans="1:35" x14ac:dyDescent="0.15">
      <c r="A88" t="s">
        <v>36</v>
      </c>
      <c r="B88" t="s">
        <v>58</v>
      </c>
      <c r="C88" t="s">
        <v>210</v>
      </c>
      <c r="D88" t="s">
        <v>406</v>
      </c>
      <c r="E88" t="s">
        <v>36</v>
      </c>
      <c r="F88" t="s">
        <v>21</v>
      </c>
      <c r="G88">
        <v>52.5</v>
      </c>
      <c r="H88">
        <v>15</v>
      </c>
      <c r="I88">
        <v>0</v>
      </c>
      <c r="J88">
        <v>0</v>
      </c>
      <c r="K88">
        <v>1000</v>
      </c>
      <c r="L88">
        <v>999</v>
      </c>
      <c r="M88">
        <v>606</v>
      </c>
      <c r="N88">
        <v>337</v>
      </c>
      <c r="O88">
        <v>44</v>
      </c>
      <c r="P88">
        <v>6</v>
      </c>
      <c r="Q88">
        <v>6</v>
      </c>
      <c r="R88">
        <v>60.66066066066066</v>
      </c>
      <c r="S88">
        <v>38.138138138138139</v>
      </c>
      <c r="T88">
        <v>1.2012012012012012</v>
      </c>
      <c r="U88">
        <v>-5.5819052732913921</v>
      </c>
      <c r="V88">
        <v>3.7653845934541206E-3</v>
      </c>
      <c r="W88" t="s">
        <v>534</v>
      </c>
      <c r="X88">
        <v>5.3</v>
      </c>
      <c r="Y88" t="s">
        <v>20</v>
      </c>
      <c r="AA88">
        <v>1.1399999999999999</v>
      </c>
      <c r="AB88">
        <v>0.56000000000000005</v>
      </c>
      <c r="AC88">
        <v>0.252</v>
      </c>
      <c r="AD88">
        <v>1.5169999999999999</v>
      </c>
      <c r="AE88">
        <v>1.55</v>
      </c>
      <c r="AF88">
        <v>134</v>
      </c>
      <c r="AG88">
        <v>0.21</v>
      </c>
      <c r="AH88">
        <v>1.2407058674526179</v>
      </c>
      <c r="AI88">
        <f t="shared" si="1"/>
        <v>28.232262013884316</v>
      </c>
    </row>
    <row r="89" spans="1:35" x14ac:dyDescent="0.15">
      <c r="A89" t="s">
        <v>37</v>
      </c>
      <c r="B89" t="s">
        <v>59</v>
      </c>
      <c r="C89" t="s">
        <v>210</v>
      </c>
      <c r="D89" t="s">
        <v>91</v>
      </c>
      <c r="E89" t="s">
        <v>37</v>
      </c>
      <c r="F89" t="s">
        <v>177</v>
      </c>
      <c r="G89">
        <v>3.75</v>
      </c>
      <c r="H89">
        <v>7.5</v>
      </c>
      <c r="I89">
        <v>0</v>
      </c>
      <c r="J89">
        <v>0</v>
      </c>
      <c r="K89">
        <v>1000</v>
      </c>
      <c r="L89">
        <v>998</v>
      </c>
      <c r="M89">
        <v>535</v>
      </c>
      <c r="N89">
        <v>381</v>
      </c>
      <c r="O89">
        <v>52</v>
      </c>
      <c r="P89">
        <v>20</v>
      </c>
      <c r="Q89">
        <v>10</v>
      </c>
      <c r="R89">
        <v>53.607214428857716</v>
      </c>
      <c r="S89">
        <v>43.386773547094187</v>
      </c>
      <c r="T89">
        <v>3.0060120240480961</v>
      </c>
      <c r="U89">
        <v>-5.2857820949035021</v>
      </c>
      <c r="V89">
        <v>5.0630708373885832E-3</v>
      </c>
      <c r="W89" t="s">
        <v>534</v>
      </c>
      <c r="X89">
        <v>5.6</v>
      </c>
      <c r="Y89" t="s">
        <v>474</v>
      </c>
      <c r="AA89">
        <v>1.71</v>
      </c>
      <c r="AB89">
        <v>0.41899999999999998</v>
      </c>
      <c r="AC89">
        <v>0.68200000000000005</v>
      </c>
      <c r="AD89">
        <v>3.081</v>
      </c>
      <c r="AE89">
        <v>2.99</v>
      </c>
      <c r="AF89">
        <v>148</v>
      </c>
      <c r="AG89">
        <v>0.27</v>
      </c>
      <c r="AH89" s="141">
        <f>AH90-((AH90-AH91)/(G90-G91))*3.5</f>
        <v>1.2255576539313804</v>
      </c>
      <c r="AI89">
        <f t="shared" si="1"/>
        <v>28.319573488219369</v>
      </c>
    </row>
    <row r="90" spans="1:35" x14ac:dyDescent="0.15">
      <c r="A90" t="s">
        <v>37</v>
      </c>
      <c r="B90" t="s">
        <v>59</v>
      </c>
      <c r="C90" t="s">
        <v>210</v>
      </c>
      <c r="D90" t="s">
        <v>91</v>
      </c>
      <c r="E90" t="s">
        <v>37</v>
      </c>
      <c r="F90" t="s">
        <v>175</v>
      </c>
      <c r="G90">
        <v>16.25</v>
      </c>
      <c r="H90">
        <v>17.5</v>
      </c>
      <c r="I90">
        <v>0</v>
      </c>
      <c r="J90">
        <v>0</v>
      </c>
      <c r="K90">
        <v>1000</v>
      </c>
      <c r="L90">
        <v>999</v>
      </c>
      <c r="M90">
        <v>572</v>
      </c>
      <c r="N90">
        <v>398</v>
      </c>
      <c r="O90">
        <v>24</v>
      </c>
      <c r="P90">
        <v>4</v>
      </c>
      <c r="Q90">
        <v>1</v>
      </c>
      <c r="R90">
        <v>57.257257257257251</v>
      </c>
      <c r="S90">
        <v>42.242242242242241</v>
      </c>
      <c r="T90">
        <v>0.50050050050050054</v>
      </c>
      <c r="U90">
        <v>-5.496765310510737</v>
      </c>
      <c r="V90">
        <v>4.1000122785390513E-3</v>
      </c>
      <c r="W90" t="s">
        <v>534</v>
      </c>
      <c r="X90">
        <v>5.3</v>
      </c>
      <c r="Y90" t="s">
        <v>20</v>
      </c>
      <c r="AA90">
        <v>1.31</v>
      </c>
      <c r="AB90">
        <v>0.35399999999999998</v>
      </c>
      <c r="AC90">
        <v>0.56899999999999995</v>
      </c>
      <c r="AD90">
        <v>1.9</v>
      </c>
      <c r="AE90">
        <v>1.98</v>
      </c>
      <c r="AF90">
        <v>150</v>
      </c>
      <c r="AG90">
        <v>0.22</v>
      </c>
      <c r="AH90">
        <v>1.2268758022023019</v>
      </c>
      <c r="AI90">
        <f t="shared" si="1"/>
        <v>40.793620423226528</v>
      </c>
    </row>
    <row r="91" spans="1:35" x14ac:dyDescent="0.15">
      <c r="A91" t="s">
        <v>37</v>
      </c>
      <c r="B91" t="s">
        <v>59</v>
      </c>
      <c r="C91" t="s">
        <v>210</v>
      </c>
      <c r="D91" t="s">
        <v>91</v>
      </c>
      <c r="E91" t="s">
        <v>37</v>
      </c>
      <c r="F91" t="s">
        <v>21</v>
      </c>
      <c r="G91">
        <v>52.5</v>
      </c>
      <c r="H91">
        <v>15</v>
      </c>
      <c r="I91">
        <v>0</v>
      </c>
      <c r="J91">
        <v>0</v>
      </c>
      <c r="K91">
        <v>1000</v>
      </c>
      <c r="L91">
        <v>999</v>
      </c>
      <c r="M91">
        <v>551</v>
      </c>
      <c r="N91">
        <v>388</v>
      </c>
      <c r="O91">
        <v>52</v>
      </c>
      <c r="P91">
        <v>7</v>
      </c>
      <c r="Q91">
        <v>1</v>
      </c>
      <c r="R91">
        <v>55.155155155155157</v>
      </c>
      <c r="S91">
        <v>44.044044044044043</v>
      </c>
      <c r="T91">
        <v>0.80080080080080074</v>
      </c>
      <c r="U91">
        <v>-5.41724270654767</v>
      </c>
      <c r="V91">
        <v>4.4393704348355684E-3</v>
      </c>
      <c r="W91" t="s">
        <v>534</v>
      </c>
      <c r="X91">
        <v>4.7</v>
      </c>
      <c r="Y91" t="s">
        <v>20</v>
      </c>
      <c r="AA91">
        <v>0.76</v>
      </c>
      <c r="AB91">
        <v>0.38100000000000001</v>
      </c>
      <c r="AC91">
        <v>0.31</v>
      </c>
      <c r="AD91">
        <v>1.4319999999999999</v>
      </c>
      <c r="AE91">
        <v>1.57</v>
      </c>
      <c r="AF91">
        <v>144</v>
      </c>
      <c r="AG91">
        <v>0.18</v>
      </c>
      <c r="AH91">
        <v>1.2405280521511317</v>
      </c>
      <c r="AI91">
        <f t="shared" si="1"/>
        <v>26.64654256020631</v>
      </c>
    </row>
    <row r="92" spans="1:35" x14ac:dyDescent="0.15">
      <c r="A92" t="s">
        <v>38</v>
      </c>
      <c r="B92" t="s">
        <v>60</v>
      </c>
      <c r="C92" t="s">
        <v>131</v>
      </c>
      <c r="D92" t="s">
        <v>406</v>
      </c>
      <c r="E92" t="s">
        <v>38</v>
      </c>
      <c r="F92" t="s">
        <v>177</v>
      </c>
      <c r="G92">
        <v>3.75</v>
      </c>
      <c r="H92">
        <v>7.5</v>
      </c>
      <c r="I92">
        <v>0</v>
      </c>
      <c r="J92">
        <v>0</v>
      </c>
      <c r="K92">
        <v>1000</v>
      </c>
      <c r="L92">
        <v>999</v>
      </c>
      <c r="M92">
        <v>659</v>
      </c>
      <c r="N92">
        <v>274</v>
      </c>
      <c r="O92">
        <v>53</v>
      </c>
      <c r="P92">
        <v>9</v>
      </c>
      <c r="Q92">
        <v>4</v>
      </c>
      <c r="R92">
        <v>65.965965965965964</v>
      </c>
      <c r="S92">
        <v>32.732732732732735</v>
      </c>
      <c r="T92">
        <v>1.3013013013013013</v>
      </c>
      <c r="U92">
        <v>-5.7510792123920806</v>
      </c>
      <c r="V92">
        <v>3.1793477528576286E-3</v>
      </c>
      <c r="W92" t="s">
        <v>534</v>
      </c>
      <c r="X92">
        <v>6.2</v>
      </c>
      <c r="Y92" t="s">
        <v>20</v>
      </c>
      <c r="AA92">
        <v>3.8</v>
      </c>
      <c r="AB92">
        <v>0.35099999999999998</v>
      </c>
      <c r="AC92">
        <v>0.315</v>
      </c>
      <c r="AD92">
        <v>3.8979999999999997</v>
      </c>
      <c r="AE92">
        <v>3.93</v>
      </c>
      <c r="AF92">
        <v>142</v>
      </c>
      <c r="AG92">
        <v>0.39</v>
      </c>
      <c r="AH92" s="141">
        <f>AH93-((AH93-AH94)/(G93-G94))*3.5</f>
        <v>1.228445804446102</v>
      </c>
      <c r="AI92">
        <f t="shared" si="1"/>
        <v>35.913613092981784</v>
      </c>
    </row>
    <row r="93" spans="1:35" x14ac:dyDescent="0.15">
      <c r="A93" t="s">
        <v>38</v>
      </c>
      <c r="B93" t="s">
        <v>60</v>
      </c>
      <c r="C93" t="s">
        <v>131</v>
      </c>
      <c r="D93" t="s">
        <v>406</v>
      </c>
      <c r="E93" t="s">
        <v>38</v>
      </c>
      <c r="F93" t="s">
        <v>175</v>
      </c>
      <c r="G93">
        <v>16.25</v>
      </c>
      <c r="H93">
        <v>17.5</v>
      </c>
      <c r="I93">
        <v>0</v>
      </c>
      <c r="J93">
        <v>0</v>
      </c>
      <c r="K93">
        <v>1000</v>
      </c>
      <c r="L93">
        <v>999</v>
      </c>
      <c r="M93">
        <v>658</v>
      </c>
      <c r="N93">
        <v>278</v>
      </c>
      <c r="O93">
        <v>55</v>
      </c>
      <c r="P93">
        <v>7</v>
      </c>
      <c r="Q93">
        <v>1</v>
      </c>
      <c r="R93">
        <v>65.865865865865871</v>
      </c>
      <c r="S93">
        <v>33.333333333333329</v>
      </c>
      <c r="T93">
        <v>0.80080080080080074</v>
      </c>
      <c r="U93">
        <v>-5.7662080014108321</v>
      </c>
      <c r="V93">
        <v>3.1316100885272892E-3</v>
      </c>
      <c r="W93" t="s">
        <v>534</v>
      </c>
      <c r="X93">
        <v>5.9</v>
      </c>
      <c r="Y93" t="s">
        <v>20</v>
      </c>
      <c r="AA93">
        <v>3.81</v>
      </c>
      <c r="AB93">
        <v>0.34499999999999997</v>
      </c>
      <c r="AC93">
        <v>0.155</v>
      </c>
      <c r="AD93">
        <v>3.4259999999999997</v>
      </c>
      <c r="AE93">
        <v>3.64</v>
      </c>
      <c r="AF93">
        <v>139</v>
      </c>
      <c r="AG93">
        <v>0.32</v>
      </c>
      <c r="AH93">
        <v>1.2296330136313409</v>
      </c>
      <c r="AI93">
        <f t="shared" si="1"/>
        <v>73.72264733226703</v>
      </c>
    </row>
    <row r="94" spans="1:35" x14ac:dyDescent="0.15">
      <c r="A94" t="s">
        <v>38</v>
      </c>
      <c r="B94" t="s">
        <v>60</v>
      </c>
      <c r="C94" t="s">
        <v>131</v>
      </c>
      <c r="D94" t="s">
        <v>406</v>
      </c>
      <c r="E94" t="s">
        <v>38</v>
      </c>
      <c r="F94" t="s">
        <v>21</v>
      </c>
      <c r="G94">
        <v>52.5</v>
      </c>
      <c r="H94">
        <v>15</v>
      </c>
      <c r="I94">
        <v>0</v>
      </c>
      <c r="J94">
        <v>1</v>
      </c>
      <c r="K94">
        <v>999</v>
      </c>
      <c r="L94">
        <v>999</v>
      </c>
      <c r="M94">
        <v>628</v>
      </c>
      <c r="N94">
        <v>306</v>
      </c>
      <c r="O94">
        <v>59</v>
      </c>
      <c r="P94">
        <v>4</v>
      </c>
      <c r="Q94">
        <v>2</v>
      </c>
      <c r="R94">
        <v>62.862862862862869</v>
      </c>
      <c r="S94">
        <v>36.536536536536538</v>
      </c>
      <c r="T94">
        <v>0.60060060060060061</v>
      </c>
      <c r="U94">
        <v>-5.6757233232991782</v>
      </c>
      <c r="V94">
        <v>3.4281883907362289E-3</v>
      </c>
      <c r="W94" t="s">
        <v>534</v>
      </c>
      <c r="X94">
        <v>6.5</v>
      </c>
      <c r="Y94" t="s">
        <v>20</v>
      </c>
      <c r="AA94">
        <v>2.91</v>
      </c>
      <c r="AB94">
        <v>0.41899999999999998</v>
      </c>
      <c r="AC94">
        <v>0.161</v>
      </c>
      <c r="AD94">
        <v>1.5210000000000001</v>
      </c>
      <c r="AE94">
        <v>1.97</v>
      </c>
      <c r="AF94">
        <v>139</v>
      </c>
      <c r="AG94">
        <v>0.21</v>
      </c>
      <c r="AH94">
        <v>1.2419291087641733</v>
      </c>
      <c r="AI94">
        <f t="shared" si="1"/>
        <v>28.334612616454617</v>
      </c>
    </row>
    <row r="95" spans="1:35" x14ac:dyDescent="0.15">
      <c r="A95" t="s">
        <v>39</v>
      </c>
      <c r="B95" t="s">
        <v>61</v>
      </c>
      <c r="C95" t="s">
        <v>131</v>
      </c>
      <c r="D95" t="s">
        <v>91</v>
      </c>
      <c r="E95" t="s">
        <v>39</v>
      </c>
      <c r="F95" t="s">
        <v>177</v>
      </c>
      <c r="G95">
        <v>3.75</v>
      </c>
      <c r="H95">
        <v>7.5</v>
      </c>
      <c r="I95">
        <v>0</v>
      </c>
      <c r="J95">
        <v>0</v>
      </c>
      <c r="K95">
        <v>1000</v>
      </c>
      <c r="L95">
        <v>999</v>
      </c>
      <c r="M95">
        <v>665</v>
      </c>
      <c r="N95">
        <v>280</v>
      </c>
      <c r="O95">
        <v>46</v>
      </c>
      <c r="P95">
        <v>7</v>
      </c>
      <c r="Q95">
        <v>1</v>
      </c>
      <c r="R95">
        <v>66.566566566566564</v>
      </c>
      <c r="S95">
        <v>32.632632632632628</v>
      </c>
      <c r="T95">
        <v>0.80080080080080074</v>
      </c>
      <c r="U95">
        <v>-5.789037506682253</v>
      </c>
      <c r="V95">
        <v>3.0609268807356865E-3</v>
      </c>
      <c r="W95" t="s">
        <v>534</v>
      </c>
      <c r="X95">
        <v>5.6</v>
      </c>
      <c r="Y95" t="s">
        <v>20</v>
      </c>
      <c r="AA95">
        <v>3.05</v>
      </c>
      <c r="AB95">
        <v>0.32500000000000001</v>
      </c>
      <c r="AC95">
        <v>0.27100000000000002</v>
      </c>
      <c r="AD95">
        <v>4.2279999999999998</v>
      </c>
      <c r="AE95">
        <v>4.29</v>
      </c>
      <c r="AF95">
        <v>139</v>
      </c>
      <c r="AG95">
        <v>0.36</v>
      </c>
      <c r="AH95" s="141">
        <f>AH96-((AH96-AH97)/(G96-G97))*3.5</f>
        <v>1.2251608012607977</v>
      </c>
      <c r="AI95">
        <f t="shared" si="1"/>
        <v>38.849849007979891</v>
      </c>
    </row>
    <row r="96" spans="1:35" x14ac:dyDescent="0.15">
      <c r="A96" t="s">
        <v>39</v>
      </c>
      <c r="B96" t="s">
        <v>61</v>
      </c>
      <c r="C96" t="s">
        <v>131</v>
      </c>
      <c r="D96" t="s">
        <v>91</v>
      </c>
      <c r="E96" t="s">
        <v>39</v>
      </c>
      <c r="F96" t="s">
        <v>175</v>
      </c>
      <c r="G96">
        <v>16.25</v>
      </c>
      <c r="H96">
        <v>17.5</v>
      </c>
      <c r="I96">
        <v>0</v>
      </c>
      <c r="J96">
        <v>0</v>
      </c>
      <c r="K96">
        <v>1000</v>
      </c>
      <c r="L96">
        <v>998</v>
      </c>
      <c r="M96">
        <v>652</v>
      </c>
      <c r="N96">
        <v>291</v>
      </c>
      <c r="O96">
        <v>48</v>
      </c>
      <c r="P96">
        <v>6</v>
      </c>
      <c r="Q96">
        <v>1</v>
      </c>
      <c r="R96">
        <v>65.330661322645284</v>
      </c>
      <c r="S96">
        <v>33.967935871743485</v>
      </c>
      <c r="T96">
        <v>0.70140280561122248</v>
      </c>
      <c r="U96">
        <v>-5.7524227522984788</v>
      </c>
      <c r="V96">
        <v>3.175079040510162E-3</v>
      </c>
      <c r="W96" t="s">
        <v>534</v>
      </c>
      <c r="X96">
        <v>5.3</v>
      </c>
      <c r="Y96" t="s">
        <v>474</v>
      </c>
      <c r="AA96">
        <v>2.82</v>
      </c>
      <c r="AB96">
        <v>0.28899999999999998</v>
      </c>
      <c r="AC96">
        <v>0.17799999999999999</v>
      </c>
      <c r="AD96">
        <v>4.01</v>
      </c>
      <c r="AE96">
        <v>4.12</v>
      </c>
      <c r="AF96">
        <v>137</v>
      </c>
      <c r="AG96">
        <v>0.32</v>
      </c>
      <c r="AH96">
        <v>1.226457086986779</v>
      </c>
      <c r="AI96">
        <f t="shared" si="1"/>
        <v>86.066626079297208</v>
      </c>
    </row>
    <row r="97" spans="1:35" x14ac:dyDescent="0.15">
      <c r="A97" t="s">
        <v>39</v>
      </c>
      <c r="B97" t="s">
        <v>61</v>
      </c>
      <c r="C97" t="s">
        <v>131</v>
      </c>
      <c r="D97" t="s">
        <v>91</v>
      </c>
      <c r="E97" t="s">
        <v>39</v>
      </c>
      <c r="F97" t="s">
        <v>21</v>
      </c>
      <c r="G97">
        <v>52.5</v>
      </c>
      <c r="H97">
        <v>15</v>
      </c>
      <c r="I97">
        <v>0</v>
      </c>
      <c r="J97">
        <v>0</v>
      </c>
      <c r="K97">
        <v>1000</v>
      </c>
      <c r="L97">
        <v>999</v>
      </c>
      <c r="M97">
        <v>660</v>
      </c>
      <c r="N97">
        <v>294</v>
      </c>
      <c r="O97">
        <v>39</v>
      </c>
      <c r="P97">
        <v>5</v>
      </c>
      <c r="Q97">
        <v>1</v>
      </c>
      <c r="R97">
        <v>66.066066066066071</v>
      </c>
      <c r="S97">
        <v>33.333333333333329</v>
      </c>
      <c r="T97">
        <v>0.60060060060060061</v>
      </c>
      <c r="U97">
        <v>-5.7800867759685346</v>
      </c>
      <c r="V97">
        <v>3.0884473935944754E-3</v>
      </c>
      <c r="W97" t="s">
        <v>534</v>
      </c>
      <c r="X97">
        <v>5.3</v>
      </c>
      <c r="Y97" t="s">
        <v>20</v>
      </c>
      <c r="AA97">
        <v>1.78</v>
      </c>
      <c r="AB97">
        <v>0.39400000000000002</v>
      </c>
      <c r="AC97">
        <v>0.16900000000000001</v>
      </c>
      <c r="AD97">
        <v>1.6019999999999999</v>
      </c>
      <c r="AE97">
        <v>2.09</v>
      </c>
      <c r="AF97">
        <v>145</v>
      </c>
      <c r="AG97">
        <v>0.17</v>
      </c>
      <c r="AH97">
        <v>1.2398829034344425</v>
      </c>
      <c r="AI97">
        <f t="shared" si="1"/>
        <v>29.794386169529652</v>
      </c>
    </row>
    <row r="98" spans="1:35" x14ac:dyDescent="0.15">
      <c r="A98" t="s">
        <v>40</v>
      </c>
      <c r="B98" t="s">
        <v>63</v>
      </c>
      <c r="C98" t="s">
        <v>131</v>
      </c>
      <c r="D98" t="s">
        <v>91</v>
      </c>
      <c r="E98" t="s">
        <v>40</v>
      </c>
      <c r="F98" t="s">
        <v>177</v>
      </c>
      <c r="G98">
        <v>3.75</v>
      </c>
      <c r="H98">
        <v>7.5</v>
      </c>
      <c r="I98">
        <v>0</v>
      </c>
      <c r="J98">
        <v>0</v>
      </c>
      <c r="K98">
        <v>1000</v>
      </c>
      <c r="L98">
        <v>999</v>
      </c>
      <c r="M98">
        <v>630</v>
      </c>
      <c r="N98">
        <v>263</v>
      </c>
      <c r="O98">
        <v>74</v>
      </c>
      <c r="P98">
        <v>30</v>
      </c>
      <c r="Q98">
        <v>2</v>
      </c>
      <c r="R98">
        <v>63.063063063063062</v>
      </c>
      <c r="S98">
        <v>33.733733733733736</v>
      </c>
      <c r="T98">
        <v>3.203203203203203</v>
      </c>
      <c r="U98">
        <v>-5.5866172751347305</v>
      </c>
      <c r="V98">
        <v>3.7476838300744917E-3</v>
      </c>
      <c r="W98" t="s">
        <v>534</v>
      </c>
      <c r="X98">
        <v>5.7</v>
      </c>
      <c r="Y98" t="s">
        <v>20</v>
      </c>
      <c r="AA98">
        <v>3</v>
      </c>
      <c r="AB98">
        <v>0.44400000000000001</v>
      </c>
      <c r="AC98">
        <v>0.26100000000000001</v>
      </c>
      <c r="AD98">
        <v>3.9249999999999998</v>
      </c>
      <c r="AE98">
        <v>4.04</v>
      </c>
      <c r="AF98">
        <v>143</v>
      </c>
      <c r="AG98">
        <v>0.35</v>
      </c>
      <c r="AH98" s="141">
        <f>AH99-((AH99-AH100)/(G99-G100))*3.5</f>
        <v>1.2251608012607977</v>
      </c>
      <c r="AI98">
        <f t="shared" si="1"/>
        <v>36.06567108711473</v>
      </c>
    </row>
    <row r="99" spans="1:35" x14ac:dyDescent="0.15">
      <c r="A99" t="s">
        <v>40</v>
      </c>
      <c r="B99" t="s">
        <v>63</v>
      </c>
      <c r="C99" t="s">
        <v>131</v>
      </c>
      <c r="D99" t="s">
        <v>91</v>
      </c>
      <c r="E99" t="s">
        <v>40</v>
      </c>
      <c r="F99" t="s">
        <v>175</v>
      </c>
      <c r="G99">
        <v>16.25</v>
      </c>
      <c r="H99">
        <v>17.5</v>
      </c>
      <c r="I99">
        <v>0</v>
      </c>
      <c r="J99">
        <v>0</v>
      </c>
      <c r="K99">
        <v>1000</v>
      </c>
      <c r="L99">
        <v>999</v>
      </c>
      <c r="M99">
        <v>627</v>
      </c>
      <c r="N99">
        <v>279</v>
      </c>
      <c r="O99">
        <v>67</v>
      </c>
      <c r="P99">
        <v>24</v>
      </c>
      <c r="Q99">
        <v>2</v>
      </c>
      <c r="R99">
        <v>62.762762762762762</v>
      </c>
      <c r="S99">
        <v>34.634634634634637</v>
      </c>
      <c r="T99">
        <v>2.6026026026026026</v>
      </c>
      <c r="U99">
        <v>-5.5989013777445811</v>
      </c>
      <c r="V99">
        <v>3.7019285042836957E-3</v>
      </c>
      <c r="W99" t="s">
        <v>534</v>
      </c>
      <c r="X99">
        <v>5.6</v>
      </c>
      <c r="Y99" t="s">
        <v>20</v>
      </c>
      <c r="AA99">
        <v>2.99</v>
      </c>
      <c r="AB99">
        <v>0.46200000000000002</v>
      </c>
      <c r="AC99">
        <v>0.13800000000000001</v>
      </c>
      <c r="AD99">
        <v>3.1149999999999998</v>
      </c>
      <c r="AE99">
        <v>3.36</v>
      </c>
      <c r="AF99">
        <v>139</v>
      </c>
      <c r="AG99">
        <v>0.26</v>
      </c>
      <c r="AH99">
        <v>1.226457086986779</v>
      </c>
      <c r="AI99">
        <f t="shared" si="1"/>
        <v>66.857241954366785</v>
      </c>
    </row>
    <row r="100" spans="1:35" x14ac:dyDescent="0.15">
      <c r="A100" t="s">
        <v>40</v>
      </c>
      <c r="B100" t="s">
        <v>63</v>
      </c>
      <c r="C100" t="s">
        <v>131</v>
      </c>
      <c r="D100" t="s">
        <v>91</v>
      </c>
      <c r="E100" t="s">
        <v>40</v>
      </c>
      <c r="F100" t="s">
        <v>21</v>
      </c>
      <c r="G100">
        <v>52.5</v>
      </c>
      <c r="H100">
        <v>15</v>
      </c>
      <c r="I100">
        <v>0</v>
      </c>
      <c r="J100">
        <v>0</v>
      </c>
      <c r="K100">
        <v>1000</v>
      </c>
      <c r="L100">
        <v>999</v>
      </c>
      <c r="M100">
        <v>635</v>
      </c>
      <c r="N100">
        <v>307</v>
      </c>
      <c r="O100">
        <v>52</v>
      </c>
      <c r="P100">
        <v>4</v>
      </c>
      <c r="Q100">
        <v>1</v>
      </c>
      <c r="R100">
        <v>63.563563563563562</v>
      </c>
      <c r="S100">
        <v>35.935935935935937</v>
      </c>
      <c r="T100">
        <v>0.50050050050050054</v>
      </c>
      <c r="U100">
        <v>-5.7022308579535332</v>
      </c>
      <c r="V100">
        <v>3.3385094036089843E-3</v>
      </c>
      <c r="W100" t="s">
        <v>534</v>
      </c>
      <c r="X100">
        <v>5.8</v>
      </c>
      <c r="Y100" t="s">
        <v>20</v>
      </c>
      <c r="AA100">
        <v>2.2000000000000002</v>
      </c>
      <c r="AB100">
        <v>0.49399999999999999</v>
      </c>
      <c r="AC100">
        <v>0.17799999999999999</v>
      </c>
      <c r="AD100">
        <v>1.8839999999999999</v>
      </c>
      <c r="AE100">
        <v>2.41</v>
      </c>
      <c r="AF100">
        <v>143</v>
      </c>
      <c r="AG100">
        <v>0.24</v>
      </c>
      <c r="AH100">
        <v>1.2398829034344425</v>
      </c>
      <c r="AI100">
        <f t="shared" si="1"/>
        <v>35.039090851057345</v>
      </c>
    </row>
    <row r="101" spans="1:35" x14ac:dyDescent="0.15">
      <c r="A101" t="s">
        <v>41</v>
      </c>
      <c r="B101" t="s">
        <v>64</v>
      </c>
      <c r="C101" t="s">
        <v>131</v>
      </c>
      <c r="D101" t="s">
        <v>91</v>
      </c>
      <c r="E101" t="s">
        <v>41</v>
      </c>
      <c r="F101" t="s">
        <v>177</v>
      </c>
      <c r="G101">
        <v>3.75</v>
      </c>
      <c r="H101">
        <v>7.5</v>
      </c>
      <c r="I101">
        <v>0</v>
      </c>
      <c r="J101">
        <v>0</v>
      </c>
      <c r="K101">
        <v>1000</v>
      </c>
      <c r="L101">
        <v>999</v>
      </c>
      <c r="M101">
        <v>600</v>
      </c>
      <c r="N101">
        <v>269</v>
      </c>
      <c r="O101">
        <v>75</v>
      </c>
      <c r="P101">
        <v>53</v>
      </c>
      <c r="Q101">
        <v>2</v>
      </c>
      <c r="R101">
        <v>60.06006006006006</v>
      </c>
      <c r="S101">
        <v>34.434434434434436</v>
      </c>
      <c r="T101">
        <v>5.5055055055055053</v>
      </c>
      <c r="U101">
        <v>-5.4041818624497271</v>
      </c>
      <c r="V101">
        <v>4.4977326602978112E-3</v>
      </c>
      <c r="W101" t="s">
        <v>534</v>
      </c>
      <c r="X101">
        <v>6</v>
      </c>
      <c r="Y101" t="s">
        <v>20</v>
      </c>
      <c r="AA101">
        <v>3.49</v>
      </c>
      <c r="AB101">
        <v>0.36699999999999999</v>
      </c>
      <c r="AC101">
        <v>0.26300000000000001</v>
      </c>
      <c r="AD101">
        <v>3.5859999999999999</v>
      </c>
      <c r="AE101">
        <v>3.87</v>
      </c>
      <c r="AF101">
        <v>149</v>
      </c>
      <c r="AG101">
        <v>0.42</v>
      </c>
      <c r="AH101" s="141">
        <f>AH102-((AH102-AH103)/(G102-G103))*3.5</f>
        <v>1.2286186362381637</v>
      </c>
      <c r="AI101">
        <f t="shared" si="1"/>
        <v>33.043698221625412</v>
      </c>
    </row>
    <row r="102" spans="1:35" x14ac:dyDescent="0.15">
      <c r="A102" t="s">
        <v>41</v>
      </c>
      <c r="B102" t="s">
        <v>64</v>
      </c>
      <c r="C102" t="s">
        <v>131</v>
      </c>
      <c r="D102" t="s">
        <v>91</v>
      </c>
      <c r="E102" t="s">
        <v>41</v>
      </c>
      <c r="F102" t="s">
        <v>175</v>
      </c>
      <c r="G102">
        <v>16.25</v>
      </c>
      <c r="H102">
        <v>17.5</v>
      </c>
      <c r="I102">
        <v>0</v>
      </c>
      <c r="J102">
        <v>0</v>
      </c>
      <c r="K102">
        <v>1000</v>
      </c>
      <c r="L102">
        <v>999</v>
      </c>
      <c r="M102">
        <v>612</v>
      </c>
      <c r="N102">
        <v>274</v>
      </c>
      <c r="O102">
        <v>67</v>
      </c>
      <c r="P102">
        <v>44</v>
      </c>
      <c r="Q102">
        <v>2</v>
      </c>
      <c r="R102">
        <v>61.261261261261254</v>
      </c>
      <c r="S102">
        <v>34.134134134134136</v>
      </c>
      <c r="T102">
        <v>4.6046046046046047</v>
      </c>
      <c r="U102">
        <v>-5.4764204216471404</v>
      </c>
      <c r="V102">
        <v>4.184280883742654E-3</v>
      </c>
      <c r="W102" t="s">
        <v>534</v>
      </c>
      <c r="X102">
        <v>5.9</v>
      </c>
      <c r="Y102" t="s">
        <v>20</v>
      </c>
      <c r="AA102">
        <v>3.86</v>
      </c>
      <c r="AB102">
        <v>0.33400000000000002</v>
      </c>
      <c r="AC102">
        <v>0.14799999999999999</v>
      </c>
      <c r="AD102">
        <v>3.2320000000000002</v>
      </c>
      <c r="AE102">
        <v>3.51</v>
      </c>
      <c r="AF102">
        <v>151</v>
      </c>
      <c r="AG102">
        <v>0.48</v>
      </c>
      <c r="AH102">
        <v>1.229863089770356</v>
      </c>
      <c r="AI102">
        <f t="shared" si="1"/>
        <v>69.561056357411346</v>
      </c>
    </row>
    <row r="103" spans="1:35" x14ac:dyDescent="0.15">
      <c r="A103" t="s">
        <v>41</v>
      </c>
      <c r="B103" t="s">
        <v>64</v>
      </c>
      <c r="C103" t="s">
        <v>131</v>
      </c>
      <c r="D103" t="s">
        <v>91</v>
      </c>
      <c r="E103" t="s">
        <v>41</v>
      </c>
      <c r="F103" t="s">
        <v>21</v>
      </c>
      <c r="G103">
        <v>52.5</v>
      </c>
      <c r="H103">
        <v>15</v>
      </c>
      <c r="I103">
        <v>0</v>
      </c>
      <c r="J103">
        <v>6</v>
      </c>
      <c r="K103">
        <v>994</v>
      </c>
      <c r="L103">
        <v>999</v>
      </c>
      <c r="M103">
        <v>521</v>
      </c>
      <c r="N103">
        <v>257</v>
      </c>
      <c r="O103">
        <v>154</v>
      </c>
      <c r="P103">
        <v>65</v>
      </c>
      <c r="Q103">
        <v>2</v>
      </c>
      <c r="R103">
        <v>52.152152152152155</v>
      </c>
      <c r="S103">
        <v>41.141141141141141</v>
      </c>
      <c r="T103">
        <v>6.706706706706707</v>
      </c>
      <c r="U103">
        <v>-5.102398236077045</v>
      </c>
      <c r="V103">
        <v>6.0821426467715951E-3</v>
      </c>
      <c r="W103" t="s">
        <v>534</v>
      </c>
      <c r="X103">
        <v>6.4</v>
      </c>
      <c r="Y103" t="s">
        <v>20</v>
      </c>
      <c r="AA103">
        <v>2.75</v>
      </c>
      <c r="AB103">
        <v>0.32300000000000001</v>
      </c>
      <c r="AC103">
        <v>0.12</v>
      </c>
      <c r="AD103">
        <v>1.41</v>
      </c>
      <c r="AE103">
        <v>1.79</v>
      </c>
      <c r="AF103">
        <v>128</v>
      </c>
      <c r="AG103">
        <v>0.18</v>
      </c>
      <c r="AH103">
        <v>1.2427520727823484</v>
      </c>
      <c r="AI103">
        <f t="shared" si="1"/>
        <v>26.284206339346667</v>
      </c>
    </row>
    <row r="104" spans="1:35" x14ac:dyDescent="0.15">
      <c r="A104" t="s">
        <v>42</v>
      </c>
      <c r="B104" t="s">
        <v>62</v>
      </c>
      <c r="C104" t="s">
        <v>62</v>
      </c>
      <c r="D104" t="s">
        <v>406</v>
      </c>
      <c r="E104" t="s">
        <v>42</v>
      </c>
      <c r="F104" t="s">
        <v>177</v>
      </c>
      <c r="G104">
        <v>3.75</v>
      </c>
      <c r="H104">
        <v>7.5</v>
      </c>
      <c r="I104">
        <v>4</v>
      </c>
      <c r="J104">
        <v>3</v>
      </c>
      <c r="K104">
        <v>992</v>
      </c>
      <c r="L104">
        <v>999</v>
      </c>
      <c r="M104">
        <v>118</v>
      </c>
      <c r="N104">
        <v>194</v>
      </c>
      <c r="O104">
        <v>246</v>
      </c>
      <c r="P104">
        <v>313</v>
      </c>
      <c r="Q104">
        <v>128</v>
      </c>
      <c r="R104">
        <v>11.811811811811811</v>
      </c>
      <c r="S104">
        <v>44.044044044044043</v>
      </c>
      <c r="T104">
        <v>44.144144144144143</v>
      </c>
      <c r="U104">
        <v>-2.4124880148050316</v>
      </c>
      <c r="V104">
        <v>8.9592110547342521E-2</v>
      </c>
      <c r="W104" t="s">
        <v>534</v>
      </c>
      <c r="X104">
        <v>5.5</v>
      </c>
      <c r="Y104" t="s">
        <v>20</v>
      </c>
      <c r="AA104">
        <v>0.84</v>
      </c>
      <c r="AB104">
        <v>9.4E-2</v>
      </c>
      <c r="AC104">
        <v>0.11600000000000001</v>
      </c>
      <c r="AD104">
        <v>3.7570000000000001</v>
      </c>
      <c r="AE104">
        <v>2.81</v>
      </c>
      <c r="AF104">
        <v>51.8</v>
      </c>
      <c r="AG104">
        <v>0.19</v>
      </c>
      <c r="AH104" s="141">
        <f>AH105-((AH105-AH106)/(G105-G106))*3.5</f>
        <v>1.2900548526135571</v>
      </c>
      <c r="AI104">
        <f t="shared" si="1"/>
        <v>36.350520609518505</v>
      </c>
    </row>
    <row r="105" spans="1:35" x14ac:dyDescent="0.15">
      <c r="A105" t="s">
        <v>42</v>
      </c>
      <c r="B105" t="s">
        <v>62</v>
      </c>
      <c r="C105" t="s">
        <v>62</v>
      </c>
      <c r="D105" t="s">
        <v>406</v>
      </c>
      <c r="E105" t="s">
        <v>42</v>
      </c>
      <c r="F105" t="s">
        <v>175</v>
      </c>
      <c r="G105">
        <v>16.25</v>
      </c>
      <c r="H105">
        <v>17.5</v>
      </c>
      <c r="I105">
        <v>0</v>
      </c>
      <c r="J105">
        <v>0</v>
      </c>
      <c r="K105">
        <v>1000</v>
      </c>
      <c r="L105">
        <v>999</v>
      </c>
      <c r="M105">
        <v>143</v>
      </c>
      <c r="N105">
        <v>202</v>
      </c>
      <c r="O105">
        <v>184</v>
      </c>
      <c r="P105">
        <v>291</v>
      </c>
      <c r="Q105">
        <v>179</v>
      </c>
      <c r="R105">
        <v>14.314314314314313</v>
      </c>
      <c r="S105">
        <v>38.638638638638639</v>
      </c>
      <c r="T105">
        <v>47.047047047047045</v>
      </c>
      <c r="U105">
        <v>-2.3873591100978819</v>
      </c>
      <c r="V105">
        <v>9.1871987592283155E-2</v>
      </c>
      <c r="W105" t="s">
        <v>534</v>
      </c>
      <c r="X105">
        <v>5.3</v>
      </c>
      <c r="Y105" t="s">
        <v>20</v>
      </c>
      <c r="AA105">
        <v>0.54</v>
      </c>
      <c r="AB105">
        <v>8.7999999999999995E-2</v>
      </c>
      <c r="AC105">
        <v>7.2999999999999995E-2</v>
      </c>
      <c r="AD105">
        <v>1.29</v>
      </c>
      <c r="AE105">
        <v>1.1399999999999999</v>
      </c>
      <c r="AF105">
        <v>54.6</v>
      </c>
      <c r="AG105">
        <v>0.24</v>
      </c>
      <c r="AH105">
        <v>1.2904109264398884</v>
      </c>
      <c r="AI105">
        <f t="shared" si="1"/>
        <v>29.131026664380478</v>
      </c>
    </row>
    <row r="106" spans="1:35" x14ac:dyDescent="0.15">
      <c r="A106" t="s">
        <v>42</v>
      </c>
      <c r="B106" t="s">
        <v>62</v>
      </c>
      <c r="C106" t="s">
        <v>62</v>
      </c>
      <c r="D106" t="s">
        <v>406</v>
      </c>
      <c r="E106" t="s">
        <v>42</v>
      </c>
      <c r="F106" t="s">
        <v>21</v>
      </c>
      <c r="G106">
        <v>52.5</v>
      </c>
      <c r="H106">
        <v>15</v>
      </c>
      <c r="I106">
        <v>0</v>
      </c>
      <c r="J106">
        <v>0</v>
      </c>
      <c r="K106">
        <v>1000</v>
      </c>
      <c r="L106">
        <v>999</v>
      </c>
      <c r="M106">
        <v>242</v>
      </c>
      <c r="N106">
        <v>616</v>
      </c>
      <c r="O106">
        <v>79</v>
      </c>
      <c r="P106">
        <v>36</v>
      </c>
      <c r="Q106">
        <v>26</v>
      </c>
      <c r="R106">
        <v>24.224224224224226</v>
      </c>
      <c r="S106">
        <v>69.569569569569566</v>
      </c>
      <c r="T106">
        <v>6.2062062062062067</v>
      </c>
      <c r="U106">
        <v>-4.2108695300307604</v>
      </c>
      <c r="V106">
        <v>1.4833464585882186E-2</v>
      </c>
      <c r="W106" t="s">
        <v>534</v>
      </c>
      <c r="X106">
        <v>6.2</v>
      </c>
      <c r="Y106" t="s">
        <v>20</v>
      </c>
      <c r="AA106">
        <v>0.63</v>
      </c>
      <c r="AB106">
        <v>0.26100000000000001</v>
      </c>
      <c r="AC106">
        <v>0.1</v>
      </c>
      <c r="AD106">
        <v>0.41699999999999998</v>
      </c>
      <c r="AE106">
        <v>0.3</v>
      </c>
      <c r="AF106">
        <v>112</v>
      </c>
      <c r="AG106">
        <v>0.18</v>
      </c>
      <c r="AH106">
        <v>1.2940988339268908</v>
      </c>
      <c r="AI106">
        <f t="shared" si="1"/>
        <v>8.0945882062127019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4"/>
  <sheetViews>
    <sheetView topLeftCell="T1" workbookViewId="0">
      <selection activeCell="AM13" sqref="AM13"/>
    </sheetView>
  </sheetViews>
  <sheetFormatPr defaultRowHeight="10.5" x14ac:dyDescent="0.15"/>
  <cols>
    <col min="39" max="40" width="19.33203125" customWidth="1" collapsed="1"/>
    <col min="50" max="50" width="13.1640625" customWidth="1" collapsed="1"/>
  </cols>
  <sheetData>
    <row r="1" spans="1:51" x14ac:dyDescent="0.15">
      <c r="A1" t="s">
        <v>124</v>
      </c>
      <c r="B1" t="s">
        <v>65</v>
      </c>
      <c r="C1" t="s">
        <v>408</v>
      </c>
      <c r="D1" t="s">
        <v>435</v>
      </c>
      <c r="E1" t="s">
        <v>436</v>
      </c>
      <c r="F1" t="s">
        <v>410</v>
      </c>
      <c r="G1" t="s">
        <v>437</v>
      </c>
      <c r="H1" t="s">
        <v>517</v>
      </c>
      <c r="I1" t="s">
        <v>518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519</v>
      </c>
      <c r="AO1" t="s">
        <v>468</v>
      </c>
      <c r="AP1" t="s">
        <v>331</v>
      </c>
      <c r="AQ1" t="s">
        <v>332</v>
      </c>
      <c r="AR1" t="s">
        <v>333</v>
      </c>
      <c r="AS1" t="s">
        <v>334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520</v>
      </c>
    </row>
    <row r="2" spans="1:51" x14ac:dyDescent="0.15">
      <c r="A2" t="s">
        <v>50</v>
      </c>
      <c r="B2" t="s">
        <v>172</v>
      </c>
      <c r="C2" t="s">
        <v>409</v>
      </c>
      <c r="D2" t="s">
        <v>346</v>
      </c>
      <c r="E2" t="s">
        <v>28</v>
      </c>
      <c r="G2" t="s">
        <v>177</v>
      </c>
      <c r="H2">
        <v>3.75</v>
      </c>
      <c r="I2">
        <v>7.5</v>
      </c>
      <c r="J2">
        <v>4.5999999999999996</v>
      </c>
      <c r="K2" t="s">
        <v>171</v>
      </c>
      <c r="L2">
        <v>0.2</v>
      </c>
      <c r="M2">
        <v>209</v>
      </c>
      <c r="N2" t="s">
        <v>171</v>
      </c>
      <c r="O2">
        <v>19.046720206</v>
      </c>
      <c r="P2">
        <v>256</v>
      </c>
      <c r="Q2" t="s">
        <v>171</v>
      </c>
      <c r="R2">
        <v>22.281870545999997</v>
      </c>
      <c r="S2">
        <v>5.74</v>
      </c>
      <c r="T2" t="s">
        <v>171</v>
      </c>
      <c r="U2">
        <v>0.5666039262</v>
      </c>
      <c r="V2">
        <v>5.42</v>
      </c>
      <c r="W2" t="s">
        <v>171</v>
      </c>
      <c r="X2">
        <v>0.54251527659999998</v>
      </c>
      <c r="Y2">
        <v>0.32</v>
      </c>
      <c r="Z2">
        <v>2760</v>
      </c>
      <c r="AA2" t="s">
        <v>171</v>
      </c>
      <c r="AB2">
        <v>151.80000000000001</v>
      </c>
      <c r="AC2">
        <v>19.86</v>
      </c>
      <c r="AD2" t="s">
        <v>171</v>
      </c>
      <c r="AE2">
        <v>1.62847078312</v>
      </c>
      <c r="AF2">
        <v>3.58</v>
      </c>
      <c r="AG2" t="s">
        <v>171</v>
      </c>
      <c r="AH2">
        <v>0.57469642718000002</v>
      </c>
      <c r="AI2">
        <v>23.44</v>
      </c>
      <c r="AJ2" t="s">
        <v>171</v>
      </c>
      <c r="AK2">
        <v>1.72649562624</v>
      </c>
      <c r="AL2">
        <v>2737</v>
      </c>
      <c r="AO2">
        <v>6</v>
      </c>
      <c r="AP2">
        <v>75.672867060802588</v>
      </c>
      <c r="AQ2">
        <v>12.612144510133765</v>
      </c>
      <c r="AR2">
        <v>31.215057662581067</v>
      </c>
      <c r="AS2">
        <v>5.2025096104301776</v>
      </c>
      <c r="AT2">
        <v>10</v>
      </c>
      <c r="AU2">
        <v>188.16372598785193</v>
      </c>
      <c r="AV2">
        <v>18.816372598785193</v>
      </c>
      <c r="AW2">
        <v>77.617536969988919</v>
      </c>
      <c r="AX2">
        <v>7.7617536969988921</v>
      </c>
    </row>
    <row r="3" spans="1:51" x14ac:dyDescent="0.15">
      <c r="A3" t="s">
        <v>50</v>
      </c>
      <c r="B3" t="s">
        <v>172</v>
      </c>
      <c r="C3" t="s">
        <v>409</v>
      </c>
      <c r="D3" t="s">
        <v>346</v>
      </c>
      <c r="E3" t="s">
        <v>28</v>
      </c>
      <c r="G3" t="s">
        <v>175</v>
      </c>
      <c r="H3">
        <v>16.25</v>
      </c>
      <c r="I3">
        <f>25-7.5</f>
        <v>17.5</v>
      </c>
      <c r="J3">
        <v>4.4000000000000004</v>
      </c>
      <c r="K3" t="s">
        <v>171</v>
      </c>
      <c r="L3">
        <v>0.2</v>
      </c>
      <c r="M3">
        <v>195</v>
      </c>
      <c r="N3" t="s">
        <v>171</v>
      </c>
      <c r="O3">
        <v>17.887184317999999</v>
      </c>
      <c r="P3">
        <v>217</v>
      </c>
      <c r="Q3" t="s">
        <v>171</v>
      </c>
      <c r="R3">
        <v>18.838484456999996</v>
      </c>
      <c r="S3">
        <v>5.73</v>
      </c>
      <c r="T3" t="s">
        <v>171</v>
      </c>
      <c r="U3">
        <v>0.56585115590000001</v>
      </c>
      <c r="V3">
        <v>5.08</v>
      </c>
      <c r="W3" t="s">
        <v>171</v>
      </c>
      <c r="X3">
        <v>0.51692108640000001</v>
      </c>
      <c r="Y3">
        <v>0.65</v>
      </c>
      <c r="Z3">
        <v>2430</v>
      </c>
      <c r="AA3" t="s">
        <v>171</v>
      </c>
      <c r="AB3">
        <v>133.65</v>
      </c>
      <c r="AC3">
        <v>7.63</v>
      </c>
      <c r="AD3" t="s">
        <v>171</v>
      </c>
      <c r="AE3">
        <v>0.74716974296000005</v>
      </c>
      <c r="AF3">
        <v>1.48</v>
      </c>
      <c r="AG3" t="s">
        <v>171</v>
      </c>
      <c r="AH3">
        <v>0.28032142807999999</v>
      </c>
      <c r="AI3">
        <v>9.11</v>
      </c>
      <c r="AJ3" t="s">
        <v>171</v>
      </c>
      <c r="AK3">
        <v>1.23217301906</v>
      </c>
      <c r="AL3">
        <v>2421</v>
      </c>
      <c r="AM3" t="s">
        <v>477</v>
      </c>
      <c r="AN3">
        <f>AM3*I3*V3</f>
        <v>106.1079307380575</v>
      </c>
    </row>
    <row r="4" spans="1:51" x14ac:dyDescent="0.15">
      <c r="A4" t="s">
        <v>50</v>
      </c>
      <c r="B4" t="s">
        <v>172</v>
      </c>
      <c r="C4" t="s">
        <v>409</v>
      </c>
      <c r="D4" t="s">
        <v>346</v>
      </c>
      <c r="E4" t="s">
        <v>28</v>
      </c>
      <c r="G4" t="s">
        <v>176</v>
      </c>
      <c r="H4">
        <v>35</v>
      </c>
      <c r="I4">
        <f>45-25</f>
        <v>20</v>
      </c>
      <c r="J4">
        <v>4.2</v>
      </c>
      <c r="K4" t="s">
        <v>171</v>
      </c>
      <c r="L4">
        <v>0.2</v>
      </c>
      <c r="M4">
        <v>157</v>
      </c>
      <c r="N4" t="s">
        <v>171</v>
      </c>
      <c r="O4">
        <v>14.739872622</v>
      </c>
      <c r="P4">
        <v>160</v>
      </c>
      <c r="Q4" t="s">
        <v>171</v>
      </c>
      <c r="R4">
        <v>13.805843249999999</v>
      </c>
      <c r="S4">
        <v>6.27</v>
      </c>
      <c r="T4" t="s">
        <v>171</v>
      </c>
      <c r="U4">
        <v>0.60650075209999998</v>
      </c>
      <c r="V4">
        <v>5.49</v>
      </c>
      <c r="W4" t="s">
        <v>171</v>
      </c>
      <c r="X4">
        <v>0.54778466869999998</v>
      </c>
      <c r="Y4">
        <v>0.78</v>
      </c>
      <c r="Z4">
        <v>2630</v>
      </c>
      <c r="AA4" t="s">
        <v>171</v>
      </c>
      <c r="AB4">
        <v>144.65</v>
      </c>
      <c r="AC4">
        <v>6.84</v>
      </c>
      <c r="AD4" t="s">
        <v>171</v>
      </c>
      <c r="AE4">
        <v>0.69024187528000003</v>
      </c>
      <c r="AF4">
        <v>1.49</v>
      </c>
      <c r="AG4" t="s">
        <v>171</v>
      </c>
      <c r="AH4">
        <v>0.28172321378999998</v>
      </c>
      <c r="AI4">
        <v>8.33</v>
      </c>
      <c r="AJ4" t="s">
        <v>171</v>
      </c>
      <c r="AK4">
        <v>1.2052664151799999</v>
      </c>
      <c r="AL4">
        <v>2622</v>
      </c>
    </row>
    <row r="5" spans="1:51" x14ac:dyDescent="0.15">
      <c r="A5" t="s">
        <v>50</v>
      </c>
      <c r="B5" t="s">
        <v>172</v>
      </c>
      <c r="C5" t="s">
        <v>409</v>
      </c>
      <c r="D5" t="s">
        <v>346</v>
      </c>
      <c r="E5" t="s">
        <v>28</v>
      </c>
      <c r="G5" t="s">
        <v>21</v>
      </c>
      <c r="H5">
        <v>52.5</v>
      </c>
      <c r="I5">
        <f>60-45</f>
        <v>15</v>
      </c>
      <c r="J5">
        <v>4.3</v>
      </c>
      <c r="K5" t="s">
        <v>171</v>
      </c>
      <c r="L5">
        <v>0.2</v>
      </c>
      <c r="M5">
        <v>140</v>
      </c>
      <c r="N5" t="s">
        <v>171</v>
      </c>
      <c r="O5">
        <v>13.331864757999998</v>
      </c>
      <c r="P5">
        <v>109</v>
      </c>
      <c r="Q5" t="s">
        <v>171</v>
      </c>
      <c r="R5">
        <v>9.3029537490000003</v>
      </c>
      <c r="S5">
        <v>6.18</v>
      </c>
      <c r="T5" t="s">
        <v>171</v>
      </c>
      <c r="U5">
        <v>0.59972581939999992</v>
      </c>
      <c r="V5">
        <v>5.65</v>
      </c>
      <c r="W5" t="s">
        <v>171</v>
      </c>
      <c r="X5">
        <v>0.55982899350000004</v>
      </c>
      <c r="Y5">
        <v>0.53</v>
      </c>
      <c r="Z5">
        <v>2470</v>
      </c>
      <c r="AA5" t="s">
        <v>171</v>
      </c>
      <c r="AB5">
        <v>135.85</v>
      </c>
      <c r="AC5">
        <v>4.46</v>
      </c>
      <c r="AD5" t="s">
        <v>171</v>
      </c>
      <c r="AE5">
        <v>0.51873766632000007</v>
      </c>
      <c r="AF5">
        <v>1.36</v>
      </c>
      <c r="AG5" t="s">
        <v>171</v>
      </c>
      <c r="AH5">
        <v>0.26349999956000003</v>
      </c>
      <c r="AI5">
        <v>5.82</v>
      </c>
      <c r="AJ5" t="s">
        <v>171</v>
      </c>
      <c r="AK5">
        <v>1.11868234372</v>
      </c>
      <c r="AL5">
        <v>2464</v>
      </c>
    </row>
    <row r="6" spans="1:51" x14ac:dyDescent="0.15">
      <c r="A6" t="s">
        <v>50</v>
      </c>
      <c r="B6" t="s">
        <v>98</v>
      </c>
      <c r="C6" t="s">
        <v>98</v>
      </c>
      <c r="D6" t="s">
        <v>350</v>
      </c>
      <c r="E6" t="s">
        <v>390</v>
      </c>
      <c r="G6" t="s">
        <v>177</v>
      </c>
      <c r="H6">
        <v>3.75</v>
      </c>
      <c r="I6">
        <v>7.5</v>
      </c>
      <c r="J6">
        <v>6</v>
      </c>
      <c r="K6" t="s">
        <v>171</v>
      </c>
      <c r="L6">
        <v>0.2</v>
      </c>
      <c r="M6">
        <v>220</v>
      </c>
      <c r="N6" t="s">
        <v>171</v>
      </c>
      <c r="O6">
        <v>19.957784117999999</v>
      </c>
      <c r="P6">
        <v>124</v>
      </c>
      <c r="Q6" t="s">
        <v>171</v>
      </c>
      <c r="R6">
        <v>10.627333014</v>
      </c>
      <c r="S6">
        <v>3.04</v>
      </c>
      <c r="T6" t="s">
        <v>171</v>
      </c>
      <c r="U6">
        <v>0.36335594520000003</v>
      </c>
      <c r="V6">
        <v>4.45</v>
      </c>
      <c r="W6" t="s">
        <v>171</v>
      </c>
      <c r="X6">
        <v>0.46949655749999997</v>
      </c>
      <c r="Y6">
        <v>0.59</v>
      </c>
      <c r="Z6">
        <v>1830</v>
      </c>
      <c r="AA6" t="s">
        <v>171</v>
      </c>
      <c r="AB6">
        <v>100.65</v>
      </c>
      <c r="AC6">
        <v>4.9400000000000004</v>
      </c>
      <c r="AD6" t="s">
        <v>171</v>
      </c>
      <c r="AE6">
        <v>0.55332675048000013</v>
      </c>
      <c r="AF6">
        <v>1.43</v>
      </c>
      <c r="AG6" t="s">
        <v>171</v>
      </c>
      <c r="AH6">
        <v>0.27331249952999997</v>
      </c>
      <c r="AI6">
        <v>6.37</v>
      </c>
      <c r="AJ6" t="s">
        <v>171</v>
      </c>
      <c r="AK6">
        <v>1.1376549490199999</v>
      </c>
      <c r="AL6">
        <v>1824</v>
      </c>
    </row>
    <row r="7" spans="1:51" x14ac:dyDescent="0.15">
      <c r="A7" t="s">
        <v>50</v>
      </c>
      <c r="B7" t="s">
        <v>98</v>
      </c>
      <c r="C7" t="s">
        <v>98</v>
      </c>
      <c r="D7" t="s">
        <v>350</v>
      </c>
      <c r="E7" t="s">
        <v>390</v>
      </c>
      <c r="G7" t="s">
        <v>175</v>
      </c>
      <c r="H7">
        <v>16.25</v>
      </c>
      <c r="I7">
        <v>17.5</v>
      </c>
      <c r="J7">
        <v>7</v>
      </c>
      <c r="K7" t="s">
        <v>171</v>
      </c>
      <c r="L7">
        <v>0.2</v>
      </c>
      <c r="M7">
        <v>174</v>
      </c>
      <c r="N7" t="s">
        <v>171</v>
      </c>
      <c r="O7">
        <v>16.147880485999998</v>
      </c>
      <c r="P7">
        <v>87</v>
      </c>
      <c r="Q7" t="s">
        <v>171</v>
      </c>
      <c r="R7">
        <v>7.3605308269999998</v>
      </c>
      <c r="S7">
        <v>1.68</v>
      </c>
      <c r="T7" t="s">
        <v>171</v>
      </c>
      <c r="U7">
        <v>0.26097918440000001</v>
      </c>
      <c r="V7">
        <v>1.66</v>
      </c>
      <c r="W7" t="s">
        <v>171</v>
      </c>
      <c r="X7">
        <v>0.25947364379999999</v>
      </c>
      <c r="Y7">
        <v>0.03</v>
      </c>
      <c r="Z7">
        <v>1180</v>
      </c>
      <c r="AA7" t="s">
        <v>171</v>
      </c>
      <c r="AB7">
        <v>64.900000000000006</v>
      </c>
      <c r="AC7">
        <v>3.33</v>
      </c>
      <c r="AD7" t="s">
        <v>171</v>
      </c>
      <c r="AE7">
        <v>0.43730919736000001</v>
      </c>
      <c r="AF7">
        <v>1.1499999999999999</v>
      </c>
      <c r="AG7" t="s">
        <v>171</v>
      </c>
      <c r="AH7">
        <v>0.23406249964999998</v>
      </c>
      <c r="AI7">
        <v>4.4800000000000004</v>
      </c>
      <c r="AJ7" t="s">
        <v>171</v>
      </c>
      <c r="AK7">
        <v>1.07245817808</v>
      </c>
      <c r="AL7">
        <v>1176</v>
      </c>
      <c r="AM7" t="s">
        <v>478</v>
      </c>
      <c r="AN7">
        <f>AM7*I7*V7</f>
        <v>42.512247328994256</v>
      </c>
    </row>
    <row r="8" spans="1:51" x14ac:dyDescent="0.15">
      <c r="A8" t="s">
        <v>50</v>
      </c>
      <c r="B8" t="s">
        <v>98</v>
      </c>
      <c r="C8" t="s">
        <v>98</v>
      </c>
      <c r="D8" t="s">
        <v>350</v>
      </c>
      <c r="E8" t="s">
        <v>390</v>
      </c>
      <c r="G8" t="s">
        <v>176</v>
      </c>
      <c r="H8">
        <v>35</v>
      </c>
      <c r="I8">
        <v>20</v>
      </c>
      <c r="J8">
        <v>7.5</v>
      </c>
      <c r="K8" t="s">
        <v>171</v>
      </c>
      <c r="L8">
        <v>0.2</v>
      </c>
      <c r="M8">
        <v>171</v>
      </c>
      <c r="N8" t="s">
        <v>171</v>
      </c>
      <c r="O8">
        <v>15.899408510000001</v>
      </c>
      <c r="P8">
        <v>97</v>
      </c>
      <c r="Q8" t="s">
        <v>171</v>
      </c>
      <c r="R8">
        <v>8.2434503370000005</v>
      </c>
      <c r="S8">
        <v>1.08</v>
      </c>
      <c r="T8" t="s">
        <v>171</v>
      </c>
      <c r="U8">
        <v>0.2158129664</v>
      </c>
      <c r="V8">
        <v>0.93</v>
      </c>
      <c r="W8" t="s">
        <v>171</v>
      </c>
      <c r="X8">
        <v>0.20452141190000001</v>
      </c>
      <c r="Y8">
        <v>0.15</v>
      </c>
      <c r="Z8">
        <v>1140</v>
      </c>
      <c r="AA8" t="s">
        <v>171</v>
      </c>
      <c r="AB8">
        <v>62.7</v>
      </c>
      <c r="AC8">
        <v>2.85</v>
      </c>
      <c r="AD8" t="s">
        <v>171</v>
      </c>
      <c r="AE8">
        <v>0.40272011320000001</v>
      </c>
      <c r="AF8">
        <v>2.39</v>
      </c>
      <c r="AG8" t="s">
        <v>171</v>
      </c>
      <c r="AH8">
        <v>0.40788392769000004</v>
      </c>
      <c r="AI8">
        <v>5.24</v>
      </c>
      <c r="AJ8" t="s">
        <v>171</v>
      </c>
      <c r="AK8">
        <v>1.0986748690399999</v>
      </c>
      <c r="AL8">
        <v>1135</v>
      </c>
    </row>
    <row r="9" spans="1:51" x14ac:dyDescent="0.15">
      <c r="A9" t="s">
        <v>50</v>
      </c>
      <c r="B9" t="s">
        <v>98</v>
      </c>
      <c r="C9" t="s">
        <v>98</v>
      </c>
      <c r="D9" t="s">
        <v>350</v>
      </c>
      <c r="E9" t="s">
        <v>390</v>
      </c>
      <c r="G9" t="s">
        <v>21</v>
      </c>
      <c r="H9">
        <v>52.5</v>
      </c>
      <c r="I9">
        <v>15</v>
      </c>
      <c r="J9">
        <v>7.6</v>
      </c>
      <c r="K9" t="s">
        <v>171</v>
      </c>
      <c r="L9">
        <v>0.2</v>
      </c>
      <c r="M9">
        <v>159</v>
      </c>
      <c r="N9" t="s">
        <v>171</v>
      </c>
      <c r="O9">
        <v>14.905520606</v>
      </c>
      <c r="P9">
        <v>88</v>
      </c>
      <c r="Q9" t="s">
        <v>171</v>
      </c>
      <c r="R9">
        <v>7.4488227779999994</v>
      </c>
      <c r="S9">
        <v>0.9</v>
      </c>
      <c r="T9" t="s">
        <v>171</v>
      </c>
      <c r="U9">
        <v>0.202263101</v>
      </c>
      <c r="V9">
        <v>0.78</v>
      </c>
      <c r="W9" t="s">
        <v>171</v>
      </c>
      <c r="X9">
        <v>0.19322985740000001</v>
      </c>
      <c r="Y9">
        <v>0.12</v>
      </c>
      <c r="Z9">
        <v>1300</v>
      </c>
      <c r="AA9" t="s">
        <v>171</v>
      </c>
      <c r="AB9">
        <v>71.5</v>
      </c>
      <c r="AC9">
        <v>2.2400000000000002</v>
      </c>
      <c r="AD9" t="s">
        <v>171</v>
      </c>
      <c r="AE9">
        <v>0.35876315208000004</v>
      </c>
      <c r="AF9">
        <v>1.21</v>
      </c>
      <c r="AG9" t="s">
        <v>171</v>
      </c>
      <c r="AH9">
        <v>0.24247321390999999</v>
      </c>
      <c r="AI9">
        <v>3.45</v>
      </c>
      <c r="AJ9" t="s">
        <v>171</v>
      </c>
      <c r="AK9">
        <v>1.0369276626999999</v>
      </c>
      <c r="AL9">
        <v>1297</v>
      </c>
    </row>
    <row r="10" spans="1:51" x14ac:dyDescent="0.15">
      <c r="A10" t="s">
        <v>50</v>
      </c>
      <c r="B10" t="s">
        <v>178</v>
      </c>
      <c r="C10" t="s">
        <v>178</v>
      </c>
      <c r="D10" t="s">
        <v>348</v>
      </c>
      <c r="E10" t="s">
        <v>72</v>
      </c>
      <c r="F10" t="s">
        <v>72</v>
      </c>
      <c r="G10" t="s">
        <v>177</v>
      </c>
      <c r="H10">
        <v>3.75</v>
      </c>
      <c r="I10">
        <v>7.5</v>
      </c>
      <c r="J10">
        <v>5.9</v>
      </c>
      <c r="K10" t="s">
        <v>171</v>
      </c>
      <c r="L10">
        <v>0.2</v>
      </c>
      <c r="M10">
        <v>157</v>
      </c>
      <c r="N10" t="s">
        <v>171</v>
      </c>
      <c r="O10">
        <v>14.739872622</v>
      </c>
      <c r="P10">
        <v>140</v>
      </c>
      <c r="Q10" t="s">
        <v>171</v>
      </c>
      <c r="R10">
        <v>12.040004229999999</v>
      </c>
      <c r="S10">
        <v>1.42</v>
      </c>
      <c r="T10" t="s">
        <v>171</v>
      </c>
      <c r="U10">
        <v>0.24140715660000001</v>
      </c>
      <c r="V10">
        <v>1.36</v>
      </c>
      <c r="W10" t="s">
        <v>171</v>
      </c>
      <c r="X10">
        <v>0.2368905348</v>
      </c>
      <c r="Y10">
        <v>0.06</v>
      </c>
      <c r="Z10">
        <v>1080</v>
      </c>
      <c r="AA10" t="s">
        <v>171</v>
      </c>
      <c r="AB10">
        <v>59.4</v>
      </c>
      <c r="AC10">
        <v>11.03</v>
      </c>
      <c r="AD10" t="s">
        <v>171</v>
      </c>
      <c r="AE10">
        <v>0.99217575576000006</v>
      </c>
      <c r="AF10">
        <v>4.2699999999999996</v>
      </c>
      <c r="AG10" t="s">
        <v>171</v>
      </c>
      <c r="AH10">
        <v>0.67141964116999997</v>
      </c>
      <c r="AI10">
        <v>15.3</v>
      </c>
      <c r="AJ10" t="s">
        <v>171</v>
      </c>
      <c r="AK10">
        <v>1.4457010678</v>
      </c>
      <c r="AL10">
        <v>1065</v>
      </c>
      <c r="AY10">
        <v>12.412412412412399</v>
      </c>
    </row>
    <row r="11" spans="1:51" x14ac:dyDescent="0.15">
      <c r="A11" t="s">
        <v>50</v>
      </c>
      <c r="B11" t="s">
        <v>178</v>
      </c>
      <c r="C11" t="s">
        <v>178</v>
      </c>
      <c r="D11" t="s">
        <v>348</v>
      </c>
      <c r="E11" t="s">
        <v>72</v>
      </c>
      <c r="F11" t="s">
        <v>72</v>
      </c>
      <c r="G11" t="s">
        <v>175</v>
      </c>
      <c r="H11">
        <v>16.25</v>
      </c>
      <c r="I11">
        <v>17.5</v>
      </c>
      <c r="J11">
        <v>6.5</v>
      </c>
      <c r="K11" t="s">
        <v>171</v>
      </c>
      <c r="L11">
        <v>0.2</v>
      </c>
      <c r="M11">
        <v>188</v>
      </c>
      <c r="N11" t="s">
        <v>171</v>
      </c>
      <c r="O11">
        <v>17.307416373999999</v>
      </c>
      <c r="P11">
        <v>57</v>
      </c>
      <c r="Q11" t="s">
        <v>171</v>
      </c>
      <c r="R11">
        <v>4.7117722969999996</v>
      </c>
      <c r="S11">
        <v>1.17</v>
      </c>
      <c r="T11" t="s">
        <v>171</v>
      </c>
      <c r="U11">
        <v>0.22258789909999999</v>
      </c>
      <c r="V11">
        <v>1.1499999999999999</v>
      </c>
      <c r="W11" t="s">
        <v>171</v>
      </c>
      <c r="X11">
        <v>0.22108235849999999</v>
      </c>
      <c r="Y11">
        <v>0.02</v>
      </c>
      <c r="Z11">
        <v>1020</v>
      </c>
      <c r="AA11" t="s">
        <v>171</v>
      </c>
      <c r="AB11">
        <v>56.1</v>
      </c>
      <c r="AC11">
        <v>7.71</v>
      </c>
      <c r="AD11" t="s">
        <v>171</v>
      </c>
      <c r="AE11">
        <v>0.75293459031999999</v>
      </c>
      <c r="AF11">
        <v>0.92</v>
      </c>
      <c r="AG11" t="s">
        <v>171</v>
      </c>
      <c r="AH11">
        <v>0.20182142832</v>
      </c>
      <c r="AI11">
        <v>8.6300000000000008</v>
      </c>
      <c r="AJ11" t="s">
        <v>171</v>
      </c>
      <c r="AK11">
        <v>1.21561510898</v>
      </c>
      <c r="AL11">
        <v>1011</v>
      </c>
      <c r="AM11" t="s">
        <v>478</v>
      </c>
      <c r="AN11">
        <f>AM11*I11*V11</f>
        <v>29.451255679724934</v>
      </c>
      <c r="AY11">
        <v>12.012012012012001</v>
      </c>
    </row>
    <row r="12" spans="1:51" x14ac:dyDescent="0.15">
      <c r="A12" t="s">
        <v>50</v>
      </c>
      <c r="B12" t="s">
        <v>178</v>
      </c>
      <c r="C12" t="s">
        <v>178</v>
      </c>
      <c r="D12" t="s">
        <v>348</v>
      </c>
      <c r="E12" t="s">
        <v>72</v>
      </c>
      <c r="F12" t="s">
        <v>72</v>
      </c>
      <c r="G12" t="s">
        <v>176</v>
      </c>
      <c r="H12">
        <v>35</v>
      </c>
      <c r="I12">
        <v>20</v>
      </c>
      <c r="J12">
        <v>5.5</v>
      </c>
      <c r="K12" t="s">
        <v>171</v>
      </c>
      <c r="L12">
        <v>0.2</v>
      </c>
      <c r="M12">
        <v>95</v>
      </c>
      <c r="N12" t="s">
        <v>171</v>
      </c>
      <c r="O12">
        <v>9.6047851179999988</v>
      </c>
      <c r="P12">
        <v>68</v>
      </c>
      <c r="Q12" t="s">
        <v>171</v>
      </c>
      <c r="R12">
        <v>5.6829837579999998</v>
      </c>
      <c r="S12">
        <v>0.63</v>
      </c>
      <c r="T12" t="s">
        <v>171</v>
      </c>
      <c r="U12">
        <v>0.18193830290000002</v>
      </c>
      <c r="V12">
        <v>0.6</v>
      </c>
      <c r="W12" t="s">
        <v>171</v>
      </c>
      <c r="X12">
        <v>0.17967999200000001</v>
      </c>
      <c r="Y12">
        <v>0.03</v>
      </c>
      <c r="Z12">
        <v>730</v>
      </c>
      <c r="AA12" t="s">
        <v>171</v>
      </c>
      <c r="AB12">
        <v>40.15</v>
      </c>
      <c r="AC12">
        <v>1.1499999999999999</v>
      </c>
      <c r="AD12" t="s">
        <v>171</v>
      </c>
      <c r="AE12">
        <v>0.2802171068</v>
      </c>
      <c r="AF12">
        <v>1.01</v>
      </c>
      <c r="AG12" t="s">
        <v>171</v>
      </c>
      <c r="AH12">
        <v>0.21443749970999998</v>
      </c>
      <c r="AI12">
        <v>2.16</v>
      </c>
      <c r="AJ12" t="s">
        <v>171</v>
      </c>
      <c r="AK12">
        <v>0.99242827936</v>
      </c>
      <c r="AL12">
        <v>728</v>
      </c>
    </row>
    <row r="13" spans="1:51" x14ac:dyDescent="0.15">
      <c r="A13" t="s">
        <v>179</v>
      </c>
      <c r="B13" t="s">
        <v>180</v>
      </c>
      <c r="C13" t="s">
        <v>81</v>
      </c>
      <c r="D13" t="s">
        <v>346</v>
      </c>
      <c r="E13" t="s">
        <v>22</v>
      </c>
      <c r="F13" t="s">
        <v>22</v>
      </c>
      <c r="G13" t="s">
        <v>177</v>
      </c>
      <c r="H13">
        <v>3.75</v>
      </c>
      <c r="I13">
        <v>7.5</v>
      </c>
      <c r="J13">
        <v>5.0999999999999996</v>
      </c>
      <c r="K13" t="s">
        <v>171</v>
      </c>
      <c r="L13">
        <v>0.2</v>
      </c>
      <c r="M13">
        <v>194</v>
      </c>
      <c r="N13" t="s">
        <v>171</v>
      </c>
      <c r="O13">
        <v>17.804360325999998</v>
      </c>
      <c r="P13">
        <v>190</v>
      </c>
      <c r="Q13" t="s">
        <v>171</v>
      </c>
      <c r="R13">
        <v>16.454601779999997</v>
      </c>
      <c r="S13">
        <v>1.68</v>
      </c>
      <c r="T13" t="s">
        <v>171</v>
      </c>
      <c r="U13">
        <v>0.26097918440000001</v>
      </c>
      <c r="V13">
        <v>1.67</v>
      </c>
      <c r="W13" t="s">
        <v>171</v>
      </c>
      <c r="X13">
        <v>0.26022641410000003</v>
      </c>
      <c r="Y13">
        <v>0.01</v>
      </c>
      <c r="Z13">
        <v>1400</v>
      </c>
      <c r="AA13" t="s">
        <v>171</v>
      </c>
      <c r="AB13">
        <v>77</v>
      </c>
      <c r="AC13">
        <v>12.26</v>
      </c>
      <c r="AD13" t="s">
        <v>171</v>
      </c>
      <c r="AE13">
        <v>1.08081028392</v>
      </c>
      <c r="AF13">
        <v>1.44</v>
      </c>
      <c r="AG13" t="s">
        <v>171</v>
      </c>
      <c r="AH13">
        <v>0.27471428523999997</v>
      </c>
      <c r="AI13">
        <v>13.7</v>
      </c>
      <c r="AJ13" t="s">
        <v>171</v>
      </c>
      <c r="AK13">
        <v>1.3905080341999998</v>
      </c>
      <c r="AL13">
        <v>1386</v>
      </c>
      <c r="AM13" s="141">
        <f>AM14-((AM14-AM16)/(H14-H16))*H13</f>
        <v>1.3398657237320928</v>
      </c>
      <c r="AN13">
        <f t="shared" ref="AN13:AN18" si="0">AM13*I13*V13</f>
        <v>16.781818189744463</v>
      </c>
      <c r="AO13">
        <v>9.5</v>
      </c>
      <c r="AP13">
        <v>116.16799938733058</v>
      </c>
      <c r="AQ13">
        <v>12.228210461824272</v>
      </c>
      <c r="AR13">
        <v>47.919299747273861</v>
      </c>
      <c r="AS13">
        <v>5.0441368155025117</v>
      </c>
      <c r="AT13">
        <v>16</v>
      </c>
      <c r="AU13">
        <v>340.93718289157704</v>
      </c>
      <c r="AV13">
        <v>21.308573930723565</v>
      </c>
      <c r="AW13">
        <v>140.63658794277552</v>
      </c>
      <c r="AX13">
        <v>8.78978674642347</v>
      </c>
      <c r="AY13">
        <v>10.3103103103103</v>
      </c>
    </row>
    <row r="14" spans="1:51" x14ac:dyDescent="0.15">
      <c r="A14" t="s">
        <v>181</v>
      </c>
      <c r="B14" t="s">
        <v>180</v>
      </c>
      <c r="C14" t="s">
        <v>81</v>
      </c>
      <c r="D14" t="s">
        <v>346</v>
      </c>
      <c r="E14" t="s">
        <v>22</v>
      </c>
      <c r="F14" t="s">
        <v>22</v>
      </c>
      <c r="G14" t="s">
        <v>175</v>
      </c>
      <c r="H14">
        <v>16.25</v>
      </c>
      <c r="I14">
        <v>17.5</v>
      </c>
      <c r="J14">
        <v>5</v>
      </c>
      <c r="K14" t="s">
        <v>171</v>
      </c>
      <c r="L14">
        <v>0.2</v>
      </c>
      <c r="M14">
        <v>187</v>
      </c>
      <c r="N14" t="s">
        <v>171</v>
      </c>
      <c r="O14">
        <v>17.224592382000001</v>
      </c>
      <c r="P14">
        <v>125</v>
      </c>
      <c r="Q14" t="s">
        <v>171</v>
      </c>
      <c r="R14">
        <v>10.715624965</v>
      </c>
      <c r="S14">
        <v>0.93</v>
      </c>
      <c r="T14" t="s">
        <v>171</v>
      </c>
      <c r="U14">
        <v>0.20452141190000001</v>
      </c>
      <c r="V14">
        <v>0.89</v>
      </c>
      <c r="W14" t="s">
        <v>171</v>
      </c>
      <c r="X14">
        <v>0.20151033070000002</v>
      </c>
      <c r="Y14">
        <v>0.04</v>
      </c>
      <c r="Z14">
        <v>1140</v>
      </c>
      <c r="AA14" t="s">
        <v>171</v>
      </c>
      <c r="AB14">
        <v>62.7</v>
      </c>
      <c r="AC14">
        <v>8.33</v>
      </c>
      <c r="AD14" t="s">
        <v>171</v>
      </c>
      <c r="AE14">
        <v>0.79761215736000002</v>
      </c>
      <c r="AF14">
        <v>2.2799999999999998</v>
      </c>
      <c r="AG14" t="s">
        <v>171</v>
      </c>
      <c r="AH14">
        <v>0.39246428488000001</v>
      </c>
      <c r="AI14">
        <v>10.61</v>
      </c>
      <c r="AJ14" t="s">
        <v>171</v>
      </c>
      <c r="AK14">
        <v>1.28391648806</v>
      </c>
      <c r="AL14">
        <v>1129</v>
      </c>
      <c r="AM14" t="s">
        <v>479</v>
      </c>
      <c r="AN14">
        <f t="shared" si="0"/>
        <v>21.288957386712536</v>
      </c>
      <c r="AY14">
        <v>10.6106106106106</v>
      </c>
    </row>
    <row r="15" spans="1:51" x14ac:dyDescent="0.15">
      <c r="A15" t="s">
        <v>179</v>
      </c>
      <c r="B15" t="s">
        <v>182</v>
      </c>
      <c r="C15" t="s">
        <v>81</v>
      </c>
      <c r="D15" t="s">
        <v>346</v>
      </c>
      <c r="E15" t="s">
        <v>22</v>
      </c>
      <c r="F15" t="s">
        <v>22</v>
      </c>
      <c r="G15" t="s">
        <v>176</v>
      </c>
      <c r="H15">
        <v>35</v>
      </c>
      <c r="I15">
        <v>20</v>
      </c>
      <c r="J15">
        <v>5.2</v>
      </c>
      <c r="K15" t="s">
        <v>171</v>
      </c>
      <c r="L15">
        <v>0.2</v>
      </c>
      <c r="M15">
        <v>146</v>
      </c>
      <c r="N15" t="s">
        <v>171</v>
      </c>
      <c r="O15">
        <v>13.828808710000001</v>
      </c>
      <c r="P15">
        <v>69</v>
      </c>
      <c r="Q15" t="s">
        <v>171</v>
      </c>
      <c r="R15">
        <v>5.7712757090000002</v>
      </c>
      <c r="S15">
        <v>0.78</v>
      </c>
      <c r="T15" t="s">
        <v>171</v>
      </c>
      <c r="U15">
        <v>0.19322985740000001</v>
      </c>
      <c r="V15">
        <v>0.78</v>
      </c>
      <c r="W15" t="s">
        <v>171</v>
      </c>
      <c r="X15">
        <v>0.19322985740000001</v>
      </c>
      <c r="Y15">
        <v>0</v>
      </c>
      <c r="Z15">
        <v>740</v>
      </c>
      <c r="AA15" t="s">
        <v>171</v>
      </c>
      <c r="AB15">
        <v>40.700000000000003</v>
      </c>
      <c r="AC15">
        <v>3.68</v>
      </c>
      <c r="AD15" t="s">
        <v>171</v>
      </c>
      <c r="AE15">
        <v>0.46253040456000005</v>
      </c>
      <c r="AF15">
        <v>1.08</v>
      </c>
      <c r="AG15" t="s">
        <v>171</v>
      </c>
      <c r="AH15">
        <v>0.22424999968000003</v>
      </c>
      <c r="AI15">
        <v>4.76</v>
      </c>
      <c r="AJ15" t="s">
        <v>171</v>
      </c>
      <c r="AK15">
        <v>1.0821169589599999</v>
      </c>
      <c r="AL15">
        <v>735</v>
      </c>
      <c r="AM15" s="140">
        <f>(((AM14-AM16)/(H14-H16))*(H15-H14))+AM14</f>
        <v>1.5018748689976555</v>
      </c>
      <c r="AN15">
        <f t="shared" si="0"/>
        <v>23.429247956363426</v>
      </c>
    </row>
    <row r="16" spans="1:51" x14ac:dyDescent="0.15">
      <c r="A16" t="s">
        <v>181</v>
      </c>
      <c r="B16" t="s">
        <v>182</v>
      </c>
      <c r="C16" t="s">
        <v>81</v>
      </c>
      <c r="D16" t="s">
        <v>346</v>
      </c>
      <c r="E16" t="s">
        <v>22</v>
      </c>
      <c r="F16" t="s">
        <v>22</v>
      </c>
      <c r="G16" t="s">
        <v>21</v>
      </c>
      <c r="H16">
        <v>52.5</v>
      </c>
      <c r="I16">
        <v>15</v>
      </c>
      <c r="J16">
        <v>5.5</v>
      </c>
      <c r="K16" t="s">
        <v>171</v>
      </c>
      <c r="L16">
        <v>0.2</v>
      </c>
      <c r="M16">
        <v>115</v>
      </c>
      <c r="N16" t="s">
        <v>171</v>
      </c>
      <c r="O16">
        <v>11.261264957999998</v>
      </c>
      <c r="P16">
        <v>65</v>
      </c>
      <c r="Q16" t="s">
        <v>171</v>
      </c>
      <c r="R16">
        <v>5.4181079050000003</v>
      </c>
      <c r="S16">
        <v>0.59</v>
      </c>
      <c r="T16" t="s">
        <v>171</v>
      </c>
      <c r="U16">
        <v>0.1789272217</v>
      </c>
      <c r="V16">
        <v>0.49</v>
      </c>
      <c r="W16" t="s">
        <v>171</v>
      </c>
      <c r="X16">
        <v>0.1713995187</v>
      </c>
      <c r="Y16">
        <v>0.1</v>
      </c>
      <c r="Z16">
        <v>520</v>
      </c>
      <c r="AA16" t="s">
        <v>171</v>
      </c>
      <c r="AB16">
        <v>28.6</v>
      </c>
      <c r="AC16">
        <v>1.42</v>
      </c>
      <c r="AD16" t="s">
        <v>171</v>
      </c>
      <c r="AE16">
        <v>0.29967346664</v>
      </c>
      <c r="AF16">
        <v>1.31</v>
      </c>
      <c r="AG16" t="s">
        <v>171</v>
      </c>
      <c r="AH16">
        <v>0.25649107101000002</v>
      </c>
      <c r="AI16">
        <v>2.73</v>
      </c>
      <c r="AJ16" t="s">
        <v>171</v>
      </c>
      <c r="AK16">
        <v>1.01209079758</v>
      </c>
      <c r="AL16">
        <v>517</v>
      </c>
      <c r="AM16" s="139">
        <f>-0.0042*AY16+1.6859</f>
        <v>1.6278819819819821</v>
      </c>
      <c r="AN16">
        <f t="shared" si="0"/>
        <v>11.964932567567567</v>
      </c>
      <c r="AY16">
        <v>13.8138138138138</v>
      </c>
    </row>
    <row r="17" spans="1:51" x14ac:dyDescent="0.15">
      <c r="A17" t="s">
        <v>181</v>
      </c>
      <c r="B17" t="s">
        <v>184</v>
      </c>
      <c r="C17" t="s">
        <v>81</v>
      </c>
      <c r="D17" t="s">
        <v>346</v>
      </c>
      <c r="E17" t="s">
        <v>23</v>
      </c>
      <c r="F17" t="s">
        <v>23</v>
      </c>
      <c r="G17" t="s">
        <v>177</v>
      </c>
      <c r="H17">
        <v>3.75</v>
      </c>
      <c r="I17">
        <v>7.5</v>
      </c>
      <c r="J17">
        <v>5.0999999999999996</v>
      </c>
      <c r="K17" t="s">
        <v>171</v>
      </c>
      <c r="L17">
        <v>0.2</v>
      </c>
      <c r="M17">
        <v>37</v>
      </c>
      <c r="N17" t="s">
        <v>171</v>
      </c>
      <c r="O17">
        <v>4.8009935820000003</v>
      </c>
      <c r="P17">
        <v>127</v>
      </c>
      <c r="Q17" t="s">
        <v>171</v>
      </c>
      <c r="R17">
        <v>10.892208866999999</v>
      </c>
      <c r="S17">
        <v>1.73</v>
      </c>
      <c r="T17" t="s">
        <v>171</v>
      </c>
      <c r="U17">
        <v>0.26474303589999998</v>
      </c>
      <c r="V17">
        <v>1.68</v>
      </c>
      <c r="W17" t="s">
        <v>171</v>
      </c>
      <c r="X17">
        <v>0.26097918440000001</v>
      </c>
      <c r="Y17">
        <v>0.05</v>
      </c>
      <c r="Z17">
        <v>1310</v>
      </c>
      <c r="AA17" t="s">
        <v>171</v>
      </c>
      <c r="AB17">
        <v>72.05</v>
      </c>
      <c r="AC17">
        <v>8.65</v>
      </c>
      <c r="AD17" t="s">
        <v>171</v>
      </c>
      <c r="AE17">
        <v>0.8206715468000001</v>
      </c>
      <c r="AF17">
        <v>2.2599999999999998</v>
      </c>
      <c r="AG17" t="s">
        <v>171</v>
      </c>
      <c r="AH17">
        <v>0.38966071345999997</v>
      </c>
      <c r="AI17">
        <v>10.91</v>
      </c>
      <c r="AJ17" t="s">
        <v>171</v>
      </c>
      <c r="AK17">
        <v>1.2942651818599999</v>
      </c>
      <c r="AL17">
        <v>1299</v>
      </c>
      <c r="AM17" s="141">
        <f>AM18-((AM18-AM20)/(H18-H20))*H17</f>
        <v>1.4549354201652573</v>
      </c>
      <c r="AN17">
        <f t="shared" si="0"/>
        <v>18.332186294082241</v>
      </c>
      <c r="AO17">
        <v>9.5</v>
      </c>
      <c r="AP17">
        <v>131.88021361164436</v>
      </c>
      <c r="AQ17">
        <v>13.882127748594144</v>
      </c>
      <c r="AR17">
        <v>54.400588114803305</v>
      </c>
      <c r="AS17">
        <v>5.726377696295085</v>
      </c>
      <c r="AT17">
        <v>16</v>
      </c>
      <c r="AU17">
        <v>415.17260474562897</v>
      </c>
      <c r="AV17">
        <v>25.948287796601811</v>
      </c>
      <c r="AW17">
        <v>171.25869945757194</v>
      </c>
      <c r="AX17">
        <v>10.703668716098246</v>
      </c>
      <c r="AY17">
        <v>12.112112112112101</v>
      </c>
    </row>
    <row r="18" spans="1:51" x14ac:dyDescent="0.15">
      <c r="A18" t="s">
        <v>179</v>
      </c>
      <c r="B18" t="s">
        <v>184</v>
      </c>
      <c r="C18" t="s">
        <v>81</v>
      </c>
      <c r="D18" t="s">
        <v>346</v>
      </c>
      <c r="E18" t="s">
        <v>23</v>
      </c>
      <c r="F18" t="s">
        <v>23</v>
      </c>
      <c r="G18" t="s">
        <v>175</v>
      </c>
      <c r="H18">
        <v>16.25</v>
      </c>
      <c r="I18">
        <v>17.5</v>
      </c>
      <c r="J18">
        <v>4.8</v>
      </c>
      <c r="K18" t="s">
        <v>171</v>
      </c>
      <c r="L18">
        <v>0.2</v>
      </c>
      <c r="M18">
        <v>37</v>
      </c>
      <c r="N18" t="s">
        <v>171</v>
      </c>
      <c r="O18">
        <v>4.8009935820000003</v>
      </c>
      <c r="P18">
        <v>65</v>
      </c>
      <c r="Q18" t="s">
        <v>171</v>
      </c>
      <c r="R18">
        <v>5.4181079050000003</v>
      </c>
      <c r="S18">
        <v>0.86</v>
      </c>
      <c r="T18" t="s">
        <v>171</v>
      </c>
      <c r="U18">
        <v>0.19925201980000001</v>
      </c>
      <c r="V18">
        <v>0.79</v>
      </c>
      <c r="W18" t="s">
        <v>171</v>
      </c>
      <c r="X18">
        <v>0.19398262769999999</v>
      </c>
      <c r="Y18">
        <v>7.0000000000000007E-2</v>
      </c>
      <c r="Z18">
        <v>640</v>
      </c>
      <c r="AA18" t="s">
        <v>171</v>
      </c>
      <c r="AB18">
        <v>35.200000000000003</v>
      </c>
      <c r="AC18">
        <v>3.23</v>
      </c>
      <c r="AD18" t="s">
        <v>171</v>
      </c>
      <c r="AE18">
        <v>0.43010313816000001</v>
      </c>
      <c r="AF18">
        <v>1.25</v>
      </c>
      <c r="AG18" t="s">
        <v>171</v>
      </c>
      <c r="AH18">
        <v>0.24808035675000001</v>
      </c>
      <c r="AI18">
        <v>4.4800000000000004</v>
      </c>
      <c r="AJ18" t="s">
        <v>171</v>
      </c>
      <c r="AK18">
        <v>1.07245817808</v>
      </c>
      <c r="AL18">
        <v>636</v>
      </c>
      <c r="AM18" t="s">
        <v>480</v>
      </c>
      <c r="AN18">
        <f t="shared" si="0"/>
        <v>20.334277907405095</v>
      </c>
      <c r="AY18">
        <v>11.2112112112112</v>
      </c>
    </row>
    <row r="19" spans="1:51" x14ac:dyDescent="0.15">
      <c r="A19" t="s">
        <v>179</v>
      </c>
      <c r="B19" t="s">
        <v>184</v>
      </c>
      <c r="C19" t="s">
        <v>81</v>
      </c>
      <c r="D19" t="s">
        <v>346</v>
      </c>
      <c r="E19" t="s">
        <v>23</v>
      </c>
      <c r="F19" t="s">
        <v>23</v>
      </c>
      <c r="G19" t="s">
        <v>176</v>
      </c>
      <c r="H19">
        <v>35</v>
      </c>
      <c r="I19">
        <v>20</v>
      </c>
      <c r="J19">
        <v>4.7</v>
      </c>
      <c r="K19" t="s">
        <v>171</v>
      </c>
      <c r="L19">
        <v>0.2</v>
      </c>
      <c r="M19">
        <v>23</v>
      </c>
      <c r="N19" t="s">
        <v>171</v>
      </c>
      <c r="O19">
        <v>3.6414576940000001</v>
      </c>
      <c r="P19">
        <v>41</v>
      </c>
      <c r="Q19" t="s">
        <v>171</v>
      </c>
      <c r="R19">
        <v>3.2991010809999994</v>
      </c>
      <c r="S19">
        <v>0.46</v>
      </c>
      <c r="T19" t="s">
        <v>171</v>
      </c>
      <c r="U19">
        <v>0.1691412078</v>
      </c>
      <c r="V19">
        <v>0.42</v>
      </c>
      <c r="W19" t="s">
        <v>171</v>
      </c>
      <c r="X19">
        <v>0.16613012659999998</v>
      </c>
      <c r="Y19">
        <v>0.04</v>
      </c>
      <c r="Z19">
        <v>360</v>
      </c>
      <c r="AA19" t="s">
        <v>171</v>
      </c>
      <c r="AB19">
        <v>19.8</v>
      </c>
      <c r="AC19">
        <v>0.79</v>
      </c>
      <c r="AD19" t="s">
        <v>171</v>
      </c>
      <c r="AE19">
        <v>0.25427529368000001</v>
      </c>
      <c r="AF19">
        <v>1.25</v>
      </c>
      <c r="AG19" t="s">
        <v>171</v>
      </c>
      <c r="AH19">
        <v>0.24808035675000001</v>
      </c>
      <c r="AI19">
        <v>2.04</v>
      </c>
      <c r="AJ19" t="s">
        <v>171</v>
      </c>
      <c r="AK19">
        <v>0.98828880184000001</v>
      </c>
      <c r="AL19">
        <v>358</v>
      </c>
      <c r="AM19" s="140">
        <f>(((AM18-AM20)/(H18-H20))*(H19-H18))+AM18</f>
        <v>1.5503259692952731</v>
      </c>
      <c r="AN19">
        <f t="shared" ref="AN19:AN24" si="1">AM19*I19*V19</f>
        <v>13.022738142080295</v>
      </c>
    </row>
    <row r="20" spans="1:51" x14ac:dyDescent="0.15">
      <c r="A20" t="s">
        <v>181</v>
      </c>
      <c r="B20" t="s">
        <v>184</v>
      </c>
      <c r="C20" t="s">
        <v>81</v>
      </c>
      <c r="D20" t="s">
        <v>346</v>
      </c>
      <c r="E20" t="s">
        <v>23</v>
      </c>
      <c r="F20" t="s">
        <v>23</v>
      </c>
      <c r="G20" t="s">
        <v>21</v>
      </c>
      <c r="H20">
        <v>52.5</v>
      </c>
      <c r="I20">
        <v>15</v>
      </c>
      <c r="J20">
        <v>4.5</v>
      </c>
      <c r="K20" t="s">
        <v>171</v>
      </c>
      <c r="L20">
        <v>0.2</v>
      </c>
      <c r="M20">
        <v>28</v>
      </c>
      <c r="N20" t="s">
        <v>171</v>
      </c>
      <c r="O20">
        <v>4.0555776540000004</v>
      </c>
      <c r="P20">
        <v>49</v>
      </c>
      <c r="Q20" t="s">
        <v>171</v>
      </c>
      <c r="R20">
        <v>4.0054366889999997</v>
      </c>
      <c r="S20">
        <v>0.48</v>
      </c>
      <c r="T20" t="s">
        <v>171</v>
      </c>
      <c r="U20">
        <v>0.17064674839999999</v>
      </c>
      <c r="V20">
        <v>0.42</v>
      </c>
      <c r="W20" t="s">
        <v>171</v>
      </c>
      <c r="X20">
        <v>0.16613012659999998</v>
      </c>
      <c r="Y20">
        <v>0.06</v>
      </c>
      <c r="Z20">
        <v>370</v>
      </c>
      <c r="AA20" t="s">
        <v>171</v>
      </c>
      <c r="AB20">
        <v>20.350000000000001</v>
      </c>
      <c r="AC20">
        <v>0.51</v>
      </c>
      <c r="AD20" t="s">
        <v>171</v>
      </c>
      <c r="AE20">
        <v>0.23409832791999999</v>
      </c>
      <c r="AF20">
        <v>1.19</v>
      </c>
      <c r="AG20" t="s">
        <v>171</v>
      </c>
      <c r="AH20">
        <v>0.23966964249</v>
      </c>
      <c r="AI20">
        <v>1.7</v>
      </c>
      <c r="AJ20" t="s">
        <v>171</v>
      </c>
      <c r="AK20">
        <v>0.97656028219999991</v>
      </c>
      <c r="AL20">
        <v>368</v>
      </c>
      <c r="AM20" s="139">
        <f>-0.0042*AY20+1.6859</f>
        <v>1.6245186186186187</v>
      </c>
      <c r="AN20">
        <f t="shared" si="1"/>
        <v>10.234467297297297</v>
      </c>
      <c r="AY20">
        <v>14.614614614614601</v>
      </c>
    </row>
    <row r="21" spans="1:51" x14ac:dyDescent="0.15">
      <c r="A21" t="s">
        <v>179</v>
      </c>
      <c r="B21" t="s">
        <v>183</v>
      </c>
      <c r="C21" t="s">
        <v>81</v>
      </c>
      <c r="D21" t="s">
        <v>346</v>
      </c>
      <c r="E21" t="s">
        <v>24</v>
      </c>
      <c r="F21" t="s">
        <v>24</v>
      </c>
      <c r="G21" t="s">
        <v>177</v>
      </c>
      <c r="H21">
        <v>3.75</v>
      </c>
      <c r="I21">
        <v>7.5</v>
      </c>
      <c r="J21">
        <v>5.5</v>
      </c>
      <c r="K21" t="s">
        <v>171</v>
      </c>
      <c r="L21">
        <v>0.2</v>
      </c>
      <c r="M21">
        <v>105</v>
      </c>
      <c r="N21" t="s">
        <v>171</v>
      </c>
      <c r="O21">
        <v>10.433025038</v>
      </c>
      <c r="P21">
        <v>243</v>
      </c>
      <c r="Q21" t="s">
        <v>171</v>
      </c>
      <c r="R21">
        <v>21.134075182999997</v>
      </c>
      <c r="S21">
        <v>2.27</v>
      </c>
      <c r="T21" t="s">
        <v>171</v>
      </c>
      <c r="U21">
        <v>0.30539263210000001</v>
      </c>
      <c r="V21">
        <v>2.17</v>
      </c>
      <c r="W21" t="s">
        <v>171</v>
      </c>
      <c r="X21">
        <v>0.29786492909999995</v>
      </c>
      <c r="Y21">
        <v>0.1</v>
      </c>
      <c r="Z21">
        <v>1760</v>
      </c>
      <c r="AA21" t="s">
        <v>171</v>
      </c>
      <c r="AB21">
        <v>96.8</v>
      </c>
      <c r="AC21">
        <v>20.420000000000002</v>
      </c>
      <c r="AD21" t="s">
        <v>171</v>
      </c>
      <c r="AE21">
        <v>1.6688247146400004</v>
      </c>
      <c r="AF21">
        <v>1.69</v>
      </c>
      <c r="AG21" t="s">
        <v>171</v>
      </c>
      <c r="AH21">
        <v>0.30975892798999999</v>
      </c>
      <c r="AI21">
        <v>22.11</v>
      </c>
      <c r="AJ21" t="s">
        <v>171</v>
      </c>
      <c r="AK21">
        <v>1.68061641706</v>
      </c>
      <c r="AL21">
        <v>1738</v>
      </c>
      <c r="AM21" s="141">
        <f>AM22-((AM22-AM24)/(H22-H24))*H21</f>
        <v>1.3400269843795645</v>
      </c>
      <c r="AN21">
        <f t="shared" si="1"/>
        <v>21.808939170777414</v>
      </c>
      <c r="AO21">
        <v>9.5</v>
      </c>
      <c r="AP21">
        <v>139.9067355154495</v>
      </c>
      <c r="AQ21">
        <v>14.727024791099947</v>
      </c>
      <c r="AR21">
        <v>57.711528400122923</v>
      </c>
      <c r="AS21">
        <v>6.0748977263287287</v>
      </c>
      <c r="AT21">
        <v>16</v>
      </c>
      <c r="AU21">
        <v>433.30440747188402</v>
      </c>
      <c r="AV21">
        <v>27.081525466992751</v>
      </c>
      <c r="AW21">
        <v>178.73806808215215</v>
      </c>
      <c r="AX21">
        <v>11.17112925513451</v>
      </c>
      <c r="AY21">
        <v>12.212212212212201</v>
      </c>
    </row>
    <row r="22" spans="1:51" x14ac:dyDescent="0.15">
      <c r="A22" t="s">
        <v>179</v>
      </c>
      <c r="B22" t="s">
        <v>186</v>
      </c>
      <c r="C22" t="s">
        <v>81</v>
      </c>
      <c r="D22" t="s">
        <v>346</v>
      </c>
      <c r="E22" t="s">
        <v>24</v>
      </c>
      <c r="F22" t="s">
        <v>24</v>
      </c>
      <c r="G22" t="s">
        <v>175</v>
      </c>
      <c r="H22">
        <v>16.25</v>
      </c>
      <c r="I22">
        <v>17.5</v>
      </c>
      <c r="J22">
        <v>4.8</v>
      </c>
      <c r="K22" t="s">
        <v>171</v>
      </c>
      <c r="L22">
        <v>0.2</v>
      </c>
      <c r="M22">
        <v>86</v>
      </c>
      <c r="N22" t="s">
        <v>171</v>
      </c>
      <c r="O22">
        <v>8.8593691899999989</v>
      </c>
      <c r="P22">
        <v>112</v>
      </c>
      <c r="Q22" t="s">
        <v>171</v>
      </c>
      <c r="R22">
        <v>9.5678296019999998</v>
      </c>
      <c r="S22">
        <v>1.03</v>
      </c>
      <c r="T22" t="s">
        <v>171</v>
      </c>
      <c r="U22">
        <v>0.2120491149</v>
      </c>
      <c r="V22">
        <v>0.99</v>
      </c>
      <c r="W22" t="s">
        <v>171</v>
      </c>
      <c r="X22">
        <v>0.20903803370000001</v>
      </c>
      <c r="Y22">
        <v>0.04</v>
      </c>
      <c r="Z22">
        <v>1080</v>
      </c>
      <c r="AA22" t="s">
        <v>171</v>
      </c>
      <c r="AB22">
        <v>59.4</v>
      </c>
      <c r="AC22">
        <v>7.99</v>
      </c>
      <c r="AD22" t="s">
        <v>171</v>
      </c>
      <c r="AE22">
        <v>0.77311155608000004</v>
      </c>
      <c r="AF22">
        <v>1.1200000000000001</v>
      </c>
      <c r="AG22" t="s">
        <v>171</v>
      </c>
      <c r="AH22">
        <v>0.22985714252</v>
      </c>
      <c r="AI22">
        <v>9.11</v>
      </c>
      <c r="AJ22" t="s">
        <v>171</v>
      </c>
      <c r="AK22">
        <v>1.23217301906</v>
      </c>
      <c r="AL22">
        <v>1071</v>
      </c>
      <c r="AM22" t="s">
        <v>481</v>
      </c>
      <c r="AN22">
        <f t="shared" si="1"/>
        <v>23.659699128085425</v>
      </c>
      <c r="AY22">
        <v>13.013013013013</v>
      </c>
    </row>
    <row r="23" spans="1:51" x14ac:dyDescent="0.15">
      <c r="A23" t="s">
        <v>179</v>
      </c>
      <c r="B23" t="s">
        <v>186</v>
      </c>
      <c r="C23" t="s">
        <v>81</v>
      </c>
      <c r="D23" t="s">
        <v>346</v>
      </c>
      <c r="E23" t="s">
        <v>24</v>
      </c>
      <c r="F23" t="s">
        <v>24</v>
      </c>
      <c r="G23" t="s">
        <v>176</v>
      </c>
      <c r="H23">
        <v>35</v>
      </c>
      <c r="I23">
        <v>20</v>
      </c>
      <c r="J23">
        <v>5.0999999999999996</v>
      </c>
      <c r="K23" t="s">
        <v>171</v>
      </c>
      <c r="L23">
        <v>0.2</v>
      </c>
      <c r="M23">
        <v>46</v>
      </c>
      <c r="N23" t="s">
        <v>171</v>
      </c>
      <c r="O23">
        <v>5.5464095100000002</v>
      </c>
      <c r="P23">
        <v>57</v>
      </c>
      <c r="Q23" t="s">
        <v>171</v>
      </c>
      <c r="R23">
        <v>4.7117722969999996</v>
      </c>
      <c r="S23">
        <v>1.08</v>
      </c>
      <c r="T23" t="s">
        <v>171</v>
      </c>
      <c r="U23">
        <v>0.2158129664</v>
      </c>
      <c r="V23">
        <v>1.06</v>
      </c>
      <c r="W23" t="s">
        <v>171</v>
      </c>
      <c r="X23">
        <v>0.21430742580000001</v>
      </c>
      <c r="Y23">
        <v>0.02</v>
      </c>
      <c r="Z23">
        <v>980</v>
      </c>
      <c r="AA23" t="s">
        <v>171</v>
      </c>
      <c r="AB23">
        <v>53.9</v>
      </c>
      <c r="AC23">
        <v>9.83</v>
      </c>
      <c r="AD23" t="s">
        <v>171</v>
      </c>
      <c r="AE23">
        <v>0.90570304536000001</v>
      </c>
      <c r="AF23">
        <v>1.21</v>
      </c>
      <c r="AG23" t="s">
        <v>171</v>
      </c>
      <c r="AH23">
        <v>0.24247321390999999</v>
      </c>
      <c r="AI23">
        <v>11.04</v>
      </c>
      <c r="AJ23" t="s">
        <v>171</v>
      </c>
      <c r="AK23">
        <v>1.2987496158399998</v>
      </c>
      <c r="AL23">
        <v>969</v>
      </c>
      <c r="AM23" s="140">
        <f>(((AM22-AM24)/(H22-H24))*(H23-H22))+AM22</f>
        <v>1.4937002739759184</v>
      </c>
      <c r="AN23">
        <f t="shared" si="1"/>
        <v>31.66644580828947</v>
      </c>
    </row>
    <row r="24" spans="1:51" x14ac:dyDescent="0.15">
      <c r="A24" t="s">
        <v>181</v>
      </c>
      <c r="B24" t="s">
        <v>183</v>
      </c>
      <c r="C24" t="s">
        <v>81</v>
      </c>
      <c r="D24" t="s">
        <v>346</v>
      </c>
      <c r="E24" t="s">
        <v>24</v>
      </c>
      <c r="F24" t="s">
        <v>24</v>
      </c>
      <c r="G24" t="s">
        <v>21</v>
      </c>
      <c r="H24">
        <v>52.5</v>
      </c>
      <c r="I24">
        <v>15</v>
      </c>
      <c r="J24">
        <v>5.2</v>
      </c>
      <c r="K24" t="s">
        <v>171</v>
      </c>
      <c r="L24">
        <v>0.2</v>
      </c>
      <c r="M24">
        <v>45</v>
      </c>
      <c r="N24" t="s">
        <v>171</v>
      </c>
      <c r="O24">
        <v>5.4635855180000004</v>
      </c>
      <c r="P24">
        <v>42</v>
      </c>
      <c r="Q24" t="s">
        <v>171</v>
      </c>
      <c r="R24">
        <v>3.3873930319999994</v>
      </c>
      <c r="S24">
        <v>0.91</v>
      </c>
      <c r="T24" t="s">
        <v>171</v>
      </c>
      <c r="U24">
        <v>0.20301587129999998</v>
      </c>
      <c r="V24">
        <v>0.85</v>
      </c>
      <c r="W24" t="s">
        <v>171</v>
      </c>
      <c r="X24">
        <v>0.1984992495</v>
      </c>
      <c r="Y24">
        <v>0.06</v>
      </c>
      <c r="Z24">
        <v>920</v>
      </c>
      <c r="AA24" t="s">
        <v>171</v>
      </c>
      <c r="AB24">
        <v>50.6</v>
      </c>
      <c r="AC24">
        <v>8.82</v>
      </c>
      <c r="AD24" t="s">
        <v>171</v>
      </c>
      <c r="AE24">
        <v>0.83292184744000008</v>
      </c>
      <c r="AF24">
        <v>1.43</v>
      </c>
      <c r="AG24" t="s">
        <v>171</v>
      </c>
      <c r="AH24">
        <v>0.27331249952999997</v>
      </c>
      <c r="AI24">
        <v>10.25</v>
      </c>
      <c r="AJ24" t="s">
        <v>171</v>
      </c>
      <c r="AK24">
        <v>1.2714980554999999</v>
      </c>
      <c r="AL24">
        <v>910</v>
      </c>
      <c r="AM24" s="139">
        <f>-0.0042*AY24+1.6859</f>
        <v>1.6132239436619715</v>
      </c>
      <c r="AN24">
        <f t="shared" si="1"/>
        <v>20.568605281690136</v>
      </c>
      <c r="AY24">
        <v>17.303822937625799</v>
      </c>
    </row>
    <row r="25" spans="1:51" x14ac:dyDescent="0.15">
      <c r="A25" t="s">
        <v>179</v>
      </c>
      <c r="B25" t="s">
        <v>98</v>
      </c>
      <c r="C25" t="s">
        <v>98</v>
      </c>
      <c r="D25" t="s">
        <v>350</v>
      </c>
      <c r="E25" t="s">
        <v>391</v>
      </c>
      <c r="G25" t="s">
        <v>177</v>
      </c>
      <c r="H25">
        <v>3.75</v>
      </c>
      <c r="I25">
        <v>7.5</v>
      </c>
      <c r="J25">
        <v>4.4000000000000004</v>
      </c>
      <c r="K25" t="s">
        <v>171</v>
      </c>
      <c r="L25">
        <v>0.2</v>
      </c>
      <c r="M25">
        <v>59</v>
      </c>
      <c r="N25" t="s">
        <v>171</v>
      </c>
      <c r="O25">
        <v>6.6231214060000001</v>
      </c>
      <c r="P25">
        <v>142</v>
      </c>
      <c r="Q25" t="s">
        <v>171</v>
      </c>
      <c r="R25">
        <v>12.216588132</v>
      </c>
      <c r="S25">
        <v>1.85</v>
      </c>
      <c r="T25" t="s">
        <v>171</v>
      </c>
      <c r="U25">
        <v>0.2737762795</v>
      </c>
      <c r="V25">
        <v>1.72</v>
      </c>
      <c r="W25" t="s">
        <v>171</v>
      </c>
      <c r="X25">
        <v>0.2639902656</v>
      </c>
      <c r="Y25">
        <v>0.13</v>
      </c>
      <c r="Z25">
        <v>1720</v>
      </c>
      <c r="AA25" t="s">
        <v>171</v>
      </c>
      <c r="AB25">
        <v>94.6</v>
      </c>
      <c r="AC25">
        <v>15.28</v>
      </c>
      <c r="AD25" t="s">
        <v>171</v>
      </c>
      <c r="AE25">
        <v>1.29843327176</v>
      </c>
      <c r="AF25">
        <v>7.22</v>
      </c>
      <c r="AG25" t="s">
        <v>171</v>
      </c>
      <c r="AH25">
        <v>1.0849464256200001</v>
      </c>
      <c r="AI25">
        <v>22.5</v>
      </c>
      <c r="AJ25" t="s">
        <v>171</v>
      </c>
      <c r="AK25">
        <v>1.6940697189999998</v>
      </c>
      <c r="AL25">
        <v>1698</v>
      </c>
    </row>
    <row r="26" spans="1:51" x14ac:dyDescent="0.15">
      <c r="A26" t="s">
        <v>181</v>
      </c>
      <c r="B26" t="s">
        <v>98</v>
      </c>
      <c r="C26" t="s">
        <v>98</v>
      </c>
      <c r="D26" t="s">
        <v>350</v>
      </c>
      <c r="E26" t="s">
        <v>391</v>
      </c>
      <c r="G26" t="s">
        <v>175</v>
      </c>
      <c r="H26">
        <v>16.25</v>
      </c>
      <c r="I26">
        <v>17.5</v>
      </c>
      <c r="J26">
        <v>4.5</v>
      </c>
      <c r="K26" t="s">
        <v>171</v>
      </c>
      <c r="L26">
        <v>0.2</v>
      </c>
      <c r="M26">
        <v>48</v>
      </c>
      <c r="N26" t="s">
        <v>171</v>
      </c>
      <c r="O26">
        <v>5.7120574939999997</v>
      </c>
      <c r="P26">
        <v>64</v>
      </c>
      <c r="Q26" t="s">
        <v>171</v>
      </c>
      <c r="R26">
        <v>5.3298159539999999</v>
      </c>
      <c r="S26">
        <v>0.84</v>
      </c>
      <c r="T26" t="s">
        <v>171</v>
      </c>
      <c r="U26">
        <v>0.19774647919999999</v>
      </c>
      <c r="V26">
        <v>0.8</v>
      </c>
      <c r="W26" t="s">
        <v>171</v>
      </c>
      <c r="X26">
        <v>0.194735398</v>
      </c>
      <c r="Y26">
        <v>0.04</v>
      </c>
      <c r="Z26">
        <v>810</v>
      </c>
      <c r="AA26" t="s">
        <v>171</v>
      </c>
      <c r="AB26">
        <v>44.55</v>
      </c>
      <c r="AC26">
        <v>4.96</v>
      </c>
      <c r="AD26" t="s">
        <v>171</v>
      </c>
      <c r="AE26">
        <v>0.55476796232000003</v>
      </c>
      <c r="AF26">
        <v>1.24</v>
      </c>
      <c r="AG26" t="s">
        <v>171</v>
      </c>
      <c r="AH26">
        <v>0.24667857104000002</v>
      </c>
      <c r="AI26">
        <v>6.2</v>
      </c>
      <c r="AJ26" t="s">
        <v>171</v>
      </c>
      <c r="AK26">
        <v>1.1317906892</v>
      </c>
      <c r="AL26">
        <v>804</v>
      </c>
      <c r="AM26" t="s">
        <v>482</v>
      </c>
      <c r="AN26">
        <f>AM26*I26*V26</f>
        <v>19.771582954684963</v>
      </c>
    </row>
    <row r="27" spans="1:51" x14ac:dyDescent="0.15">
      <c r="A27" t="s">
        <v>179</v>
      </c>
      <c r="B27" t="s">
        <v>98</v>
      </c>
      <c r="C27" t="s">
        <v>98</v>
      </c>
      <c r="D27" t="s">
        <v>350</v>
      </c>
      <c r="E27" t="s">
        <v>391</v>
      </c>
      <c r="G27" t="s">
        <v>176</v>
      </c>
      <c r="H27">
        <v>35</v>
      </c>
      <c r="I27">
        <v>20</v>
      </c>
      <c r="J27">
        <v>4.7</v>
      </c>
      <c r="K27" t="s">
        <v>171</v>
      </c>
      <c r="L27">
        <v>0.2</v>
      </c>
      <c r="M27">
        <v>57</v>
      </c>
      <c r="N27" t="s">
        <v>171</v>
      </c>
      <c r="O27">
        <v>6.4574734219999996</v>
      </c>
      <c r="P27">
        <v>42</v>
      </c>
      <c r="Q27" t="s">
        <v>171</v>
      </c>
      <c r="R27">
        <v>3.3873930319999994</v>
      </c>
      <c r="S27">
        <v>0.48</v>
      </c>
      <c r="T27" t="s">
        <v>171</v>
      </c>
      <c r="U27">
        <v>0.17064674839999999</v>
      </c>
      <c r="V27">
        <v>0.45</v>
      </c>
      <c r="W27" t="s">
        <v>171</v>
      </c>
      <c r="X27">
        <v>0.16838843749999999</v>
      </c>
      <c r="Y27">
        <v>0.03</v>
      </c>
      <c r="Z27">
        <v>1180</v>
      </c>
      <c r="AA27" t="s">
        <v>171</v>
      </c>
      <c r="AB27">
        <v>64.900000000000006</v>
      </c>
      <c r="AC27">
        <v>1.44</v>
      </c>
      <c r="AD27" t="s">
        <v>171</v>
      </c>
      <c r="AE27">
        <v>0.30111467848000001</v>
      </c>
      <c r="AF27">
        <v>1.24</v>
      </c>
      <c r="AG27" t="s">
        <v>171</v>
      </c>
      <c r="AH27">
        <v>0.24667857104000002</v>
      </c>
      <c r="AI27">
        <v>2.68</v>
      </c>
      <c r="AJ27" t="s">
        <v>171</v>
      </c>
      <c r="AK27">
        <v>1.01036601528</v>
      </c>
      <c r="AL27">
        <v>1177</v>
      </c>
    </row>
    <row r="28" spans="1:51" x14ac:dyDescent="0.15">
      <c r="A28" t="s">
        <v>179</v>
      </c>
      <c r="B28" t="s">
        <v>98</v>
      </c>
      <c r="C28" t="s">
        <v>98</v>
      </c>
      <c r="D28" t="s">
        <v>350</v>
      </c>
      <c r="E28" t="s">
        <v>391</v>
      </c>
      <c r="G28" t="s">
        <v>21</v>
      </c>
      <c r="H28">
        <v>52.5</v>
      </c>
      <c r="I28">
        <v>15</v>
      </c>
      <c r="J28">
        <v>4.5</v>
      </c>
      <c r="K28" t="s">
        <v>171</v>
      </c>
      <c r="L28">
        <v>0.2</v>
      </c>
      <c r="M28">
        <v>63</v>
      </c>
      <c r="N28" t="s">
        <v>171</v>
      </c>
      <c r="O28">
        <v>6.9544173740000002</v>
      </c>
      <c r="P28">
        <v>46</v>
      </c>
      <c r="Q28" t="s">
        <v>171</v>
      </c>
      <c r="R28">
        <v>3.7405608359999998</v>
      </c>
      <c r="S28">
        <v>0.31</v>
      </c>
      <c r="T28" t="s">
        <v>171</v>
      </c>
      <c r="U28">
        <v>0.1578496533</v>
      </c>
      <c r="V28">
        <v>0.31</v>
      </c>
      <c r="W28" t="s">
        <v>171</v>
      </c>
      <c r="X28">
        <v>0.1578496533</v>
      </c>
      <c r="Y28">
        <v>0</v>
      </c>
      <c r="Z28">
        <v>420</v>
      </c>
      <c r="AA28" t="s">
        <v>171</v>
      </c>
      <c r="AB28">
        <v>23.1</v>
      </c>
      <c r="AC28">
        <v>0.52</v>
      </c>
      <c r="AD28" t="s">
        <v>171</v>
      </c>
      <c r="AE28">
        <v>0.23481893383999999</v>
      </c>
      <c r="AF28">
        <v>1.1599999999999999</v>
      </c>
      <c r="AG28" t="s">
        <v>171</v>
      </c>
      <c r="AH28">
        <v>0.23546428535999997</v>
      </c>
      <c r="AI28">
        <v>1.68</v>
      </c>
      <c r="AJ28" t="s">
        <v>171</v>
      </c>
      <c r="AK28">
        <v>0.97587036927999993</v>
      </c>
      <c r="AL28">
        <v>418</v>
      </c>
    </row>
    <row r="29" spans="1:51" x14ac:dyDescent="0.15">
      <c r="A29" t="s">
        <v>179</v>
      </c>
      <c r="B29" t="s">
        <v>178</v>
      </c>
      <c r="C29" t="s">
        <v>178</v>
      </c>
      <c r="D29" t="s">
        <v>348</v>
      </c>
      <c r="E29" t="s">
        <v>399</v>
      </c>
      <c r="F29" t="s">
        <v>399</v>
      </c>
      <c r="G29" t="s">
        <v>177</v>
      </c>
      <c r="H29">
        <v>3.75</v>
      </c>
      <c r="I29">
        <v>7.5</v>
      </c>
      <c r="J29">
        <v>5.3</v>
      </c>
      <c r="K29" t="s">
        <v>171</v>
      </c>
      <c r="L29">
        <v>0.2</v>
      </c>
      <c r="M29">
        <v>215</v>
      </c>
      <c r="N29" t="s">
        <v>171</v>
      </c>
      <c r="O29">
        <v>19.543664157999999</v>
      </c>
      <c r="P29">
        <v>133</v>
      </c>
      <c r="Q29" t="s">
        <v>171</v>
      </c>
      <c r="R29">
        <v>11.421960573</v>
      </c>
      <c r="S29">
        <v>0.95</v>
      </c>
      <c r="T29" t="s">
        <v>171</v>
      </c>
      <c r="U29">
        <v>0.2060269525</v>
      </c>
      <c r="V29">
        <v>0.87</v>
      </c>
      <c r="W29" t="s">
        <v>171</v>
      </c>
      <c r="X29">
        <v>0.2000047901</v>
      </c>
      <c r="Y29">
        <v>0.08</v>
      </c>
      <c r="Z29">
        <v>1180</v>
      </c>
      <c r="AA29" t="s">
        <v>171</v>
      </c>
      <c r="AB29">
        <v>64.900000000000006</v>
      </c>
      <c r="AC29">
        <v>9.34</v>
      </c>
      <c r="AD29" t="s">
        <v>171</v>
      </c>
      <c r="AE29">
        <v>0.87039335528000006</v>
      </c>
      <c r="AF29">
        <v>1.23</v>
      </c>
      <c r="AG29" t="s">
        <v>171</v>
      </c>
      <c r="AH29">
        <v>0.24527678533000002</v>
      </c>
      <c r="AI29">
        <v>10.57</v>
      </c>
      <c r="AJ29" t="s">
        <v>171</v>
      </c>
      <c r="AK29">
        <v>1.2825366622200001</v>
      </c>
      <c r="AL29">
        <v>1169</v>
      </c>
      <c r="AM29" s="141">
        <f>AM30-((AM30-AM32)/(H30-H32))*H29</f>
        <v>1.7624719675830318</v>
      </c>
      <c r="AN29">
        <f t="shared" ref="AN29:AN37" si="2">AM29*I29*V29</f>
        <v>11.500129588479282</v>
      </c>
      <c r="AY29">
        <v>9.1091091091091059</v>
      </c>
    </row>
    <row r="30" spans="1:51" x14ac:dyDescent="0.15">
      <c r="A30" t="s">
        <v>179</v>
      </c>
      <c r="B30" t="s">
        <v>178</v>
      </c>
      <c r="C30" t="s">
        <v>178</v>
      </c>
      <c r="D30" t="s">
        <v>348</v>
      </c>
      <c r="E30" t="s">
        <v>399</v>
      </c>
      <c r="F30" t="s">
        <v>399</v>
      </c>
      <c r="G30" t="s">
        <v>175</v>
      </c>
      <c r="H30">
        <v>16.25</v>
      </c>
      <c r="I30">
        <v>17.5</v>
      </c>
      <c r="J30">
        <v>5.3</v>
      </c>
      <c r="K30" t="s">
        <v>171</v>
      </c>
      <c r="L30">
        <v>0.2</v>
      </c>
      <c r="M30">
        <v>211</v>
      </c>
      <c r="N30" t="s">
        <v>171</v>
      </c>
      <c r="O30">
        <v>19.212368189999999</v>
      </c>
      <c r="P30">
        <v>116</v>
      </c>
      <c r="Q30" t="s">
        <v>171</v>
      </c>
      <c r="R30">
        <v>9.9209974059999997</v>
      </c>
      <c r="S30">
        <v>0.76</v>
      </c>
      <c r="T30" t="s">
        <v>171</v>
      </c>
      <c r="U30">
        <v>0.19172431680000002</v>
      </c>
      <c r="V30">
        <v>0.72</v>
      </c>
      <c r="W30" t="s">
        <v>171</v>
      </c>
      <c r="X30">
        <v>0.1887132356</v>
      </c>
      <c r="Y30">
        <v>0.04</v>
      </c>
      <c r="Z30">
        <v>860</v>
      </c>
      <c r="AA30" t="s">
        <v>171</v>
      </c>
      <c r="AB30">
        <v>47.3</v>
      </c>
      <c r="AC30">
        <v>7.15</v>
      </c>
      <c r="AD30" t="s">
        <v>171</v>
      </c>
      <c r="AE30">
        <v>0.7125806588000001</v>
      </c>
      <c r="AF30">
        <v>1.0900000000000001</v>
      </c>
      <c r="AG30" t="s">
        <v>171</v>
      </c>
      <c r="AH30">
        <v>0.22565178539000003</v>
      </c>
      <c r="AI30">
        <v>8.24</v>
      </c>
      <c r="AJ30" t="s">
        <v>171</v>
      </c>
      <c r="AK30">
        <v>1.20216180704</v>
      </c>
      <c r="AL30">
        <v>852</v>
      </c>
      <c r="AM30" t="s">
        <v>483</v>
      </c>
      <c r="AN30">
        <f t="shared" si="2"/>
        <v>22.05734987105496</v>
      </c>
      <c r="AY30">
        <v>8.9089089089089057</v>
      </c>
    </row>
    <row r="31" spans="1:51" x14ac:dyDescent="0.15">
      <c r="A31" t="s">
        <v>179</v>
      </c>
      <c r="B31" t="s">
        <v>178</v>
      </c>
      <c r="C31" t="s">
        <v>178</v>
      </c>
      <c r="D31" t="s">
        <v>348</v>
      </c>
      <c r="E31" t="s">
        <v>399</v>
      </c>
      <c r="F31" t="s">
        <v>399</v>
      </c>
      <c r="G31" t="s">
        <v>176</v>
      </c>
      <c r="H31">
        <v>35</v>
      </c>
      <c r="I31">
        <v>20</v>
      </c>
      <c r="J31">
        <v>5.0999999999999996</v>
      </c>
      <c r="K31" t="s">
        <v>171</v>
      </c>
      <c r="L31">
        <v>0.2</v>
      </c>
      <c r="M31">
        <v>173</v>
      </c>
      <c r="N31" t="s">
        <v>171</v>
      </c>
      <c r="O31">
        <v>16.065056494</v>
      </c>
      <c r="P31">
        <v>108</v>
      </c>
      <c r="Q31" t="s">
        <v>171</v>
      </c>
      <c r="R31">
        <v>9.2146617979999998</v>
      </c>
      <c r="S31">
        <v>0.39</v>
      </c>
      <c r="T31" t="s">
        <v>171</v>
      </c>
      <c r="U31">
        <v>0.16387181570000001</v>
      </c>
      <c r="V31">
        <v>0.37</v>
      </c>
      <c r="W31" t="s">
        <v>171</v>
      </c>
      <c r="X31">
        <v>0.16236627510000001</v>
      </c>
      <c r="Y31">
        <v>0.02</v>
      </c>
      <c r="Z31">
        <v>680</v>
      </c>
      <c r="AA31" t="s">
        <v>171</v>
      </c>
      <c r="AB31">
        <v>37.4</v>
      </c>
      <c r="AC31">
        <v>4.88</v>
      </c>
      <c r="AD31" t="s">
        <v>171</v>
      </c>
      <c r="AE31">
        <v>0.54900311496000009</v>
      </c>
      <c r="AF31">
        <v>1.49</v>
      </c>
      <c r="AG31" t="s">
        <v>171</v>
      </c>
      <c r="AH31">
        <v>0.28172321378999998</v>
      </c>
      <c r="AI31">
        <v>6.37</v>
      </c>
      <c r="AJ31" t="s">
        <v>171</v>
      </c>
      <c r="AK31">
        <v>1.1376549490199999</v>
      </c>
      <c r="AL31">
        <v>674</v>
      </c>
      <c r="AM31" s="140">
        <f>(((AM30-AM32)/(H30-H32))*(H31-H30))+AM30</f>
        <v>1.6911401006824411</v>
      </c>
      <c r="AN31">
        <f t="shared" si="2"/>
        <v>12.514436745050066</v>
      </c>
    </row>
    <row r="32" spans="1:51" x14ac:dyDescent="0.15">
      <c r="A32" t="s">
        <v>181</v>
      </c>
      <c r="B32" t="s">
        <v>178</v>
      </c>
      <c r="C32" t="s">
        <v>178</v>
      </c>
      <c r="D32" t="s">
        <v>348</v>
      </c>
      <c r="E32" t="s">
        <v>399</v>
      </c>
      <c r="F32" t="s">
        <v>399</v>
      </c>
      <c r="G32" t="s">
        <v>21</v>
      </c>
      <c r="H32">
        <v>52.5</v>
      </c>
      <c r="I32">
        <v>15</v>
      </c>
      <c r="J32">
        <v>4.7</v>
      </c>
      <c r="K32" t="s">
        <v>171</v>
      </c>
      <c r="L32">
        <v>0.2</v>
      </c>
      <c r="M32">
        <v>210</v>
      </c>
      <c r="N32" t="s">
        <v>171</v>
      </c>
      <c r="O32">
        <v>19.129544197999998</v>
      </c>
      <c r="P32">
        <v>82</v>
      </c>
      <c r="Q32" t="s">
        <v>171</v>
      </c>
      <c r="R32">
        <v>6.9190710719999995</v>
      </c>
      <c r="S32">
        <v>0.4</v>
      </c>
      <c r="T32" t="s">
        <v>171</v>
      </c>
      <c r="U32">
        <v>0.16462458600000002</v>
      </c>
      <c r="V32">
        <v>0.39</v>
      </c>
      <c r="W32" t="s">
        <v>171</v>
      </c>
      <c r="X32">
        <v>0.16387181570000001</v>
      </c>
      <c r="Y32">
        <v>0.01</v>
      </c>
      <c r="Z32">
        <v>420</v>
      </c>
      <c r="AA32" t="s">
        <v>171</v>
      </c>
      <c r="AB32">
        <v>23.1</v>
      </c>
      <c r="AC32">
        <v>3.92</v>
      </c>
      <c r="AD32" t="s">
        <v>171</v>
      </c>
      <c r="AE32">
        <v>0.47982494664000003</v>
      </c>
      <c r="AF32">
        <v>1.1000000000000001</v>
      </c>
      <c r="AG32" t="s">
        <v>171</v>
      </c>
      <c r="AH32">
        <v>0.22705357110000002</v>
      </c>
      <c r="AI32">
        <v>5.0199999999999996</v>
      </c>
      <c r="AJ32" t="s">
        <v>171</v>
      </c>
      <c r="AK32">
        <v>1.0910858269199999</v>
      </c>
      <c r="AL32">
        <v>415</v>
      </c>
      <c r="AM32" s="139">
        <f>-0.0042*AY32+1.6859</f>
        <v>1.6356597597597597</v>
      </c>
      <c r="AN32">
        <f t="shared" si="2"/>
        <v>9.5686095945945944</v>
      </c>
      <c r="AY32">
        <v>11.961961961961954</v>
      </c>
    </row>
    <row r="33" spans="1:51" x14ac:dyDescent="0.15">
      <c r="A33" t="s">
        <v>187</v>
      </c>
      <c r="B33" t="s">
        <v>182</v>
      </c>
      <c r="C33" t="s">
        <v>81</v>
      </c>
      <c r="D33" t="s">
        <v>346</v>
      </c>
      <c r="E33" t="s">
        <v>31</v>
      </c>
      <c r="F33" t="s">
        <v>31</v>
      </c>
      <c r="G33" t="s">
        <v>177</v>
      </c>
      <c r="H33">
        <v>3.75</v>
      </c>
      <c r="I33">
        <v>7.5</v>
      </c>
      <c r="J33">
        <v>5.0999999999999996</v>
      </c>
      <c r="K33" t="s">
        <v>171</v>
      </c>
      <c r="L33">
        <v>0.2</v>
      </c>
      <c r="M33">
        <v>104</v>
      </c>
      <c r="N33" t="s">
        <v>171</v>
      </c>
      <c r="O33">
        <v>10.350201045999999</v>
      </c>
      <c r="P33">
        <v>183</v>
      </c>
      <c r="Q33" t="s">
        <v>171</v>
      </c>
      <c r="R33">
        <v>15.836558122999998</v>
      </c>
      <c r="S33">
        <v>2.81</v>
      </c>
      <c r="T33" t="s">
        <v>171</v>
      </c>
      <c r="U33">
        <v>0.34604222829999998</v>
      </c>
      <c r="V33">
        <v>2.29</v>
      </c>
      <c r="W33" t="s">
        <v>171</v>
      </c>
      <c r="X33">
        <v>0.30689817269999997</v>
      </c>
      <c r="Y33">
        <v>0.52</v>
      </c>
      <c r="Z33">
        <v>2230</v>
      </c>
      <c r="AA33" t="s">
        <v>171</v>
      </c>
      <c r="AB33">
        <v>122.65</v>
      </c>
      <c r="AC33">
        <v>19.21</v>
      </c>
      <c r="AD33" t="s">
        <v>171</v>
      </c>
      <c r="AE33">
        <v>1.5816313983200003</v>
      </c>
      <c r="AF33">
        <v>1.79</v>
      </c>
      <c r="AG33" t="s">
        <v>171</v>
      </c>
      <c r="AH33">
        <v>0.32377678509000002</v>
      </c>
      <c r="AI33">
        <v>21</v>
      </c>
      <c r="AJ33" t="s">
        <v>171</v>
      </c>
      <c r="AK33">
        <v>1.64232625</v>
      </c>
      <c r="AL33">
        <v>2209</v>
      </c>
      <c r="AM33" s="141">
        <f>AM34-((AM34-AM36)/(H34-H36))*H33</f>
        <v>1.3080828204054367</v>
      </c>
      <c r="AN33">
        <f t="shared" si="2"/>
        <v>22.466322440463372</v>
      </c>
      <c r="AO33">
        <v>9.5</v>
      </c>
      <c r="AP33">
        <v>309.44603172987883</v>
      </c>
      <c r="AQ33">
        <v>32.573266497881981</v>
      </c>
      <c r="AR33">
        <v>127.64648808857503</v>
      </c>
      <c r="AS33">
        <v>13.436472430376318</v>
      </c>
      <c r="AT33">
        <v>30</v>
      </c>
      <c r="AU33">
        <v>101.5243057040424</v>
      </c>
      <c r="AV33">
        <v>3.3841435234680803</v>
      </c>
      <c r="AW33">
        <v>41.878776102917485</v>
      </c>
      <c r="AX33">
        <v>1.3959592034305828</v>
      </c>
    </row>
    <row r="34" spans="1:51" x14ac:dyDescent="0.15">
      <c r="A34" t="s">
        <v>187</v>
      </c>
      <c r="B34" t="s">
        <v>182</v>
      </c>
      <c r="C34" t="s">
        <v>81</v>
      </c>
      <c r="D34" t="s">
        <v>346</v>
      </c>
      <c r="E34" t="s">
        <v>31</v>
      </c>
      <c r="F34" t="s">
        <v>31</v>
      </c>
      <c r="G34" t="s">
        <v>175</v>
      </c>
      <c r="H34">
        <v>16.25</v>
      </c>
      <c r="I34">
        <v>17.5</v>
      </c>
      <c r="J34">
        <v>5</v>
      </c>
      <c r="K34" t="s">
        <v>171</v>
      </c>
      <c r="L34">
        <v>0.2</v>
      </c>
      <c r="M34">
        <v>107</v>
      </c>
      <c r="N34" t="s">
        <v>171</v>
      </c>
      <c r="O34">
        <v>10.598673022</v>
      </c>
      <c r="P34">
        <v>75</v>
      </c>
      <c r="Q34" t="s">
        <v>171</v>
      </c>
      <c r="R34">
        <v>6.3010274150000001</v>
      </c>
      <c r="S34">
        <v>1.61</v>
      </c>
      <c r="T34" t="s">
        <v>171</v>
      </c>
      <c r="U34">
        <v>0.25570979230000002</v>
      </c>
      <c r="V34">
        <v>1.57</v>
      </c>
      <c r="W34" t="s">
        <v>171</v>
      </c>
      <c r="X34">
        <v>0.25269871109999997</v>
      </c>
      <c r="Y34">
        <v>0.04</v>
      </c>
      <c r="Z34">
        <v>2040</v>
      </c>
      <c r="AA34" t="s">
        <v>171</v>
      </c>
      <c r="AB34">
        <v>112.2</v>
      </c>
      <c r="AC34">
        <v>11.4</v>
      </c>
      <c r="AD34" t="s">
        <v>171</v>
      </c>
      <c r="AE34">
        <v>1.0188381747999999</v>
      </c>
      <c r="AF34">
        <v>1.62</v>
      </c>
      <c r="AG34" t="s">
        <v>171</v>
      </c>
      <c r="AH34">
        <v>0.29994642802000004</v>
      </c>
      <c r="AI34">
        <v>13.02</v>
      </c>
      <c r="AJ34" t="s">
        <v>171</v>
      </c>
      <c r="AK34">
        <v>1.36705099492</v>
      </c>
      <c r="AL34">
        <v>2027</v>
      </c>
      <c r="AM34" t="s">
        <v>484</v>
      </c>
      <c r="AN34">
        <f t="shared" si="2"/>
        <v>36.71831474886411</v>
      </c>
      <c r="AY34">
        <v>22.7227227227227</v>
      </c>
    </row>
    <row r="35" spans="1:51" x14ac:dyDescent="0.15">
      <c r="A35" t="s">
        <v>187</v>
      </c>
      <c r="B35" t="s">
        <v>180</v>
      </c>
      <c r="C35" t="s">
        <v>81</v>
      </c>
      <c r="D35" t="s">
        <v>346</v>
      </c>
      <c r="E35" t="s">
        <v>31</v>
      </c>
      <c r="F35" t="s">
        <v>31</v>
      </c>
      <c r="G35" t="s">
        <v>176</v>
      </c>
      <c r="H35">
        <v>35</v>
      </c>
      <c r="I35">
        <v>20</v>
      </c>
      <c r="J35">
        <v>5.2</v>
      </c>
      <c r="K35" t="s">
        <v>171</v>
      </c>
      <c r="L35">
        <v>0.2</v>
      </c>
      <c r="M35">
        <v>48</v>
      </c>
      <c r="N35" t="s">
        <v>171</v>
      </c>
      <c r="O35">
        <v>5.7120574939999997</v>
      </c>
      <c r="P35">
        <v>57</v>
      </c>
      <c r="Q35" t="s">
        <v>171</v>
      </c>
      <c r="R35">
        <v>4.7117722969999996</v>
      </c>
      <c r="S35">
        <v>0.82</v>
      </c>
      <c r="T35" t="s">
        <v>171</v>
      </c>
      <c r="U35">
        <v>0.1962409386</v>
      </c>
      <c r="V35">
        <v>0.81</v>
      </c>
      <c r="W35" t="s">
        <v>171</v>
      </c>
      <c r="X35">
        <v>0.19548816829999999</v>
      </c>
      <c r="Y35">
        <v>0.01</v>
      </c>
      <c r="Z35">
        <v>980</v>
      </c>
      <c r="AA35" t="s">
        <v>171</v>
      </c>
      <c r="AB35">
        <v>53.9</v>
      </c>
      <c r="AC35">
        <v>3.79</v>
      </c>
      <c r="AD35" t="s">
        <v>171</v>
      </c>
      <c r="AE35">
        <v>0.47045706968000001</v>
      </c>
      <c r="AF35">
        <v>1.91</v>
      </c>
      <c r="AG35" t="s">
        <v>171</v>
      </c>
      <c r="AH35">
        <v>0.34059821360999998</v>
      </c>
      <c r="AI35">
        <v>5.7</v>
      </c>
      <c r="AJ35" t="s">
        <v>171</v>
      </c>
      <c r="AK35">
        <v>1.1145428661999999</v>
      </c>
      <c r="AL35">
        <v>974</v>
      </c>
      <c r="AM35" s="140">
        <f>(((AM34-AM36)/(H34-H36))*(H35-H34))+AM34</f>
        <v>1.4781441688803567</v>
      </c>
      <c r="AN35">
        <f t="shared" si="2"/>
        <v>23.945935535861782</v>
      </c>
    </row>
    <row r="36" spans="1:51" x14ac:dyDescent="0.15">
      <c r="A36" t="s">
        <v>187</v>
      </c>
      <c r="B36" t="s">
        <v>182</v>
      </c>
      <c r="C36" t="s">
        <v>81</v>
      </c>
      <c r="D36" t="s">
        <v>346</v>
      </c>
      <c r="E36" t="s">
        <v>31</v>
      </c>
      <c r="F36" t="s">
        <v>31</v>
      </c>
      <c r="G36" t="s">
        <v>21</v>
      </c>
      <c r="H36">
        <v>52.5</v>
      </c>
      <c r="I36">
        <v>15</v>
      </c>
      <c r="J36">
        <v>5</v>
      </c>
      <c r="K36" t="s">
        <v>171</v>
      </c>
      <c r="L36">
        <v>0.2</v>
      </c>
      <c r="M36">
        <v>33</v>
      </c>
      <c r="N36" t="s">
        <v>171</v>
      </c>
      <c r="O36">
        <v>4.4696976139999993</v>
      </c>
      <c r="P36">
        <v>46</v>
      </c>
      <c r="Q36" t="s">
        <v>171</v>
      </c>
      <c r="R36">
        <v>3.7405608359999998</v>
      </c>
      <c r="S36">
        <v>0.54</v>
      </c>
      <c r="T36" t="s">
        <v>171</v>
      </c>
      <c r="U36">
        <v>0.1751633702</v>
      </c>
      <c r="V36">
        <v>0.53</v>
      </c>
      <c r="W36" t="s">
        <v>171</v>
      </c>
      <c r="X36">
        <v>0.17441059990000002</v>
      </c>
      <c r="Y36">
        <v>0.01</v>
      </c>
      <c r="Z36">
        <v>440</v>
      </c>
      <c r="AA36" t="s">
        <v>171</v>
      </c>
      <c r="AB36">
        <v>24.2</v>
      </c>
      <c r="AC36">
        <v>0.43</v>
      </c>
      <c r="AD36" t="s">
        <v>171</v>
      </c>
      <c r="AE36">
        <v>0.22833348056</v>
      </c>
      <c r="AF36">
        <v>1.38</v>
      </c>
      <c r="AG36" t="s">
        <v>171</v>
      </c>
      <c r="AH36">
        <v>0.26630357097999996</v>
      </c>
      <c r="AI36">
        <v>1.81</v>
      </c>
      <c r="AJ36" t="s">
        <v>171</v>
      </c>
      <c r="AK36">
        <v>0.98035480325999991</v>
      </c>
      <c r="AL36">
        <v>438</v>
      </c>
      <c r="AM36" s="139">
        <f>-0.0042*AY36+1.6859</f>
        <v>1.6104141065830722</v>
      </c>
      <c r="AN36">
        <f t="shared" si="2"/>
        <v>12.802792147335424</v>
      </c>
      <c r="AY36">
        <v>17.972831765935201</v>
      </c>
    </row>
    <row r="37" spans="1:51" x14ac:dyDescent="0.15">
      <c r="A37" t="s">
        <v>187</v>
      </c>
      <c r="B37" t="s">
        <v>184</v>
      </c>
      <c r="C37" t="s">
        <v>81</v>
      </c>
      <c r="D37" t="s">
        <v>346</v>
      </c>
      <c r="E37" t="s">
        <v>30</v>
      </c>
      <c r="F37" t="s">
        <v>30</v>
      </c>
      <c r="G37" t="s">
        <v>177</v>
      </c>
      <c r="H37">
        <v>3.75</v>
      </c>
      <c r="I37">
        <v>7.5</v>
      </c>
      <c r="J37">
        <v>5.4</v>
      </c>
      <c r="K37" t="s">
        <v>171</v>
      </c>
      <c r="L37">
        <v>0.2</v>
      </c>
      <c r="M37">
        <v>70</v>
      </c>
      <c r="N37" t="s">
        <v>171</v>
      </c>
      <c r="O37">
        <v>7.5341853179999996</v>
      </c>
      <c r="P37">
        <v>306</v>
      </c>
      <c r="Q37" t="s">
        <v>171</v>
      </c>
      <c r="R37">
        <v>26.696468095999997</v>
      </c>
      <c r="S37">
        <v>6.31</v>
      </c>
      <c r="T37" t="s">
        <v>171</v>
      </c>
      <c r="U37">
        <v>0.60951183329999992</v>
      </c>
      <c r="V37">
        <v>5.65</v>
      </c>
      <c r="W37" t="s">
        <v>171</v>
      </c>
      <c r="X37">
        <v>0.55982899350000004</v>
      </c>
      <c r="Y37">
        <v>0.66</v>
      </c>
      <c r="Z37">
        <v>3930</v>
      </c>
      <c r="AA37" t="s">
        <v>171</v>
      </c>
      <c r="AB37">
        <v>216.15</v>
      </c>
      <c r="AC37">
        <v>34.409999999999997</v>
      </c>
      <c r="AD37" t="s">
        <v>171</v>
      </c>
      <c r="AE37">
        <v>2.67695239672</v>
      </c>
      <c r="AF37">
        <v>2.5499999999999998</v>
      </c>
      <c r="AG37" t="s">
        <v>171</v>
      </c>
      <c r="AH37">
        <v>0.43031249905000002</v>
      </c>
      <c r="AI37">
        <v>36.96</v>
      </c>
      <c r="AJ37" t="s">
        <v>171</v>
      </c>
      <c r="AK37">
        <v>2.1928767601599999</v>
      </c>
      <c r="AL37">
        <v>3803</v>
      </c>
      <c r="AM37" s="141">
        <f>AM38-((AM38-AM40)/(H38-H40))*H37</f>
        <v>0.99117338569879565</v>
      </c>
      <c r="AN37">
        <f t="shared" si="2"/>
        <v>42.000972218986469</v>
      </c>
      <c r="AO37">
        <v>9.5</v>
      </c>
      <c r="AP37">
        <v>189.17998035142728</v>
      </c>
      <c r="AQ37">
        <v>19.913682142255503</v>
      </c>
      <c r="AR37">
        <v>78.03674189496374</v>
      </c>
      <c r="AS37">
        <v>8.214393883680394</v>
      </c>
      <c r="AT37">
        <v>30</v>
      </c>
      <c r="AU37">
        <v>356.44730107417968</v>
      </c>
      <c r="AV37">
        <v>11.881576702472655</v>
      </c>
      <c r="AW37">
        <v>147.03451169309912</v>
      </c>
      <c r="AX37">
        <v>4.9011503897699704</v>
      </c>
      <c r="AY37">
        <v>21.5215215215215</v>
      </c>
    </row>
    <row r="38" spans="1:51" x14ac:dyDescent="0.15">
      <c r="A38" t="s">
        <v>187</v>
      </c>
      <c r="B38" t="s">
        <v>185</v>
      </c>
      <c r="C38" t="s">
        <v>81</v>
      </c>
      <c r="D38" t="s">
        <v>346</v>
      </c>
      <c r="E38" t="s">
        <v>30</v>
      </c>
      <c r="F38" t="s">
        <v>30</v>
      </c>
      <c r="G38" t="s">
        <v>175</v>
      </c>
      <c r="H38">
        <v>16.25</v>
      </c>
      <c r="I38">
        <v>17.5</v>
      </c>
      <c r="J38">
        <v>5.2</v>
      </c>
      <c r="K38" t="s">
        <v>171</v>
      </c>
      <c r="L38">
        <v>0.2</v>
      </c>
      <c r="M38">
        <v>38</v>
      </c>
      <c r="N38" t="s">
        <v>171</v>
      </c>
      <c r="O38">
        <v>4.8838175740000001</v>
      </c>
      <c r="P38">
        <v>112</v>
      </c>
      <c r="Q38" t="s">
        <v>171</v>
      </c>
      <c r="R38">
        <v>9.5678296019999998</v>
      </c>
      <c r="S38">
        <v>4.2</v>
      </c>
      <c r="T38" t="s">
        <v>171</v>
      </c>
      <c r="U38">
        <v>0.45067729999999995</v>
      </c>
      <c r="V38">
        <v>3.9</v>
      </c>
      <c r="W38" t="s">
        <v>171</v>
      </c>
      <c r="X38">
        <v>0.42809419100000001</v>
      </c>
      <c r="Y38">
        <v>0.3</v>
      </c>
      <c r="Z38">
        <v>2360</v>
      </c>
      <c r="AA38" t="s">
        <v>171</v>
      </c>
      <c r="AB38">
        <v>129.80000000000001</v>
      </c>
      <c r="AC38">
        <v>20.92</v>
      </c>
      <c r="AD38" t="s">
        <v>171</v>
      </c>
      <c r="AE38">
        <v>1.7048550106400002</v>
      </c>
      <c r="AF38">
        <v>2.11</v>
      </c>
      <c r="AG38" t="s">
        <v>171</v>
      </c>
      <c r="AH38">
        <v>0.36863392780999998</v>
      </c>
      <c r="AI38">
        <v>23.03</v>
      </c>
      <c r="AJ38" t="s">
        <v>171</v>
      </c>
      <c r="AK38">
        <v>1.7123524113799999</v>
      </c>
      <c r="AL38">
        <v>2337</v>
      </c>
      <c r="AM38" t="s">
        <v>485</v>
      </c>
      <c r="AN38">
        <f>AM38*I38*V38</f>
        <v>71.121646199189712</v>
      </c>
      <c r="AY38">
        <v>24.124124124124101</v>
      </c>
    </row>
    <row r="39" spans="1:51" x14ac:dyDescent="0.15">
      <c r="A39" t="s">
        <v>189</v>
      </c>
      <c r="B39" t="s">
        <v>184</v>
      </c>
      <c r="C39" t="s">
        <v>81</v>
      </c>
      <c r="D39" t="s">
        <v>346</v>
      </c>
      <c r="E39" t="s">
        <v>30</v>
      </c>
      <c r="F39" t="s">
        <v>30</v>
      </c>
      <c r="G39" t="s">
        <v>176</v>
      </c>
      <c r="H39">
        <v>35</v>
      </c>
      <c r="I39">
        <v>20</v>
      </c>
      <c r="J39">
        <v>5.6</v>
      </c>
      <c r="K39" t="s">
        <v>171</v>
      </c>
      <c r="L39">
        <v>0.2</v>
      </c>
      <c r="M39">
        <v>54</v>
      </c>
      <c r="N39" t="s">
        <v>171</v>
      </c>
      <c r="O39">
        <v>6.2090014460000003</v>
      </c>
      <c r="P39">
        <v>56</v>
      </c>
      <c r="Q39" t="s">
        <v>171</v>
      </c>
      <c r="R39">
        <v>4.623480346</v>
      </c>
      <c r="S39">
        <v>1.65</v>
      </c>
      <c r="T39" t="s">
        <v>171</v>
      </c>
      <c r="U39">
        <v>0.2587208735</v>
      </c>
      <c r="V39">
        <v>1.62</v>
      </c>
      <c r="W39" t="s">
        <v>171</v>
      </c>
      <c r="X39">
        <v>0.2564625626</v>
      </c>
      <c r="Y39">
        <v>0.03</v>
      </c>
      <c r="Z39">
        <v>1160</v>
      </c>
      <c r="AA39" t="s">
        <v>171</v>
      </c>
      <c r="AB39">
        <v>63.8</v>
      </c>
      <c r="AC39">
        <v>8.02</v>
      </c>
      <c r="AD39" t="s">
        <v>171</v>
      </c>
      <c r="AE39">
        <v>0.77527337384000006</v>
      </c>
      <c r="AF39">
        <v>1.94</v>
      </c>
      <c r="AG39" t="s">
        <v>171</v>
      </c>
      <c r="AH39">
        <v>0.34480357074000001</v>
      </c>
      <c r="AI39">
        <v>9.9600000000000009</v>
      </c>
      <c r="AJ39" t="s">
        <v>171</v>
      </c>
      <c r="AK39">
        <v>1.26149431816</v>
      </c>
      <c r="AL39">
        <v>1150</v>
      </c>
      <c r="AM39" s="140">
        <f>(((AM38-AM40)/(H38-H40))*(H39-H38))+AM38</f>
        <v>1.2965854846216014</v>
      </c>
      <c r="AN39">
        <f>AM39*I39*V39</f>
        <v>42.009369701739892</v>
      </c>
    </row>
    <row r="40" spans="1:51" x14ac:dyDescent="0.15">
      <c r="A40" t="s">
        <v>187</v>
      </c>
      <c r="B40" t="s">
        <v>184</v>
      </c>
      <c r="C40" t="s">
        <v>81</v>
      </c>
      <c r="D40" t="s">
        <v>346</v>
      </c>
      <c r="E40" t="s">
        <v>30</v>
      </c>
      <c r="F40" t="s">
        <v>30</v>
      </c>
      <c r="G40" t="s">
        <v>21</v>
      </c>
      <c r="H40">
        <v>52.5</v>
      </c>
      <c r="I40">
        <v>15</v>
      </c>
      <c r="J40">
        <v>7.2</v>
      </c>
      <c r="K40" t="s">
        <v>171</v>
      </c>
      <c r="L40">
        <v>0.2</v>
      </c>
      <c r="M40">
        <v>154</v>
      </c>
      <c r="N40" t="s">
        <v>171</v>
      </c>
      <c r="O40">
        <v>14.491400645999999</v>
      </c>
      <c r="P40">
        <v>70</v>
      </c>
      <c r="Q40" t="s">
        <v>171</v>
      </c>
      <c r="R40">
        <v>5.8595676599999997</v>
      </c>
      <c r="S40">
        <v>0.67</v>
      </c>
      <c r="T40" t="s">
        <v>171</v>
      </c>
      <c r="U40">
        <v>0.1849493841</v>
      </c>
      <c r="V40">
        <v>0.55000000000000004</v>
      </c>
      <c r="W40" t="s">
        <v>171</v>
      </c>
      <c r="X40">
        <v>0.17591614050000001</v>
      </c>
      <c r="Y40">
        <v>0.12</v>
      </c>
      <c r="Z40">
        <v>580</v>
      </c>
      <c r="AA40" t="s">
        <v>171</v>
      </c>
      <c r="AB40">
        <v>31.9</v>
      </c>
      <c r="AC40">
        <v>0.64</v>
      </c>
      <c r="AD40" t="s">
        <v>171</v>
      </c>
      <c r="AE40">
        <v>0.24346620487999998</v>
      </c>
      <c r="AF40">
        <v>1.62</v>
      </c>
      <c r="AG40" t="s">
        <v>171</v>
      </c>
      <c r="AH40">
        <v>0.29994642802000004</v>
      </c>
      <c r="AI40">
        <v>2.2599999999999998</v>
      </c>
      <c r="AJ40" t="s">
        <v>171</v>
      </c>
      <c r="AK40">
        <v>0.9958778439599999</v>
      </c>
      <c r="AL40">
        <v>578</v>
      </c>
      <c r="AM40" s="139">
        <f>-0.0042*AY40+1.6859</f>
        <v>1.5341282282282283</v>
      </c>
      <c r="AN40">
        <f>AM40*I40*V40</f>
        <v>12.656557882882884</v>
      </c>
      <c r="AY40">
        <v>36.136136136136102</v>
      </c>
    </row>
    <row r="41" spans="1:51" x14ac:dyDescent="0.15">
      <c r="A41" t="s">
        <v>189</v>
      </c>
      <c r="B41" t="s">
        <v>98</v>
      </c>
      <c r="C41" t="s">
        <v>98</v>
      </c>
      <c r="D41" t="s">
        <v>350</v>
      </c>
      <c r="E41" t="s">
        <v>379</v>
      </c>
      <c r="G41" t="s">
        <v>177</v>
      </c>
      <c r="H41">
        <v>3.75</v>
      </c>
      <c r="I41">
        <v>7.5</v>
      </c>
      <c r="J41">
        <v>5.2</v>
      </c>
      <c r="K41" t="s">
        <v>171</v>
      </c>
      <c r="L41">
        <v>0.2</v>
      </c>
      <c r="M41">
        <v>105</v>
      </c>
      <c r="N41" t="s">
        <v>171</v>
      </c>
      <c r="O41">
        <v>10.433025038</v>
      </c>
      <c r="P41">
        <v>224</v>
      </c>
      <c r="Q41" t="s">
        <v>171</v>
      </c>
      <c r="R41">
        <v>19.456528113999997</v>
      </c>
      <c r="S41">
        <v>4.83</v>
      </c>
      <c r="T41" t="s">
        <v>171</v>
      </c>
      <c r="U41">
        <v>0.49810182889999999</v>
      </c>
      <c r="V41">
        <v>4.82</v>
      </c>
      <c r="W41" t="s">
        <v>171</v>
      </c>
      <c r="X41">
        <v>0.4973490586</v>
      </c>
      <c r="Y41">
        <v>0.01</v>
      </c>
      <c r="Z41">
        <v>2650</v>
      </c>
      <c r="AA41" t="s">
        <v>171</v>
      </c>
      <c r="AB41">
        <v>145.75</v>
      </c>
      <c r="AC41">
        <v>25.5</v>
      </c>
      <c r="AD41" t="s">
        <v>171</v>
      </c>
      <c r="AE41">
        <v>2.0348925220000003</v>
      </c>
      <c r="AF41">
        <v>2.15</v>
      </c>
      <c r="AG41" t="s">
        <v>171</v>
      </c>
      <c r="AH41">
        <v>0.37424107065000001</v>
      </c>
      <c r="AI41">
        <v>27.65</v>
      </c>
      <c r="AJ41" t="s">
        <v>171</v>
      </c>
      <c r="AK41">
        <v>1.8717222958999997</v>
      </c>
      <c r="AL41">
        <v>2622</v>
      </c>
    </row>
    <row r="42" spans="1:51" x14ac:dyDescent="0.15">
      <c r="A42" t="s">
        <v>187</v>
      </c>
      <c r="B42" t="s">
        <v>98</v>
      </c>
      <c r="C42" t="s">
        <v>98</v>
      </c>
      <c r="D42" t="s">
        <v>350</v>
      </c>
      <c r="E42" t="s">
        <v>379</v>
      </c>
      <c r="G42" t="s">
        <v>175</v>
      </c>
      <c r="H42">
        <v>16.25</v>
      </c>
      <c r="I42">
        <v>17.5</v>
      </c>
      <c r="J42">
        <v>6</v>
      </c>
      <c r="K42" t="s">
        <v>171</v>
      </c>
      <c r="L42">
        <v>0.2</v>
      </c>
      <c r="M42">
        <v>58</v>
      </c>
      <c r="N42" t="s">
        <v>171</v>
      </c>
      <c r="O42">
        <v>6.5402974140000003</v>
      </c>
      <c r="P42">
        <v>96</v>
      </c>
      <c r="Q42" t="s">
        <v>171</v>
      </c>
      <c r="R42">
        <v>8.1551583860000001</v>
      </c>
      <c r="S42">
        <v>3.9</v>
      </c>
      <c r="T42" t="s">
        <v>171</v>
      </c>
      <c r="U42">
        <v>0.42809419100000001</v>
      </c>
      <c r="V42">
        <v>3.76</v>
      </c>
      <c r="W42" t="s">
        <v>171</v>
      </c>
      <c r="X42">
        <v>0.41755540679999992</v>
      </c>
      <c r="Y42">
        <v>0.14000000000000001</v>
      </c>
      <c r="Z42">
        <v>2020</v>
      </c>
      <c r="AA42" t="s">
        <v>171</v>
      </c>
      <c r="AB42">
        <v>111.1</v>
      </c>
      <c r="AC42">
        <v>18.579999999999998</v>
      </c>
      <c r="AD42" t="s">
        <v>171</v>
      </c>
      <c r="AE42">
        <v>1.5362332253600002</v>
      </c>
      <c r="AF42">
        <v>2.14</v>
      </c>
      <c r="AG42" t="s">
        <v>171</v>
      </c>
      <c r="AH42">
        <v>0.37283928494000002</v>
      </c>
      <c r="AI42">
        <v>20.72</v>
      </c>
      <c r="AJ42" t="s">
        <v>171</v>
      </c>
      <c r="AK42">
        <v>1.6326674691199998</v>
      </c>
      <c r="AL42">
        <v>1999</v>
      </c>
      <c r="AM42" t="s">
        <v>486</v>
      </c>
      <c r="AN42">
        <f>AM42*I42*V42</f>
        <v>79.120964755004564</v>
      </c>
    </row>
    <row r="43" spans="1:51" x14ac:dyDescent="0.15">
      <c r="A43" t="s">
        <v>187</v>
      </c>
      <c r="B43" t="s">
        <v>98</v>
      </c>
      <c r="C43" t="s">
        <v>98</v>
      </c>
      <c r="D43" t="s">
        <v>350</v>
      </c>
      <c r="E43" t="s">
        <v>379</v>
      </c>
      <c r="G43" t="s">
        <v>176</v>
      </c>
      <c r="H43">
        <v>35</v>
      </c>
      <c r="I43">
        <v>20</v>
      </c>
      <c r="J43">
        <v>7.1</v>
      </c>
      <c r="K43" t="s">
        <v>171</v>
      </c>
      <c r="L43">
        <v>0.2</v>
      </c>
      <c r="M43">
        <v>88</v>
      </c>
      <c r="N43" t="s">
        <v>171</v>
      </c>
      <c r="O43">
        <v>9.0250171740000003</v>
      </c>
      <c r="P43">
        <v>76</v>
      </c>
      <c r="Q43" t="s">
        <v>171</v>
      </c>
      <c r="R43">
        <v>6.3893193659999996</v>
      </c>
      <c r="S43">
        <v>1.59</v>
      </c>
      <c r="T43" t="s">
        <v>171</v>
      </c>
      <c r="U43">
        <v>0.25420425169999999</v>
      </c>
      <c r="V43">
        <v>1.45</v>
      </c>
      <c r="W43" t="s">
        <v>171</v>
      </c>
      <c r="X43">
        <v>0.24366546750000001</v>
      </c>
      <c r="Y43">
        <v>0.14000000000000001</v>
      </c>
      <c r="Z43">
        <v>1020</v>
      </c>
      <c r="AA43" t="s">
        <v>171</v>
      </c>
      <c r="AB43">
        <v>56.1</v>
      </c>
      <c r="AC43">
        <v>7.23</v>
      </c>
      <c r="AD43" t="s">
        <v>171</v>
      </c>
      <c r="AE43">
        <v>0.71834550616000004</v>
      </c>
      <c r="AF43">
        <v>1.93</v>
      </c>
      <c r="AG43" t="s">
        <v>171</v>
      </c>
      <c r="AH43">
        <v>0.34340178503000002</v>
      </c>
      <c r="AI43">
        <v>9.16</v>
      </c>
      <c r="AJ43" t="s">
        <v>171</v>
      </c>
      <c r="AK43">
        <v>1.2338978013599999</v>
      </c>
      <c r="AL43">
        <v>1011</v>
      </c>
    </row>
    <row r="44" spans="1:51" x14ac:dyDescent="0.15">
      <c r="A44" t="s">
        <v>187</v>
      </c>
      <c r="B44" t="s">
        <v>98</v>
      </c>
      <c r="C44" t="s">
        <v>98</v>
      </c>
      <c r="D44" t="s">
        <v>350</v>
      </c>
      <c r="E44" t="s">
        <v>379</v>
      </c>
      <c r="G44" t="s">
        <v>21</v>
      </c>
      <c r="H44">
        <v>52.5</v>
      </c>
      <c r="I44">
        <v>15</v>
      </c>
      <c r="J44">
        <v>7.4</v>
      </c>
      <c r="K44" t="s">
        <v>171</v>
      </c>
      <c r="L44">
        <v>0.2</v>
      </c>
      <c r="M44">
        <v>88</v>
      </c>
      <c r="N44" t="s">
        <v>171</v>
      </c>
      <c r="O44">
        <v>9.0250171740000003</v>
      </c>
      <c r="P44">
        <v>82</v>
      </c>
      <c r="Q44" t="s">
        <v>171</v>
      </c>
      <c r="R44">
        <v>6.9190710719999995</v>
      </c>
      <c r="S44">
        <v>1.4</v>
      </c>
      <c r="T44" t="s">
        <v>171</v>
      </c>
      <c r="U44">
        <v>0.23990161599999998</v>
      </c>
      <c r="V44">
        <v>1.21</v>
      </c>
      <c r="W44" t="s">
        <v>171</v>
      </c>
      <c r="X44">
        <v>0.22559898029999997</v>
      </c>
      <c r="Y44">
        <v>0.19</v>
      </c>
      <c r="Z44">
        <v>900</v>
      </c>
      <c r="AA44" t="s">
        <v>171</v>
      </c>
      <c r="AB44">
        <v>49.5</v>
      </c>
      <c r="AC44">
        <v>5.2</v>
      </c>
      <c r="AD44" t="s">
        <v>171</v>
      </c>
      <c r="AE44">
        <v>0.57206250440000006</v>
      </c>
      <c r="AF44">
        <v>2.37</v>
      </c>
      <c r="AG44" t="s">
        <v>171</v>
      </c>
      <c r="AH44">
        <v>0.40508035627000005</v>
      </c>
      <c r="AI44">
        <v>7.57</v>
      </c>
      <c r="AJ44" t="s">
        <v>171</v>
      </c>
      <c r="AK44">
        <v>1.17904972422</v>
      </c>
      <c r="AL44">
        <v>892</v>
      </c>
    </row>
    <row r="45" spans="1:51" x14ac:dyDescent="0.15">
      <c r="A45" t="s">
        <v>187</v>
      </c>
      <c r="B45" t="s">
        <v>178</v>
      </c>
      <c r="C45" t="s">
        <v>178</v>
      </c>
      <c r="D45" t="s">
        <v>348</v>
      </c>
      <c r="E45" t="s">
        <v>73</v>
      </c>
      <c r="F45" t="s">
        <v>73</v>
      </c>
      <c r="G45" t="s">
        <v>177</v>
      </c>
      <c r="H45">
        <v>3.75</v>
      </c>
      <c r="I45">
        <v>7.5</v>
      </c>
      <c r="J45">
        <v>6.1</v>
      </c>
      <c r="K45" t="s">
        <v>171</v>
      </c>
      <c r="L45">
        <v>0.2</v>
      </c>
      <c r="M45">
        <v>190</v>
      </c>
      <c r="N45" t="s">
        <v>171</v>
      </c>
      <c r="O45">
        <v>17.473064357999998</v>
      </c>
      <c r="P45">
        <v>223</v>
      </c>
      <c r="Q45" t="s">
        <v>171</v>
      </c>
      <c r="R45">
        <v>19.368236162999995</v>
      </c>
      <c r="S45">
        <v>2.99</v>
      </c>
      <c r="T45" t="s">
        <v>171</v>
      </c>
      <c r="U45">
        <v>0.3595920937</v>
      </c>
      <c r="V45">
        <v>2.77</v>
      </c>
      <c r="W45" t="s">
        <v>171</v>
      </c>
      <c r="X45">
        <v>0.34303114709999999</v>
      </c>
      <c r="Y45">
        <v>0.22</v>
      </c>
      <c r="Z45">
        <v>2230</v>
      </c>
      <c r="AA45" t="s">
        <v>171</v>
      </c>
      <c r="AB45">
        <v>122.65</v>
      </c>
      <c r="AC45">
        <v>21.43</v>
      </c>
      <c r="AD45" t="s">
        <v>171</v>
      </c>
      <c r="AE45">
        <v>1.7416059125600003</v>
      </c>
      <c r="AF45">
        <v>1.77</v>
      </c>
      <c r="AG45" t="s">
        <v>171</v>
      </c>
      <c r="AH45">
        <v>0.32097321366999998</v>
      </c>
      <c r="AI45">
        <v>23.2</v>
      </c>
      <c r="AJ45" t="s">
        <v>171</v>
      </c>
      <c r="AK45">
        <v>1.7182166712</v>
      </c>
      <c r="AL45">
        <v>2207</v>
      </c>
      <c r="AM45" s="141">
        <f>AM46-((AM46-AM48)/(H46-H48))*H45</f>
        <v>1.4771140867821828</v>
      </c>
      <c r="AN45">
        <f>AM45*I45*V45</f>
        <v>30.687045152899849</v>
      </c>
    </row>
    <row r="46" spans="1:51" x14ac:dyDescent="0.15">
      <c r="A46" t="s">
        <v>187</v>
      </c>
      <c r="B46" t="s">
        <v>178</v>
      </c>
      <c r="C46" t="s">
        <v>178</v>
      </c>
      <c r="D46" t="s">
        <v>348</v>
      </c>
      <c r="E46" t="s">
        <v>73</v>
      </c>
      <c r="F46" t="s">
        <v>73</v>
      </c>
      <c r="G46" t="s">
        <v>175</v>
      </c>
      <c r="H46">
        <v>16.25</v>
      </c>
      <c r="I46">
        <v>17.5</v>
      </c>
      <c r="J46">
        <v>6.1</v>
      </c>
      <c r="K46" t="s">
        <v>171</v>
      </c>
      <c r="L46">
        <v>0.2</v>
      </c>
      <c r="M46">
        <v>130</v>
      </c>
      <c r="N46" t="s">
        <v>171</v>
      </c>
      <c r="O46">
        <v>12.503624838</v>
      </c>
      <c r="P46">
        <v>75</v>
      </c>
      <c r="Q46" t="s">
        <v>171</v>
      </c>
      <c r="R46">
        <v>6.3010274150000001</v>
      </c>
      <c r="S46">
        <v>2.15</v>
      </c>
      <c r="T46" t="s">
        <v>171</v>
      </c>
      <c r="U46">
        <v>0.29635938849999999</v>
      </c>
      <c r="V46">
        <v>2.11</v>
      </c>
      <c r="W46" t="s">
        <v>171</v>
      </c>
      <c r="X46">
        <v>0.29334830729999994</v>
      </c>
      <c r="Y46">
        <v>0.04</v>
      </c>
      <c r="Z46">
        <v>1740</v>
      </c>
      <c r="AA46" t="s">
        <v>171</v>
      </c>
      <c r="AB46">
        <v>95.7</v>
      </c>
      <c r="AC46">
        <v>11</v>
      </c>
      <c r="AD46" t="s">
        <v>171</v>
      </c>
      <c r="AE46">
        <v>0.99001393800000004</v>
      </c>
      <c r="AF46">
        <v>1.46</v>
      </c>
      <c r="AG46" t="s">
        <v>171</v>
      </c>
      <c r="AH46">
        <v>0.27751785666000001</v>
      </c>
      <c r="AI46">
        <v>12.46</v>
      </c>
      <c r="AJ46" t="s">
        <v>171</v>
      </c>
      <c r="AK46">
        <v>1.3477334331599999</v>
      </c>
      <c r="AL46">
        <v>1728</v>
      </c>
      <c r="AM46" t="s">
        <v>487</v>
      </c>
      <c r="AN46">
        <f t="shared" ref="AN46:AN56" si="3">AM46*I46*V46</f>
        <v>55.099282758197333</v>
      </c>
    </row>
    <row r="47" spans="1:51" x14ac:dyDescent="0.15">
      <c r="A47" t="s">
        <v>187</v>
      </c>
      <c r="B47" t="s">
        <v>178</v>
      </c>
      <c r="C47" t="s">
        <v>178</v>
      </c>
      <c r="D47" t="s">
        <v>348</v>
      </c>
      <c r="E47" t="s">
        <v>73</v>
      </c>
      <c r="F47" t="s">
        <v>73</v>
      </c>
      <c r="G47" t="s">
        <v>176</v>
      </c>
      <c r="H47">
        <v>35</v>
      </c>
      <c r="I47">
        <v>20</v>
      </c>
      <c r="J47">
        <v>5.7</v>
      </c>
      <c r="K47" t="s">
        <v>171</v>
      </c>
      <c r="L47">
        <v>0.2</v>
      </c>
      <c r="M47">
        <v>108</v>
      </c>
      <c r="N47" t="s">
        <v>171</v>
      </c>
      <c r="O47">
        <v>10.681497014000001</v>
      </c>
      <c r="P47">
        <v>53</v>
      </c>
      <c r="Q47" t="s">
        <v>171</v>
      </c>
      <c r="R47">
        <v>4.3586044929999996</v>
      </c>
      <c r="S47">
        <v>2.4300000000000002</v>
      </c>
      <c r="T47" t="s">
        <v>171</v>
      </c>
      <c r="U47">
        <v>0.31743695690000001</v>
      </c>
      <c r="V47">
        <v>2.2799999999999998</v>
      </c>
      <c r="W47" t="s">
        <v>171</v>
      </c>
      <c r="X47">
        <v>0.30614540239999999</v>
      </c>
      <c r="Y47">
        <v>0.15</v>
      </c>
      <c r="Z47">
        <v>1630</v>
      </c>
      <c r="AA47" t="s">
        <v>171</v>
      </c>
      <c r="AB47">
        <v>89.65</v>
      </c>
      <c r="AC47">
        <v>10.82</v>
      </c>
      <c r="AD47" t="s">
        <v>171</v>
      </c>
      <c r="AE47">
        <v>0.97704303144000004</v>
      </c>
      <c r="AF47">
        <v>2.29</v>
      </c>
      <c r="AG47" t="s">
        <v>171</v>
      </c>
      <c r="AH47">
        <v>0.39386607059000001</v>
      </c>
      <c r="AI47">
        <v>13.11</v>
      </c>
      <c r="AJ47" t="s">
        <v>171</v>
      </c>
      <c r="AK47">
        <v>1.3701556030599999</v>
      </c>
      <c r="AL47">
        <v>1617</v>
      </c>
      <c r="AM47" s="140">
        <f>(((AM46-AM48)/(H46-H48))*(H47-H46))+AM46</f>
        <v>1.5675967035077456</v>
      </c>
      <c r="AN47">
        <f t="shared" si="3"/>
        <v>71.482409679953193</v>
      </c>
    </row>
    <row r="48" spans="1:51" x14ac:dyDescent="0.15">
      <c r="A48" t="s">
        <v>187</v>
      </c>
      <c r="B48" t="s">
        <v>178</v>
      </c>
      <c r="C48" t="s">
        <v>178</v>
      </c>
      <c r="D48" t="s">
        <v>348</v>
      </c>
      <c r="E48" t="s">
        <v>73</v>
      </c>
      <c r="F48" t="s">
        <v>73</v>
      </c>
      <c r="G48" t="s">
        <v>21</v>
      </c>
      <c r="H48">
        <v>52.5</v>
      </c>
      <c r="I48">
        <v>15</v>
      </c>
      <c r="J48">
        <v>4.9000000000000004</v>
      </c>
      <c r="K48" t="s">
        <v>171</v>
      </c>
      <c r="L48">
        <v>0.2</v>
      </c>
      <c r="M48">
        <v>44</v>
      </c>
      <c r="N48" t="s">
        <v>171</v>
      </c>
      <c r="O48">
        <v>5.3807615260000006</v>
      </c>
      <c r="P48">
        <v>43</v>
      </c>
      <c r="Q48" t="s">
        <v>171</v>
      </c>
      <c r="R48">
        <v>3.4756849829999994</v>
      </c>
      <c r="S48">
        <v>1.22</v>
      </c>
      <c r="T48" t="s">
        <v>171</v>
      </c>
      <c r="U48">
        <v>0.22635175060000001</v>
      </c>
      <c r="V48">
        <v>1.17</v>
      </c>
      <c r="W48" t="s">
        <v>171</v>
      </c>
      <c r="X48">
        <v>0.22258789909999999</v>
      </c>
      <c r="Y48">
        <v>0.05</v>
      </c>
      <c r="Z48">
        <v>1030</v>
      </c>
      <c r="AA48" t="s">
        <v>171</v>
      </c>
      <c r="AB48">
        <v>56.65</v>
      </c>
      <c r="AC48">
        <v>2.02</v>
      </c>
      <c r="AD48" t="s">
        <v>171</v>
      </c>
      <c r="AE48">
        <v>0.34290982184000002</v>
      </c>
      <c r="AF48">
        <v>2.69</v>
      </c>
      <c r="AG48" t="s">
        <v>171</v>
      </c>
      <c r="AH48">
        <v>0.44993749899000002</v>
      </c>
      <c r="AI48">
        <v>4.71</v>
      </c>
      <c r="AJ48" t="s">
        <v>171</v>
      </c>
      <c r="AK48">
        <v>1.08039217666</v>
      </c>
      <c r="AL48">
        <v>1025</v>
      </c>
      <c r="AM48" s="139">
        <f>-0.0042*AY48+1.6859</f>
        <v>1.6379720720720721</v>
      </c>
      <c r="AN48">
        <f t="shared" si="3"/>
        <v>28.746409864864866</v>
      </c>
      <c r="AY48">
        <v>11.4114114114114</v>
      </c>
    </row>
    <row r="49" spans="1:51" x14ac:dyDescent="0.15">
      <c r="A49" t="s">
        <v>189</v>
      </c>
      <c r="B49" t="s">
        <v>190</v>
      </c>
      <c r="C49" t="s">
        <v>409</v>
      </c>
      <c r="D49" t="s">
        <v>346</v>
      </c>
      <c r="E49" t="s">
        <v>32</v>
      </c>
      <c r="F49" t="s">
        <v>32</v>
      </c>
      <c r="G49" t="s">
        <v>177</v>
      </c>
      <c r="H49">
        <v>3.75</v>
      </c>
      <c r="I49">
        <v>7.5</v>
      </c>
      <c r="J49">
        <v>4.9000000000000004</v>
      </c>
      <c r="K49" t="s">
        <v>171</v>
      </c>
      <c r="L49">
        <v>0.2</v>
      </c>
      <c r="M49">
        <v>111</v>
      </c>
      <c r="N49" t="s">
        <v>171</v>
      </c>
      <c r="O49">
        <v>10.929968989999999</v>
      </c>
      <c r="P49">
        <v>154</v>
      </c>
      <c r="Q49" t="s">
        <v>171</v>
      </c>
      <c r="R49">
        <v>13.276091544</v>
      </c>
      <c r="S49">
        <v>1.82</v>
      </c>
      <c r="T49" t="s">
        <v>171</v>
      </c>
      <c r="U49">
        <v>0.27151796859999999</v>
      </c>
      <c r="V49">
        <v>1.74</v>
      </c>
      <c r="W49" t="s">
        <v>171</v>
      </c>
      <c r="X49">
        <v>0.26549580620000002</v>
      </c>
      <c r="Y49">
        <v>0.08</v>
      </c>
      <c r="Z49">
        <v>1760</v>
      </c>
      <c r="AA49" t="s">
        <v>171</v>
      </c>
      <c r="AB49">
        <v>96.8</v>
      </c>
      <c r="AC49">
        <v>10.43</v>
      </c>
      <c r="AD49" t="s">
        <v>171</v>
      </c>
      <c r="AE49">
        <v>0.94893940056000003</v>
      </c>
      <c r="AF49">
        <v>5.13</v>
      </c>
      <c r="AG49" t="s">
        <v>171</v>
      </c>
      <c r="AH49">
        <v>0.79197321223000006</v>
      </c>
      <c r="AI49">
        <v>15.56</v>
      </c>
      <c r="AJ49" t="s">
        <v>171</v>
      </c>
      <c r="AK49">
        <v>1.4546699357599999</v>
      </c>
      <c r="AL49">
        <v>1744</v>
      </c>
      <c r="AM49" s="141">
        <f>AM50-((AM50-AM52)/(H50-H52))*H49</f>
        <v>1.3396803978793672</v>
      </c>
      <c r="AN49">
        <f t="shared" si="3"/>
        <v>17.482829192325742</v>
      </c>
      <c r="AO49">
        <v>9.5</v>
      </c>
      <c r="AP49">
        <v>134.31230234114039</v>
      </c>
      <c r="AQ49">
        <v>14.138137088541095</v>
      </c>
      <c r="AR49">
        <v>55.403824715720411</v>
      </c>
      <c r="AS49">
        <v>5.831981549023201</v>
      </c>
      <c r="AT49">
        <v>15</v>
      </c>
      <c r="AU49">
        <v>187.38419909374619</v>
      </c>
      <c r="AV49">
        <v>12.49227993958308</v>
      </c>
      <c r="AW49">
        <v>77.295982126170301</v>
      </c>
      <c r="AX49">
        <v>5.1530654750780203</v>
      </c>
      <c r="AY49">
        <v>15.115115115115101</v>
      </c>
    </row>
    <row r="50" spans="1:51" x14ac:dyDescent="0.15">
      <c r="A50" t="s">
        <v>189</v>
      </c>
      <c r="B50" t="s">
        <v>190</v>
      </c>
      <c r="C50" t="s">
        <v>409</v>
      </c>
      <c r="D50" t="s">
        <v>346</v>
      </c>
      <c r="E50" t="s">
        <v>32</v>
      </c>
      <c r="F50" t="s">
        <v>32</v>
      </c>
      <c r="G50" t="s">
        <v>175</v>
      </c>
      <c r="H50">
        <v>16.25</v>
      </c>
      <c r="I50">
        <v>17.5</v>
      </c>
      <c r="J50">
        <v>4.7</v>
      </c>
      <c r="K50" t="s">
        <v>171</v>
      </c>
      <c r="L50">
        <v>0.2</v>
      </c>
      <c r="M50">
        <v>109</v>
      </c>
      <c r="N50" t="s">
        <v>171</v>
      </c>
      <c r="O50">
        <v>10.764321005999999</v>
      </c>
      <c r="P50">
        <v>102</v>
      </c>
      <c r="Q50" t="s">
        <v>171</v>
      </c>
      <c r="R50">
        <v>8.6849100919999991</v>
      </c>
      <c r="S50">
        <v>1.27</v>
      </c>
      <c r="T50" t="s">
        <v>171</v>
      </c>
      <c r="U50">
        <v>0.23011560209999998</v>
      </c>
      <c r="V50">
        <v>1.22</v>
      </c>
      <c r="W50" t="s">
        <v>171</v>
      </c>
      <c r="X50">
        <v>0.22635175060000001</v>
      </c>
      <c r="Y50">
        <v>0.05</v>
      </c>
      <c r="Z50">
        <v>1310</v>
      </c>
      <c r="AA50" t="s">
        <v>171</v>
      </c>
      <c r="AB50">
        <v>72.05</v>
      </c>
      <c r="AC50">
        <v>5.0599999999999996</v>
      </c>
      <c r="AD50" t="s">
        <v>171</v>
      </c>
      <c r="AE50">
        <v>0.56197402151999998</v>
      </c>
      <c r="AF50">
        <v>1.72</v>
      </c>
      <c r="AG50" t="s">
        <v>171</v>
      </c>
      <c r="AH50">
        <v>0.31396428512000002</v>
      </c>
      <c r="AI50">
        <v>6.78</v>
      </c>
      <c r="AJ50" t="s">
        <v>171</v>
      </c>
      <c r="AK50">
        <v>1.1517981638799999</v>
      </c>
      <c r="AL50">
        <v>1303</v>
      </c>
      <c r="AM50" t="s">
        <v>488</v>
      </c>
      <c r="AN50">
        <f t="shared" si="3"/>
        <v>29.168090507184157</v>
      </c>
      <c r="AY50">
        <v>16.2162162162162</v>
      </c>
    </row>
    <row r="51" spans="1:51" x14ac:dyDescent="0.15">
      <c r="A51" t="s">
        <v>189</v>
      </c>
      <c r="B51" t="s">
        <v>191</v>
      </c>
      <c r="C51" t="s">
        <v>409</v>
      </c>
      <c r="D51" t="s">
        <v>346</v>
      </c>
      <c r="E51" t="s">
        <v>32</v>
      </c>
      <c r="F51" t="s">
        <v>32</v>
      </c>
      <c r="G51" t="s">
        <v>176</v>
      </c>
      <c r="H51">
        <v>35</v>
      </c>
      <c r="I51">
        <v>20</v>
      </c>
      <c r="J51">
        <v>4.7</v>
      </c>
      <c r="K51" t="s">
        <v>171</v>
      </c>
      <c r="L51">
        <v>0.2</v>
      </c>
      <c r="M51">
        <v>63</v>
      </c>
      <c r="N51" t="s">
        <v>171</v>
      </c>
      <c r="O51">
        <v>6.9544173740000002</v>
      </c>
      <c r="P51">
        <v>76</v>
      </c>
      <c r="Q51" t="s">
        <v>171</v>
      </c>
      <c r="R51">
        <v>6.3893193659999996</v>
      </c>
      <c r="S51">
        <v>1.04</v>
      </c>
      <c r="T51" t="s">
        <v>171</v>
      </c>
      <c r="U51">
        <v>0.21280188519999998</v>
      </c>
      <c r="V51">
        <v>1.04</v>
      </c>
      <c r="W51" t="s">
        <v>171</v>
      </c>
      <c r="X51">
        <v>0.21280188519999998</v>
      </c>
      <c r="Y51">
        <v>0</v>
      </c>
      <c r="Z51">
        <v>1240</v>
      </c>
      <c r="AA51" t="s">
        <v>171</v>
      </c>
      <c r="AB51">
        <v>68.2</v>
      </c>
      <c r="AC51">
        <v>2.93</v>
      </c>
      <c r="AD51" t="s">
        <v>171</v>
      </c>
      <c r="AE51">
        <v>0.40848496056000005</v>
      </c>
      <c r="AF51">
        <v>2.06</v>
      </c>
      <c r="AG51" t="s">
        <v>171</v>
      </c>
      <c r="AH51">
        <v>0.36162499926000002</v>
      </c>
      <c r="AI51">
        <v>4.99</v>
      </c>
      <c r="AJ51" t="s">
        <v>171</v>
      </c>
      <c r="AK51">
        <v>1.0900509575399999</v>
      </c>
      <c r="AL51">
        <v>1235</v>
      </c>
      <c r="AM51" s="140">
        <f>(((AM50-AM52)/(H50-H52))*(H51-H50))+AM50</f>
        <v>1.4987194646127637</v>
      </c>
      <c r="AN51">
        <f t="shared" si="3"/>
        <v>31.173364863945487</v>
      </c>
    </row>
    <row r="52" spans="1:51" x14ac:dyDescent="0.15">
      <c r="A52" t="s">
        <v>189</v>
      </c>
      <c r="B52" t="s">
        <v>191</v>
      </c>
      <c r="C52" t="s">
        <v>409</v>
      </c>
      <c r="D52" t="s">
        <v>346</v>
      </c>
      <c r="E52" t="s">
        <v>32</v>
      </c>
      <c r="F52" t="s">
        <v>32</v>
      </c>
      <c r="G52" t="s">
        <v>21</v>
      </c>
      <c r="H52">
        <v>52.5</v>
      </c>
      <c r="I52">
        <v>15</v>
      </c>
      <c r="J52">
        <v>4.4000000000000004</v>
      </c>
      <c r="K52" t="s">
        <v>171</v>
      </c>
      <c r="L52">
        <v>0.2</v>
      </c>
      <c r="M52">
        <v>17</v>
      </c>
      <c r="N52" t="s">
        <v>171</v>
      </c>
      <c r="O52">
        <v>3.144513742</v>
      </c>
      <c r="P52">
        <v>57</v>
      </c>
      <c r="Q52" t="s">
        <v>171</v>
      </c>
      <c r="R52">
        <v>4.7117722969999996</v>
      </c>
      <c r="S52">
        <v>0.76</v>
      </c>
      <c r="T52" t="s">
        <v>171</v>
      </c>
      <c r="U52">
        <v>0.19172431680000002</v>
      </c>
      <c r="V52">
        <v>0.65</v>
      </c>
      <c r="W52" t="s">
        <v>171</v>
      </c>
      <c r="X52">
        <v>0.18344384350000001</v>
      </c>
      <c r="Y52">
        <v>0.11</v>
      </c>
      <c r="Z52">
        <v>560</v>
      </c>
      <c r="AA52" t="s">
        <v>171</v>
      </c>
      <c r="AB52">
        <v>30.8</v>
      </c>
      <c r="AC52">
        <v>1.44</v>
      </c>
      <c r="AD52" t="s">
        <v>171</v>
      </c>
      <c r="AE52">
        <v>0.30111467848000001</v>
      </c>
      <c r="AF52">
        <v>1.68</v>
      </c>
      <c r="AG52" t="s">
        <v>171</v>
      </c>
      <c r="AH52">
        <v>0.30835714228</v>
      </c>
      <c r="AI52">
        <v>3.12</v>
      </c>
      <c r="AJ52" t="s">
        <v>171</v>
      </c>
      <c r="AK52">
        <v>1.02554409952</v>
      </c>
      <c r="AL52">
        <v>557</v>
      </c>
      <c r="AM52" s="139">
        <f>-0.0042*AY52+1.6859</f>
        <v>1.6224165165165165</v>
      </c>
      <c r="AN52">
        <f t="shared" si="3"/>
        <v>15.818561036036037</v>
      </c>
      <c r="AY52">
        <v>15.115115115115101</v>
      </c>
    </row>
    <row r="53" spans="1:51" x14ac:dyDescent="0.15">
      <c r="A53" t="s">
        <v>189</v>
      </c>
      <c r="B53" t="s">
        <v>192</v>
      </c>
      <c r="C53" t="s">
        <v>409</v>
      </c>
      <c r="D53" t="s">
        <v>346</v>
      </c>
      <c r="E53" t="s">
        <v>33</v>
      </c>
      <c r="F53" t="s">
        <v>33</v>
      </c>
      <c r="G53" t="s">
        <v>177</v>
      </c>
      <c r="H53">
        <v>3.75</v>
      </c>
      <c r="I53">
        <v>7.5</v>
      </c>
      <c r="J53">
        <v>5.3</v>
      </c>
      <c r="K53" t="s">
        <v>171</v>
      </c>
      <c r="L53">
        <v>0.2</v>
      </c>
      <c r="M53">
        <v>54</v>
      </c>
      <c r="N53" t="s">
        <v>171</v>
      </c>
      <c r="O53">
        <v>6.2090014460000003</v>
      </c>
      <c r="P53">
        <v>82</v>
      </c>
      <c r="Q53" t="s">
        <v>171</v>
      </c>
      <c r="R53">
        <v>6.9190710719999995</v>
      </c>
      <c r="S53">
        <v>2.16</v>
      </c>
      <c r="T53" t="s">
        <v>171</v>
      </c>
      <c r="U53">
        <v>0.29711215879999997</v>
      </c>
      <c r="V53">
        <v>1.97</v>
      </c>
      <c r="W53" t="s">
        <v>171</v>
      </c>
      <c r="X53">
        <v>0.28280952309999996</v>
      </c>
      <c r="Y53">
        <v>0.19</v>
      </c>
      <c r="Z53">
        <v>1500</v>
      </c>
      <c r="AA53" t="s">
        <v>171</v>
      </c>
      <c r="AB53">
        <v>82.5</v>
      </c>
      <c r="AC53">
        <v>19.309999999999999</v>
      </c>
      <c r="AD53" t="s">
        <v>171</v>
      </c>
      <c r="AE53">
        <v>1.5888374575199999</v>
      </c>
      <c r="AF53">
        <v>2.94</v>
      </c>
      <c r="AG53" t="s">
        <v>171</v>
      </c>
      <c r="AH53">
        <v>0.48498214173999998</v>
      </c>
      <c r="AI53">
        <v>22.28</v>
      </c>
      <c r="AJ53" t="s">
        <v>171</v>
      </c>
      <c r="AK53">
        <v>1.68648067688</v>
      </c>
      <c r="AL53">
        <v>1478</v>
      </c>
      <c r="AM53" s="141">
        <f>AM54-((AM54-AM56)/(H54-H56))*H53</f>
        <v>1.4730686939235496</v>
      </c>
      <c r="AN53">
        <f t="shared" si="3"/>
        <v>21.764589952720442</v>
      </c>
      <c r="AO53">
        <v>9.5</v>
      </c>
      <c r="AP53">
        <v>142.79765055871263</v>
      </c>
      <c r="AQ53">
        <v>58.904030855468967</v>
      </c>
      <c r="AR53">
        <v>58.904030855468967</v>
      </c>
      <c r="AS53">
        <v>6.2004243005756807</v>
      </c>
      <c r="AT53">
        <v>15</v>
      </c>
      <c r="AU53">
        <v>105.09410552321242</v>
      </c>
      <c r="AV53">
        <v>7.006273701547495</v>
      </c>
      <c r="AW53">
        <v>43.351318528325123</v>
      </c>
      <c r="AX53">
        <v>2.8900879018883416</v>
      </c>
      <c r="AY53">
        <v>16.6166166166166</v>
      </c>
    </row>
    <row r="54" spans="1:51" x14ac:dyDescent="0.15">
      <c r="A54" t="s">
        <v>189</v>
      </c>
      <c r="B54" t="s">
        <v>192</v>
      </c>
      <c r="C54" t="s">
        <v>409</v>
      </c>
      <c r="D54" t="s">
        <v>346</v>
      </c>
      <c r="E54" t="s">
        <v>33</v>
      </c>
      <c r="F54" t="s">
        <v>33</v>
      </c>
      <c r="G54" t="s">
        <v>175</v>
      </c>
      <c r="H54">
        <v>16.25</v>
      </c>
      <c r="I54">
        <v>17.5</v>
      </c>
      <c r="J54">
        <v>4.8</v>
      </c>
      <c r="K54" t="s">
        <v>171</v>
      </c>
      <c r="L54">
        <v>0.2</v>
      </c>
      <c r="M54">
        <v>18</v>
      </c>
      <c r="N54" t="s">
        <v>171</v>
      </c>
      <c r="O54">
        <v>3.2273377339999998</v>
      </c>
      <c r="P54">
        <v>46</v>
      </c>
      <c r="Q54" t="s">
        <v>171</v>
      </c>
      <c r="R54">
        <v>3.7405608359999998</v>
      </c>
      <c r="S54">
        <v>1.02</v>
      </c>
      <c r="T54" t="s">
        <v>171</v>
      </c>
      <c r="U54">
        <v>0.21129634460000002</v>
      </c>
      <c r="V54">
        <v>0.96</v>
      </c>
      <c r="W54" t="s">
        <v>171</v>
      </c>
      <c r="X54">
        <v>0.20677972280000001</v>
      </c>
      <c r="Y54">
        <v>0.06</v>
      </c>
      <c r="Z54">
        <v>1010</v>
      </c>
      <c r="AA54" t="s">
        <v>171</v>
      </c>
      <c r="AB54">
        <v>55.55</v>
      </c>
      <c r="AC54">
        <v>5.8</v>
      </c>
      <c r="AD54" t="s">
        <v>171</v>
      </c>
      <c r="AE54">
        <v>0.61529885959999997</v>
      </c>
      <c r="AF54">
        <v>2.6</v>
      </c>
      <c r="AG54" t="s">
        <v>171</v>
      </c>
      <c r="AH54">
        <v>0.43732142760000003</v>
      </c>
      <c r="AI54">
        <v>8.4</v>
      </c>
      <c r="AJ54" t="s">
        <v>171</v>
      </c>
      <c r="AK54">
        <v>1.2076811103999998</v>
      </c>
      <c r="AL54">
        <v>1002</v>
      </c>
      <c r="AM54" t="s">
        <v>489</v>
      </c>
      <c r="AN54">
        <f t="shared" si="3"/>
        <v>24.988736337959015</v>
      </c>
      <c r="AY54">
        <v>16.5165165165165</v>
      </c>
    </row>
    <row r="55" spans="1:51" x14ac:dyDescent="0.15">
      <c r="A55" t="s">
        <v>189</v>
      </c>
      <c r="B55" t="s">
        <v>192</v>
      </c>
      <c r="C55" t="s">
        <v>409</v>
      </c>
      <c r="D55" t="s">
        <v>346</v>
      </c>
      <c r="E55" t="s">
        <v>33</v>
      </c>
      <c r="F55" t="s">
        <v>33</v>
      </c>
      <c r="G55" t="s">
        <v>176</v>
      </c>
      <c r="H55">
        <v>35</v>
      </c>
      <c r="I55">
        <v>20</v>
      </c>
      <c r="J55">
        <v>5.0999999999999996</v>
      </c>
      <c r="K55" t="s">
        <v>171</v>
      </c>
      <c r="L55">
        <v>0.2</v>
      </c>
      <c r="M55">
        <v>17</v>
      </c>
      <c r="N55" t="s">
        <v>171</v>
      </c>
      <c r="O55">
        <v>3.144513742</v>
      </c>
      <c r="P55">
        <v>34</v>
      </c>
      <c r="Q55" t="s">
        <v>171</v>
      </c>
      <c r="R55">
        <v>2.6810574239999996</v>
      </c>
      <c r="S55">
        <v>0.85</v>
      </c>
      <c r="T55" t="s">
        <v>171</v>
      </c>
      <c r="U55">
        <v>0.1984992495</v>
      </c>
      <c r="V55">
        <v>0.82</v>
      </c>
      <c r="W55" t="s">
        <v>171</v>
      </c>
      <c r="X55">
        <v>0.1962409386</v>
      </c>
      <c r="Y55">
        <v>0.03</v>
      </c>
      <c r="Z55">
        <v>750</v>
      </c>
      <c r="AA55" t="s">
        <v>171</v>
      </c>
      <c r="AB55">
        <v>41.25</v>
      </c>
      <c r="AC55">
        <v>4.2</v>
      </c>
      <c r="AD55" t="s">
        <v>171</v>
      </c>
      <c r="AE55">
        <v>0.50000191240000003</v>
      </c>
      <c r="AF55">
        <v>2.82</v>
      </c>
      <c r="AG55" t="s">
        <v>171</v>
      </c>
      <c r="AH55">
        <v>0.46816071321999997</v>
      </c>
      <c r="AI55">
        <v>7.02</v>
      </c>
      <c r="AJ55" t="s">
        <v>171</v>
      </c>
      <c r="AK55">
        <v>1.1600771189199999</v>
      </c>
      <c r="AL55">
        <v>743</v>
      </c>
      <c r="AM55" s="140">
        <f>(((AM54-AM56)/(H54-H56))*(H55-H54))+AM54</f>
        <v>1.5592052225104718</v>
      </c>
      <c r="AN55">
        <f t="shared" si="3"/>
        <v>25.570965649171736</v>
      </c>
    </row>
    <row r="56" spans="1:51" x14ac:dyDescent="0.15">
      <c r="A56" t="s">
        <v>189</v>
      </c>
      <c r="B56" t="s">
        <v>192</v>
      </c>
      <c r="C56" t="s">
        <v>409</v>
      </c>
      <c r="D56" t="s">
        <v>346</v>
      </c>
      <c r="E56" t="s">
        <v>33</v>
      </c>
      <c r="F56" t="s">
        <v>33</v>
      </c>
      <c r="G56" t="s">
        <v>21</v>
      </c>
      <c r="H56">
        <v>52.5</v>
      </c>
      <c r="I56">
        <v>15</v>
      </c>
      <c r="J56">
        <v>5</v>
      </c>
      <c r="K56" t="s">
        <v>171</v>
      </c>
      <c r="L56">
        <v>0.2</v>
      </c>
      <c r="M56">
        <v>3</v>
      </c>
      <c r="N56" t="s">
        <v>171</v>
      </c>
      <c r="O56">
        <v>1.984977854</v>
      </c>
      <c r="P56">
        <v>18</v>
      </c>
      <c r="Q56" t="s">
        <v>171</v>
      </c>
      <c r="R56">
        <v>1.2683862079999999</v>
      </c>
      <c r="S56">
        <v>0.4</v>
      </c>
      <c r="T56" t="s">
        <v>171</v>
      </c>
      <c r="U56">
        <v>0.16462458600000002</v>
      </c>
      <c r="V56">
        <v>0.38</v>
      </c>
      <c r="W56" t="s">
        <v>171</v>
      </c>
      <c r="X56">
        <v>0.1631190454</v>
      </c>
      <c r="Y56">
        <v>0.02</v>
      </c>
      <c r="Z56">
        <v>400</v>
      </c>
      <c r="AA56" t="s">
        <v>171</v>
      </c>
      <c r="AB56">
        <v>22</v>
      </c>
      <c r="AC56">
        <v>0.35</v>
      </c>
      <c r="AD56" t="s">
        <v>171</v>
      </c>
      <c r="AE56">
        <v>0.2225686332</v>
      </c>
      <c r="AF56">
        <v>1.28</v>
      </c>
      <c r="AG56" t="s">
        <v>171</v>
      </c>
      <c r="AH56">
        <v>0.25228571387999998</v>
      </c>
      <c r="AI56">
        <v>1.63</v>
      </c>
      <c r="AJ56" t="s">
        <v>171</v>
      </c>
      <c r="AK56">
        <v>0.97414558697999998</v>
      </c>
      <c r="AL56">
        <v>398</v>
      </c>
      <c r="AM56" s="139">
        <f>-0.0042*AY56+1.6859</f>
        <v>1.6262003003003003</v>
      </c>
      <c r="AN56">
        <f t="shared" si="3"/>
        <v>9.2693417117117107</v>
      </c>
      <c r="AY56">
        <v>14.2142142142142</v>
      </c>
    </row>
    <row r="57" spans="1:51" x14ac:dyDescent="0.15">
      <c r="A57" t="s">
        <v>187</v>
      </c>
      <c r="B57" t="s">
        <v>193</v>
      </c>
      <c r="C57" t="s">
        <v>97</v>
      </c>
      <c r="D57" t="s">
        <v>346</v>
      </c>
      <c r="E57" t="s">
        <v>376</v>
      </c>
      <c r="G57" t="s">
        <v>177</v>
      </c>
      <c r="H57">
        <v>3.75</v>
      </c>
      <c r="I57">
        <v>7.5</v>
      </c>
      <c r="J57">
        <v>5.3</v>
      </c>
      <c r="K57" t="s">
        <v>171</v>
      </c>
      <c r="L57">
        <v>0.2</v>
      </c>
      <c r="M57">
        <v>74</v>
      </c>
      <c r="N57" t="s">
        <v>171</v>
      </c>
      <c r="O57">
        <v>7.8654812859999996</v>
      </c>
      <c r="P57">
        <v>210</v>
      </c>
      <c r="Q57" t="s">
        <v>171</v>
      </c>
      <c r="R57">
        <v>18.220440799999999</v>
      </c>
      <c r="S57">
        <v>2.06</v>
      </c>
      <c r="T57" t="s">
        <v>171</v>
      </c>
      <c r="U57">
        <v>0.28958445580000003</v>
      </c>
      <c r="V57">
        <v>1.98</v>
      </c>
      <c r="W57" t="s">
        <v>171</v>
      </c>
      <c r="X57">
        <v>0.2835622934</v>
      </c>
      <c r="Y57">
        <v>0.08</v>
      </c>
      <c r="Z57">
        <v>1760</v>
      </c>
      <c r="AA57" t="s">
        <v>171</v>
      </c>
      <c r="AB57">
        <v>96.8</v>
      </c>
      <c r="AC57">
        <v>7.34</v>
      </c>
      <c r="AD57" t="s">
        <v>171</v>
      </c>
      <c r="AE57">
        <v>0.72627217127999999</v>
      </c>
      <c r="AF57">
        <v>3.73</v>
      </c>
      <c r="AG57" t="s">
        <v>171</v>
      </c>
      <c r="AH57">
        <v>0.59572321283000007</v>
      </c>
      <c r="AI57">
        <v>11.07</v>
      </c>
      <c r="AJ57" t="s">
        <v>171</v>
      </c>
      <c r="AK57">
        <v>1.29978448522</v>
      </c>
      <c r="AL57">
        <v>1749</v>
      </c>
      <c r="AT57">
        <v>30</v>
      </c>
      <c r="AU57">
        <v>51.987280910602209</v>
      </c>
      <c r="AV57">
        <v>1.7329093636867403</v>
      </c>
      <c r="AW57">
        <v>26.78874004569855</v>
      </c>
      <c r="AX57">
        <v>0.89295800152328497</v>
      </c>
    </row>
    <row r="58" spans="1:51" x14ac:dyDescent="0.15">
      <c r="A58" t="s">
        <v>187</v>
      </c>
      <c r="B58" t="s">
        <v>193</v>
      </c>
      <c r="C58" t="s">
        <v>97</v>
      </c>
      <c r="D58" t="s">
        <v>346</v>
      </c>
      <c r="E58" t="s">
        <v>376</v>
      </c>
      <c r="G58" t="s">
        <v>175</v>
      </c>
      <c r="H58">
        <v>16.25</v>
      </c>
      <c r="I58">
        <v>17.5</v>
      </c>
      <c r="J58">
        <v>5.2</v>
      </c>
      <c r="K58" t="s">
        <v>171</v>
      </c>
      <c r="L58">
        <v>0.2</v>
      </c>
      <c r="M58">
        <v>36</v>
      </c>
      <c r="N58" t="s">
        <v>171</v>
      </c>
      <c r="O58">
        <v>4.7181695900000005</v>
      </c>
      <c r="P58">
        <v>107</v>
      </c>
      <c r="Q58" t="s">
        <v>171</v>
      </c>
      <c r="R58">
        <v>9.1263698469999994</v>
      </c>
      <c r="S58">
        <v>1.26</v>
      </c>
      <c r="T58" t="s">
        <v>171</v>
      </c>
      <c r="U58">
        <v>0.2293628318</v>
      </c>
      <c r="V58">
        <v>1.1100000000000001</v>
      </c>
      <c r="W58" t="s">
        <v>171</v>
      </c>
      <c r="X58">
        <v>0.2180712773</v>
      </c>
      <c r="Y58">
        <v>0.15</v>
      </c>
      <c r="Z58">
        <v>1000</v>
      </c>
      <c r="AA58" t="s">
        <v>171</v>
      </c>
      <c r="AB58">
        <v>55</v>
      </c>
      <c r="AC58">
        <v>9.02</v>
      </c>
      <c r="AD58" t="s">
        <v>171</v>
      </c>
      <c r="AE58">
        <v>0.84733396583999998</v>
      </c>
      <c r="AF58">
        <v>1.51</v>
      </c>
      <c r="AG58" t="s">
        <v>171</v>
      </c>
      <c r="AH58">
        <v>0.28452678521000002</v>
      </c>
      <c r="AI58">
        <v>10.53</v>
      </c>
      <c r="AJ58" t="s">
        <v>171</v>
      </c>
      <c r="AK58">
        <v>1.2811568363799999</v>
      </c>
      <c r="AL58">
        <v>989</v>
      </c>
      <c r="AM58" t="s">
        <v>490</v>
      </c>
      <c r="AN58">
        <f>AM58*I58*V58</f>
        <v>27.442613287486115</v>
      </c>
    </row>
    <row r="59" spans="1:51" x14ac:dyDescent="0.15">
      <c r="A59" t="s">
        <v>187</v>
      </c>
      <c r="B59" t="s">
        <v>97</v>
      </c>
      <c r="C59" t="s">
        <v>97</v>
      </c>
      <c r="D59" t="s">
        <v>346</v>
      </c>
      <c r="E59" t="s">
        <v>376</v>
      </c>
      <c r="G59" t="s">
        <v>176</v>
      </c>
      <c r="H59">
        <v>35</v>
      </c>
      <c r="I59">
        <v>20</v>
      </c>
      <c r="J59">
        <v>5.5</v>
      </c>
      <c r="K59" t="s">
        <v>171</v>
      </c>
      <c r="L59">
        <v>0.2</v>
      </c>
      <c r="M59">
        <v>7</v>
      </c>
      <c r="N59" t="s">
        <v>171</v>
      </c>
      <c r="O59">
        <v>2.3162738219999999</v>
      </c>
      <c r="P59">
        <v>72</v>
      </c>
      <c r="Q59" t="s">
        <v>171</v>
      </c>
      <c r="R59">
        <v>6.0361515619999997</v>
      </c>
      <c r="S59">
        <v>0.77</v>
      </c>
      <c r="T59" t="s">
        <v>171</v>
      </c>
      <c r="U59">
        <v>0.1924770871</v>
      </c>
      <c r="V59">
        <v>0.75</v>
      </c>
      <c r="W59" t="s">
        <v>171</v>
      </c>
      <c r="X59">
        <v>0.19097154650000001</v>
      </c>
      <c r="Y59">
        <v>0.02</v>
      </c>
      <c r="Z59">
        <v>750</v>
      </c>
      <c r="AA59" t="s">
        <v>171</v>
      </c>
      <c r="AB59">
        <v>41.25</v>
      </c>
      <c r="AC59">
        <v>6.54</v>
      </c>
      <c r="AD59" t="s">
        <v>171</v>
      </c>
      <c r="AE59">
        <v>0.66862369767999996</v>
      </c>
      <c r="AF59">
        <v>1.21</v>
      </c>
      <c r="AG59" t="s">
        <v>171</v>
      </c>
      <c r="AH59">
        <v>0.24247321390999999</v>
      </c>
      <c r="AI59">
        <v>7.75</v>
      </c>
      <c r="AJ59" t="s">
        <v>171</v>
      </c>
      <c r="AK59">
        <v>1.1852589404999998</v>
      </c>
      <c r="AL59">
        <v>742</v>
      </c>
    </row>
    <row r="60" spans="1:51" x14ac:dyDescent="0.15">
      <c r="A60" t="s">
        <v>187</v>
      </c>
      <c r="B60" t="s">
        <v>193</v>
      </c>
      <c r="C60" t="s">
        <v>97</v>
      </c>
      <c r="D60" t="s">
        <v>346</v>
      </c>
      <c r="E60" t="s">
        <v>376</v>
      </c>
      <c r="G60" t="s">
        <v>21</v>
      </c>
      <c r="H60">
        <v>52.5</v>
      </c>
      <c r="I60">
        <v>15</v>
      </c>
      <c r="J60">
        <v>5.8</v>
      </c>
      <c r="K60" t="s">
        <v>171</v>
      </c>
      <c r="L60">
        <v>0.2</v>
      </c>
      <c r="M60">
        <v>26</v>
      </c>
      <c r="N60" t="s">
        <v>171</v>
      </c>
      <c r="O60">
        <v>3.8899296699999999</v>
      </c>
      <c r="P60">
        <v>52</v>
      </c>
      <c r="Q60" t="s">
        <v>171</v>
      </c>
      <c r="R60">
        <v>4.2703125420000001</v>
      </c>
      <c r="S60">
        <v>0.53</v>
      </c>
      <c r="T60" t="s">
        <v>171</v>
      </c>
      <c r="U60">
        <v>0.17441059990000002</v>
      </c>
      <c r="V60">
        <v>0.5</v>
      </c>
      <c r="W60" t="s">
        <v>171</v>
      </c>
      <c r="X60">
        <v>0.17215228900000001</v>
      </c>
      <c r="Y60">
        <v>0.03</v>
      </c>
      <c r="Z60">
        <v>500</v>
      </c>
      <c r="AA60" t="s">
        <v>171</v>
      </c>
      <c r="AB60">
        <v>27.5</v>
      </c>
      <c r="AC60">
        <v>1.79</v>
      </c>
      <c r="AD60" t="s">
        <v>171</v>
      </c>
      <c r="AE60">
        <v>0.32633588568000005</v>
      </c>
      <c r="AF60">
        <v>1.22</v>
      </c>
      <c r="AG60" t="s">
        <v>171</v>
      </c>
      <c r="AH60">
        <v>0.24387499961999998</v>
      </c>
      <c r="AI60">
        <v>3.01</v>
      </c>
      <c r="AJ60" t="s">
        <v>171</v>
      </c>
      <c r="AK60">
        <v>1.0217495784599999</v>
      </c>
      <c r="AL60">
        <v>497</v>
      </c>
    </row>
    <row r="61" spans="1:51" x14ac:dyDescent="0.15">
      <c r="A61" t="s">
        <v>194</v>
      </c>
      <c r="B61" t="s">
        <v>180</v>
      </c>
      <c r="C61" t="s">
        <v>81</v>
      </c>
      <c r="D61" t="s">
        <v>346</v>
      </c>
      <c r="E61" t="s">
        <v>392</v>
      </c>
      <c r="F61" t="s">
        <v>25</v>
      </c>
      <c r="G61" t="s">
        <v>177</v>
      </c>
      <c r="H61">
        <v>3.75</v>
      </c>
      <c r="I61">
        <v>7.5</v>
      </c>
      <c r="J61">
        <v>4.9000000000000004</v>
      </c>
      <c r="K61" t="s">
        <v>171</v>
      </c>
      <c r="L61">
        <v>0.2</v>
      </c>
      <c r="M61">
        <v>78</v>
      </c>
      <c r="N61" t="s">
        <v>171</v>
      </c>
      <c r="O61">
        <v>8.1967772540000006</v>
      </c>
      <c r="P61">
        <v>133</v>
      </c>
      <c r="Q61" t="s">
        <v>171</v>
      </c>
      <c r="R61">
        <v>11.421960573</v>
      </c>
      <c r="S61">
        <v>2.56</v>
      </c>
      <c r="T61" t="s">
        <v>171</v>
      </c>
      <c r="U61">
        <v>0.32722297079999996</v>
      </c>
      <c r="V61">
        <v>2.5299999999999998</v>
      </c>
      <c r="W61" t="s">
        <v>171</v>
      </c>
      <c r="X61">
        <v>0.32496465990000001</v>
      </c>
      <c r="Y61">
        <v>0.03</v>
      </c>
      <c r="Z61">
        <v>2180</v>
      </c>
      <c r="AA61" t="s">
        <v>171</v>
      </c>
      <c r="AB61">
        <v>119.9</v>
      </c>
      <c r="AC61">
        <v>12.69</v>
      </c>
      <c r="AD61" t="s">
        <v>171</v>
      </c>
      <c r="AE61">
        <v>1.11179633848</v>
      </c>
      <c r="AF61">
        <v>3.67</v>
      </c>
      <c r="AG61" t="s">
        <v>171</v>
      </c>
      <c r="AH61">
        <v>0.58731249857000001</v>
      </c>
      <c r="AI61">
        <v>16.39</v>
      </c>
      <c r="AJ61" t="s">
        <v>171</v>
      </c>
      <c r="AK61">
        <v>1.48330132194</v>
      </c>
      <c r="AL61">
        <v>2164</v>
      </c>
      <c r="AM61" s="141">
        <f>AM62-((AM62-AM64)/(H62-H64))*H61</f>
        <v>1.0206935444852145</v>
      </c>
      <c r="AN61">
        <f>AM61*I61*V61</f>
        <v>19.367660006606947</v>
      </c>
      <c r="AO61">
        <v>9.5</v>
      </c>
      <c r="AP61">
        <v>150.82516060107167</v>
      </c>
      <c r="AQ61">
        <v>15.876332694849649</v>
      </c>
      <c r="AR61">
        <v>62.215378747942061</v>
      </c>
      <c r="AS61">
        <v>6.5489872366254804</v>
      </c>
      <c r="AT61">
        <v>15</v>
      </c>
      <c r="AU61">
        <v>310.76421103156832</v>
      </c>
      <c r="AV61">
        <v>20.717614068771223</v>
      </c>
      <c r="AW61">
        <v>128.19023705052194</v>
      </c>
      <c r="AX61">
        <v>8.5460158033681299</v>
      </c>
      <c r="AY61">
        <v>16.016016016016</v>
      </c>
    </row>
    <row r="62" spans="1:51" x14ac:dyDescent="0.15">
      <c r="A62" t="s">
        <v>195</v>
      </c>
      <c r="B62" t="s">
        <v>182</v>
      </c>
      <c r="C62" t="s">
        <v>81</v>
      </c>
      <c r="D62" t="s">
        <v>346</v>
      </c>
      <c r="E62" t="s">
        <v>392</v>
      </c>
      <c r="F62" t="s">
        <v>25</v>
      </c>
      <c r="G62" t="s">
        <v>175</v>
      </c>
      <c r="H62">
        <v>16.25</v>
      </c>
      <c r="I62">
        <v>17.5</v>
      </c>
      <c r="J62">
        <v>4.9000000000000004</v>
      </c>
      <c r="K62" t="s">
        <v>171</v>
      </c>
      <c r="L62">
        <v>0.2</v>
      </c>
      <c r="M62">
        <v>70</v>
      </c>
      <c r="N62" t="s">
        <v>171</v>
      </c>
      <c r="O62">
        <v>7.5341853179999996</v>
      </c>
      <c r="P62">
        <v>84</v>
      </c>
      <c r="Q62" t="s">
        <v>171</v>
      </c>
      <c r="R62">
        <v>7.0956549739999994</v>
      </c>
      <c r="S62">
        <v>1.49</v>
      </c>
      <c r="T62" t="s">
        <v>171</v>
      </c>
      <c r="U62">
        <v>0.2466765487</v>
      </c>
      <c r="V62">
        <v>1.45</v>
      </c>
      <c r="W62" t="s">
        <v>171</v>
      </c>
      <c r="X62">
        <v>0.24366546750000001</v>
      </c>
      <c r="Y62">
        <v>0.04</v>
      </c>
      <c r="Z62">
        <v>1260</v>
      </c>
      <c r="AA62" t="s">
        <v>171</v>
      </c>
      <c r="AB62">
        <v>69.3</v>
      </c>
      <c r="AC62">
        <v>4.6900000000000004</v>
      </c>
      <c r="AD62" t="s">
        <v>171</v>
      </c>
      <c r="AE62">
        <v>0.53531160247999998</v>
      </c>
      <c r="AF62">
        <v>1.39</v>
      </c>
      <c r="AG62" t="s">
        <v>171</v>
      </c>
      <c r="AH62">
        <v>0.26770535669000001</v>
      </c>
      <c r="AI62">
        <v>6.08</v>
      </c>
      <c r="AJ62" t="s">
        <v>171</v>
      </c>
      <c r="AK62">
        <v>1.1276512116799999</v>
      </c>
      <c r="AL62">
        <v>1254</v>
      </c>
      <c r="AM62" t="s">
        <v>491</v>
      </c>
      <c r="AN62">
        <f>AM62*I62*V62</f>
        <v>27.261531376642555</v>
      </c>
      <c r="AY62">
        <v>16.5165165165165</v>
      </c>
    </row>
    <row r="63" spans="1:51" x14ac:dyDescent="0.15">
      <c r="A63" t="s">
        <v>195</v>
      </c>
      <c r="B63" t="s">
        <v>180</v>
      </c>
      <c r="C63" t="s">
        <v>81</v>
      </c>
      <c r="D63" t="s">
        <v>346</v>
      </c>
      <c r="E63" t="s">
        <v>392</v>
      </c>
      <c r="F63" t="s">
        <v>25</v>
      </c>
      <c r="G63" t="s">
        <v>176</v>
      </c>
      <c r="H63">
        <v>35</v>
      </c>
      <c r="I63">
        <v>20</v>
      </c>
      <c r="J63">
        <v>4.9000000000000004</v>
      </c>
      <c r="K63" t="s">
        <v>171</v>
      </c>
      <c r="L63">
        <v>0.2</v>
      </c>
      <c r="M63">
        <v>29</v>
      </c>
      <c r="N63" t="s">
        <v>171</v>
      </c>
      <c r="O63">
        <v>4.1384016460000002</v>
      </c>
      <c r="P63">
        <v>55</v>
      </c>
      <c r="Q63" t="s">
        <v>171</v>
      </c>
      <c r="R63">
        <v>4.5351883949999996</v>
      </c>
      <c r="S63">
        <v>1.02</v>
      </c>
      <c r="T63" t="s">
        <v>171</v>
      </c>
      <c r="U63">
        <v>0.21129634460000002</v>
      </c>
      <c r="V63">
        <v>1.01</v>
      </c>
      <c r="W63" t="s">
        <v>171</v>
      </c>
      <c r="X63">
        <v>0.21054357429999998</v>
      </c>
      <c r="Y63">
        <v>0.01</v>
      </c>
      <c r="Z63">
        <v>1160</v>
      </c>
      <c r="AA63" t="s">
        <v>171</v>
      </c>
      <c r="AB63">
        <v>63.8</v>
      </c>
      <c r="AC63">
        <v>1.35</v>
      </c>
      <c r="AD63" t="s">
        <v>171</v>
      </c>
      <c r="AE63">
        <v>0.29462922520000001</v>
      </c>
      <c r="AF63">
        <v>0.82</v>
      </c>
      <c r="AG63" t="s">
        <v>171</v>
      </c>
      <c r="AH63">
        <v>0.18780357121999999</v>
      </c>
      <c r="AI63">
        <v>2.17</v>
      </c>
      <c r="AJ63" t="s">
        <v>171</v>
      </c>
      <c r="AK63">
        <v>0.99277323581999999</v>
      </c>
      <c r="AL63">
        <v>1158</v>
      </c>
      <c r="AM63" s="140">
        <f>(((AM62-AM64)/(H62-H64))*(H63-H62))+AM62</f>
        <v>1.3426086621987678</v>
      </c>
      <c r="AN63">
        <f>AM63*I63*V63</f>
        <v>27.120694976415113</v>
      </c>
    </row>
    <row r="64" spans="1:51" x14ac:dyDescent="0.15">
      <c r="A64" t="s">
        <v>195</v>
      </c>
      <c r="B64" t="s">
        <v>180</v>
      </c>
      <c r="C64" t="s">
        <v>81</v>
      </c>
      <c r="D64" t="s">
        <v>346</v>
      </c>
      <c r="E64" t="s">
        <v>392</v>
      </c>
      <c r="F64" t="s">
        <v>25</v>
      </c>
      <c r="G64" t="s">
        <v>21</v>
      </c>
      <c r="H64">
        <v>52.5</v>
      </c>
      <c r="I64">
        <v>15</v>
      </c>
      <c r="J64">
        <v>4.9000000000000004</v>
      </c>
      <c r="K64" t="s">
        <v>171</v>
      </c>
      <c r="L64">
        <v>0.2</v>
      </c>
      <c r="M64">
        <v>21</v>
      </c>
      <c r="N64" t="s">
        <v>171</v>
      </c>
      <c r="O64">
        <v>3.4758097100000001</v>
      </c>
      <c r="P64">
        <v>49</v>
      </c>
      <c r="Q64" t="s">
        <v>171</v>
      </c>
      <c r="R64">
        <v>4.0054366889999997</v>
      </c>
      <c r="S64">
        <v>0.43</v>
      </c>
      <c r="T64" t="s">
        <v>171</v>
      </c>
      <c r="U64">
        <v>0.16688289689999999</v>
      </c>
      <c r="V64">
        <v>0.41</v>
      </c>
      <c r="W64" t="s">
        <v>171</v>
      </c>
      <c r="X64">
        <v>0.1653773563</v>
      </c>
      <c r="Y64">
        <v>0.02</v>
      </c>
      <c r="Z64">
        <v>820</v>
      </c>
      <c r="AA64" t="s">
        <v>171</v>
      </c>
      <c r="AB64">
        <v>45.1</v>
      </c>
      <c r="AC64">
        <v>0.08</v>
      </c>
      <c r="AD64" t="s">
        <v>171</v>
      </c>
      <c r="AE64">
        <v>0.20311227335999998</v>
      </c>
      <c r="AF64">
        <v>0.82</v>
      </c>
      <c r="AG64" t="s">
        <v>171</v>
      </c>
      <c r="AH64">
        <v>0.18780357121999999</v>
      </c>
      <c r="AI64">
        <v>0.9</v>
      </c>
      <c r="AJ64" t="s">
        <v>171</v>
      </c>
      <c r="AK64">
        <v>0.94896376539999994</v>
      </c>
      <c r="AL64">
        <v>819</v>
      </c>
      <c r="AM64" s="139">
        <f>-0.0042*AY64+1.6859</f>
        <v>1.5929870870870873</v>
      </c>
      <c r="AN64">
        <f>AM64*I64*V64</f>
        <v>9.7968705855855855</v>
      </c>
      <c r="AY64">
        <v>22.1221221221221</v>
      </c>
    </row>
    <row r="65" spans="1:51" x14ac:dyDescent="0.15">
      <c r="A65" t="s">
        <v>195</v>
      </c>
      <c r="B65" t="s">
        <v>184</v>
      </c>
      <c r="C65" t="s">
        <v>81</v>
      </c>
      <c r="D65" t="s">
        <v>346</v>
      </c>
      <c r="E65" t="s">
        <v>393</v>
      </c>
      <c r="F65" t="s">
        <v>26</v>
      </c>
      <c r="G65" t="s">
        <v>177</v>
      </c>
      <c r="H65">
        <v>3.75</v>
      </c>
      <c r="I65">
        <v>7.5</v>
      </c>
      <c r="J65">
        <v>6.4</v>
      </c>
      <c r="K65" t="s">
        <v>171</v>
      </c>
      <c r="L65">
        <v>0.2</v>
      </c>
      <c r="M65">
        <v>258</v>
      </c>
      <c r="N65" t="s">
        <v>171</v>
      </c>
      <c r="O65">
        <v>23.105095813999998</v>
      </c>
      <c r="P65">
        <v>292</v>
      </c>
      <c r="Q65" t="s">
        <v>171</v>
      </c>
      <c r="R65">
        <v>25.460380781999998</v>
      </c>
      <c r="S65">
        <v>2.41</v>
      </c>
      <c r="T65" t="s">
        <v>171</v>
      </c>
      <c r="U65">
        <v>0.31593141629999999</v>
      </c>
      <c r="V65">
        <v>2.2599999999999998</v>
      </c>
      <c r="W65" t="s">
        <v>171</v>
      </c>
      <c r="X65">
        <v>0.30463986179999997</v>
      </c>
      <c r="Y65">
        <v>0.15</v>
      </c>
      <c r="Z65">
        <v>1810</v>
      </c>
      <c r="AA65" t="s">
        <v>171</v>
      </c>
      <c r="AB65">
        <v>99.55</v>
      </c>
      <c r="AC65">
        <v>12.26</v>
      </c>
      <c r="AD65" t="s">
        <v>171</v>
      </c>
      <c r="AE65">
        <v>1.08081028392</v>
      </c>
      <c r="AF65">
        <v>2.77</v>
      </c>
      <c r="AG65" t="s">
        <v>171</v>
      </c>
      <c r="AH65">
        <v>0.46115178467000001</v>
      </c>
      <c r="AI65">
        <v>15.03</v>
      </c>
      <c r="AJ65" t="s">
        <v>171</v>
      </c>
      <c r="AK65">
        <v>1.43638724338</v>
      </c>
      <c r="AL65">
        <v>1795</v>
      </c>
      <c r="AO65">
        <v>9.5</v>
      </c>
      <c r="AP65">
        <v>149.24399851836134</v>
      </c>
      <c r="AQ65">
        <v>15.709894580880141</v>
      </c>
      <c r="AR65">
        <v>61.563149388824051</v>
      </c>
      <c r="AS65">
        <v>6.4803315146130585</v>
      </c>
      <c r="AT65">
        <v>15</v>
      </c>
      <c r="AU65">
        <v>267.7823346177293</v>
      </c>
      <c r="AV65">
        <v>17.852155641181955</v>
      </c>
      <c r="AW65">
        <v>110.46021302981333</v>
      </c>
      <c r="AX65">
        <v>7.3640142019875556</v>
      </c>
      <c r="AY65">
        <v>12.012012012012001</v>
      </c>
    </row>
    <row r="66" spans="1:51" x14ac:dyDescent="0.15">
      <c r="A66" t="s">
        <v>195</v>
      </c>
      <c r="B66" t="s">
        <v>184</v>
      </c>
      <c r="C66" t="s">
        <v>81</v>
      </c>
      <c r="D66" t="s">
        <v>346</v>
      </c>
      <c r="E66" t="s">
        <v>393</v>
      </c>
      <c r="F66" t="s">
        <v>26</v>
      </c>
      <c r="G66" t="s">
        <v>175</v>
      </c>
      <c r="H66">
        <v>16.25</v>
      </c>
      <c r="I66">
        <v>17.5</v>
      </c>
      <c r="J66">
        <v>7.1</v>
      </c>
      <c r="K66" t="s">
        <v>171</v>
      </c>
      <c r="L66">
        <v>0.2</v>
      </c>
      <c r="M66">
        <v>146</v>
      </c>
      <c r="N66" t="s">
        <v>171</v>
      </c>
      <c r="O66">
        <v>13.828808710000001</v>
      </c>
      <c r="P66">
        <v>126</v>
      </c>
      <c r="Q66" t="s">
        <v>171</v>
      </c>
      <c r="R66">
        <v>10.803916915999999</v>
      </c>
      <c r="S66">
        <v>1.08</v>
      </c>
      <c r="T66" t="s">
        <v>171</v>
      </c>
      <c r="U66">
        <v>0.2158129664</v>
      </c>
      <c r="V66">
        <v>1.01</v>
      </c>
      <c r="W66" t="s">
        <v>171</v>
      </c>
      <c r="X66">
        <v>0.21054357429999998</v>
      </c>
      <c r="Y66">
        <v>7.0000000000000007E-2</v>
      </c>
      <c r="Z66">
        <v>930</v>
      </c>
      <c r="AA66" t="s">
        <v>171</v>
      </c>
      <c r="AB66">
        <v>51.15</v>
      </c>
      <c r="AC66">
        <v>1.61</v>
      </c>
      <c r="AD66" t="s">
        <v>171</v>
      </c>
      <c r="AE66">
        <v>0.31336497912</v>
      </c>
      <c r="AF66">
        <v>0.66</v>
      </c>
      <c r="AG66" t="s">
        <v>171</v>
      </c>
      <c r="AH66">
        <v>0.16537499986000001</v>
      </c>
      <c r="AI66">
        <v>2.27</v>
      </c>
      <c r="AJ66" t="s">
        <v>171</v>
      </c>
      <c r="AK66">
        <v>0.99622280042</v>
      </c>
      <c r="AL66">
        <v>928</v>
      </c>
      <c r="AM66" t="s">
        <v>492</v>
      </c>
      <c r="AN66">
        <f>AM66*I66*V66</f>
        <v>21.929762986614328</v>
      </c>
      <c r="AY66">
        <v>11.811811811811801</v>
      </c>
    </row>
    <row r="67" spans="1:51" x14ac:dyDescent="0.15">
      <c r="A67" t="s">
        <v>195</v>
      </c>
      <c r="B67" t="s">
        <v>184</v>
      </c>
      <c r="C67" t="s">
        <v>81</v>
      </c>
      <c r="D67" t="s">
        <v>346</v>
      </c>
      <c r="E67" t="s">
        <v>393</v>
      </c>
      <c r="F67" t="s">
        <v>26</v>
      </c>
      <c r="G67" t="s">
        <v>176</v>
      </c>
      <c r="H67">
        <v>35</v>
      </c>
      <c r="I67">
        <v>20</v>
      </c>
      <c r="J67">
        <v>7.4</v>
      </c>
      <c r="K67" t="s">
        <v>171</v>
      </c>
      <c r="L67">
        <v>0.2</v>
      </c>
      <c r="M67">
        <v>175</v>
      </c>
      <c r="N67" t="s">
        <v>171</v>
      </c>
      <c r="O67">
        <v>16.230704478</v>
      </c>
      <c r="P67">
        <v>80</v>
      </c>
      <c r="Q67" t="s">
        <v>171</v>
      </c>
      <c r="R67">
        <v>6.7424871699999995</v>
      </c>
      <c r="S67">
        <v>0.6</v>
      </c>
      <c r="T67" t="s">
        <v>171</v>
      </c>
      <c r="U67">
        <v>0.17967999200000001</v>
      </c>
      <c r="V67">
        <v>0.56999999999999995</v>
      </c>
      <c r="W67" t="s">
        <v>171</v>
      </c>
      <c r="X67">
        <v>0.17742168110000001</v>
      </c>
      <c r="Y67">
        <v>0.03</v>
      </c>
      <c r="Z67">
        <v>1100</v>
      </c>
      <c r="AA67" t="s">
        <v>171</v>
      </c>
      <c r="AB67">
        <v>60.5</v>
      </c>
      <c r="AC67">
        <v>0.59</v>
      </c>
      <c r="AD67" t="s">
        <v>171</v>
      </c>
      <c r="AE67">
        <v>0.23986317528000001</v>
      </c>
      <c r="AF67">
        <v>0.67</v>
      </c>
      <c r="AG67" t="s">
        <v>171</v>
      </c>
      <c r="AH67">
        <v>0.16677678557</v>
      </c>
      <c r="AI67">
        <v>1.26</v>
      </c>
      <c r="AJ67" t="s">
        <v>171</v>
      </c>
      <c r="AK67">
        <v>0.96138219795999991</v>
      </c>
      <c r="AL67">
        <v>1099</v>
      </c>
    </row>
    <row r="68" spans="1:51" x14ac:dyDescent="0.15">
      <c r="A68" t="s">
        <v>195</v>
      </c>
      <c r="B68" t="s">
        <v>184</v>
      </c>
      <c r="C68" t="s">
        <v>81</v>
      </c>
      <c r="D68" t="s">
        <v>346</v>
      </c>
      <c r="E68" t="s">
        <v>393</v>
      </c>
      <c r="F68" t="s">
        <v>26</v>
      </c>
      <c r="G68" t="s">
        <v>21</v>
      </c>
      <c r="H68">
        <v>52.5</v>
      </c>
      <c r="I68">
        <v>15</v>
      </c>
      <c r="J68">
        <v>6</v>
      </c>
      <c r="K68" t="s">
        <v>171</v>
      </c>
      <c r="L68">
        <v>0.2</v>
      </c>
      <c r="M68">
        <v>78</v>
      </c>
      <c r="N68" t="s">
        <v>171</v>
      </c>
      <c r="O68">
        <v>8.1967772540000006</v>
      </c>
      <c r="P68">
        <v>92</v>
      </c>
      <c r="Q68" t="s">
        <v>171</v>
      </c>
      <c r="R68">
        <v>7.8019905820000002</v>
      </c>
      <c r="S68">
        <v>0.45</v>
      </c>
      <c r="T68" t="s">
        <v>171</v>
      </c>
      <c r="U68">
        <v>0.16838843749999999</v>
      </c>
      <c r="V68">
        <v>0.42</v>
      </c>
      <c r="W68" t="s">
        <v>171</v>
      </c>
      <c r="X68">
        <v>0.16613012659999998</v>
      </c>
      <c r="Y68">
        <v>0.03</v>
      </c>
      <c r="Z68">
        <v>630</v>
      </c>
      <c r="AA68" t="s">
        <v>171</v>
      </c>
      <c r="AB68">
        <v>34.65</v>
      </c>
      <c r="AC68">
        <v>0</v>
      </c>
      <c r="AD68" t="s">
        <v>171</v>
      </c>
      <c r="AE68">
        <v>0.19734742599999999</v>
      </c>
      <c r="AF68">
        <v>0.95</v>
      </c>
      <c r="AG68" t="s">
        <v>171</v>
      </c>
      <c r="AH68">
        <v>0.20602678544999997</v>
      </c>
      <c r="AI68">
        <v>0.95</v>
      </c>
      <c r="AJ68" t="s">
        <v>171</v>
      </c>
      <c r="AK68">
        <v>0.9506885477</v>
      </c>
      <c r="AL68">
        <v>629</v>
      </c>
    </row>
    <row r="69" spans="1:51" x14ac:dyDescent="0.15">
      <c r="A69" t="s">
        <v>195</v>
      </c>
      <c r="B69" t="s">
        <v>186</v>
      </c>
      <c r="C69" t="s">
        <v>81</v>
      </c>
      <c r="D69" t="s">
        <v>346</v>
      </c>
      <c r="E69" t="s">
        <v>394</v>
      </c>
      <c r="F69" t="s">
        <v>27</v>
      </c>
      <c r="G69" t="s">
        <v>177</v>
      </c>
      <c r="H69">
        <v>3.75</v>
      </c>
      <c r="I69">
        <v>7.5</v>
      </c>
      <c r="J69">
        <v>5.2</v>
      </c>
      <c r="K69" t="s">
        <v>171</v>
      </c>
      <c r="L69">
        <v>0.2</v>
      </c>
      <c r="M69">
        <v>128</v>
      </c>
      <c r="N69" t="s">
        <v>171</v>
      </c>
      <c r="O69">
        <v>12.337976854000001</v>
      </c>
      <c r="P69">
        <v>128</v>
      </c>
      <c r="Q69" t="s">
        <v>171</v>
      </c>
      <c r="R69">
        <v>10.980500817999999</v>
      </c>
      <c r="S69">
        <v>1.91</v>
      </c>
      <c r="T69" t="s">
        <v>171</v>
      </c>
      <c r="U69">
        <v>0.27829290129999995</v>
      </c>
      <c r="V69">
        <v>1.85</v>
      </c>
      <c r="W69" t="s">
        <v>171</v>
      </c>
      <c r="X69">
        <v>0.2737762795</v>
      </c>
      <c r="Y69">
        <v>0.06</v>
      </c>
      <c r="Z69">
        <v>1460</v>
      </c>
      <c r="AA69" t="s">
        <v>171</v>
      </c>
      <c r="AB69">
        <v>80.3</v>
      </c>
      <c r="AC69">
        <v>10.77</v>
      </c>
      <c r="AD69" t="s">
        <v>171</v>
      </c>
      <c r="AE69">
        <v>0.97344000184000001</v>
      </c>
      <c r="AF69">
        <v>3.76</v>
      </c>
      <c r="AG69" t="s">
        <v>171</v>
      </c>
      <c r="AH69">
        <v>0.59992856995999999</v>
      </c>
      <c r="AI69">
        <v>14.53</v>
      </c>
      <c r="AJ69" t="s">
        <v>171</v>
      </c>
      <c r="AK69">
        <v>1.4191394203799998</v>
      </c>
      <c r="AL69">
        <v>1445</v>
      </c>
      <c r="AO69">
        <v>9.5</v>
      </c>
      <c r="AP69">
        <v>134.8988560235253</v>
      </c>
      <c r="AQ69">
        <v>14.199879581423716</v>
      </c>
      <c r="AR69">
        <v>55.645778109704182</v>
      </c>
      <c r="AS69">
        <v>5.8574503273372827</v>
      </c>
      <c r="AT69">
        <v>15</v>
      </c>
      <c r="AU69">
        <v>213.18619819977457</v>
      </c>
      <c r="AV69">
        <v>14.212413213318305</v>
      </c>
      <c r="AW69">
        <v>87.93930675740701</v>
      </c>
      <c r="AX69">
        <v>5.8626204504938011</v>
      </c>
      <c r="AY69">
        <v>21.3213213213213</v>
      </c>
    </row>
    <row r="70" spans="1:51" x14ac:dyDescent="0.15">
      <c r="A70" t="s">
        <v>194</v>
      </c>
      <c r="B70" t="s">
        <v>186</v>
      </c>
      <c r="C70" t="s">
        <v>81</v>
      </c>
      <c r="D70" t="s">
        <v>346</v>
      </c>
      <c r="E70" t="s">
        <v>394</v>
      </c>
      <c r="F70" t="s">
        <v>27</v>
      </c>
      <c r="G70" t="s">
        <v>175</v>
      </c>
      <c r="H70">
        <v>16.25</v>
      </c>
      <c r="I70">
        <v>17.5</v>
      </c>
      <c r="J70">
        <v>4.5</v>
      </c>
      <c r="K70" t="s">
        <v>171</v>
      </c>
      <c r="L70">
        <v>0.2</v>
      </c>
      <c r="M70">
        <v>100</v>
      </c>
      <c r="N70" t="s">
        <v>171</v>
      </c>
      <c r="O70">
        <v>10.018905078</v>
      </c>
      <c r="P70">
        <v>61</v>
      </c>
      <c r="Q70" t="s">
        <v>171</v>
      </c>
      <c r="R70">
        <v>5.0649401009999995</v>
      </c>
      <c r="S70">
        <v>1.01</v>
      </c>
      <c r="T70" t="s">
        <v>171</v>
      </c>
      <c r="U70">
        <v>0.21054357429999998</v>
      </c>
      <c r="V70">
        <v>0.96</v>
      </c>
      <c r="W70" t="s">
        <v>171</v>
      </c>
      <c r="X70">
        <v>0.20677972280000001</v>
      </c>
      <c r="Y70">
        <v>0.05</v>
      </c>
      <c r="Z70">
        <v>1230</v>
      </c>
      <c r="AA70" t="s">
        <v>171</v>
      </c>
      <c r="AB70">
        <v>67.650000000000006</v>
      </c>
      <c r="AC70">
        <v>3.97</v>
      </c>
      <c r="AD70" t="s">
        <v>171</v>
      </c>
      <c r="AE70">
        <v>0.48342797624000006</v>
      </c>
      <c r="AF70">
        <v>1.9</v>
      </c>
      <c r="AG70" t="s">
        <v>171</v>
      </c>
      <c r="AH70">
        <v>0.33919642789999999</v>
      </c>
      <c r="AI70">
        <v>5.87</v>
      </c>
      <c r="AJ70" t="s">
        <v>171</v>
      </c>
      <c r="AK70">
        <v>1.1204071260199999</v>
      </c>
      <c r="AL70">
        <v>1224</v>
      </c>
      <c r="AM70" t="s">
        <v>493</v>
      </c>
      <c r="AN70">
        <f>AM70*I70*V70</f>
        <v>18.962151541201006</v>
      </c>
      <c r="AY70">
        <v>21.121121121121099</v>
      </c>
    </row>
    <row r="71" spans="1:51" x14ac:dyDescent="0.15">
      <c r="A71" t="s">
        <v>195</v>
      </c>
      <c r="B71" t="s">
        <v>186</v>
      </c>
      <c r="C71" t="s">
        <v>81</v>
      </c>
      <c r="D71" t="s">
        <v>346</v>
      </c>
      <c r="E71" t="s">
        <v>394</v>
      </c>
      <c r="F71" t="s">
        <v>27</v>
      </c>
      <c r="G71" t="s">
        <v>176</v>
      </c>
      <c r="H71">
        <v>35</v>
      </c>
      <c r="I71">
        <v>20</v>
      </c>
      <c r="J71">
        <v>4.7</v>
      </c>
      <c r="K71" t="s">
        <v>171</v>
      </c>
      <c r="L71">
        <v>0.2</v>
      </c>
      <c r="M71">
        <v>112</v>
      </c>
      <c r="N71" t="s">
        <v>171</v>
      </c>
      <c r="O71">
        <v>11.012792982000001</v>
      </c>
      <c r="P71">
        <v>44</v>
      </c>
      <c r="Q71" t="s">
        <v>171</v>
      </c>
      <c r="R71">
        <v>3.5639769339999994</v>
      </c>
      <c r="S71">
        <v>0.68</v>
      </c>
      <c r="T71" t="s">
        <v>171</v>
      </c>
      <c r="U71">
        <v>0.18570215439999999</v>
      </c>
      <c r="V71">
        <v>0.61</v>
      </c>
      <c r="W71" t="s">
        <v>171</v>
      </c>
      <c r="X71">
        <v>0.18043276229999999</v>
      </c>
      <c r="Y71">
        <v>7.0000000000000007E-2</v>
      </c>
      <c r="Z71">
        <v>480</v>
      </c>
      <c r="AA71" t="s">
        <v>171</v>
      </c>
      <c r="AB71">
        <v>26.4</v>
      </c>
      <c r="AC71">
        <v>0.65</v>
      </c>
      <c r="AD71" t="s">
        <v>171</v>
      </c>
      <c r="AE71">
        <v>0.24418681079999999</v>
      </c>
      <c r="AF71">
        <v>1.43</v>
      </c>
      <c r="AG71" t="s">
        <v>171</v>
      </c>
      <c r="AH71">
        <v>0.27331249952999997</v>
      </c>
      <c r="AI71">
        <v>2.08</v>
      </c>
      <c r="AJ71" t="s">
        <v>171</v>
      </c>
      <c r="AK71">
        <v>0.98966862767999997</v>
      </c>
      <c r="AL71">
        <v>478</v>
      </c>
    </row>
    <row r="72" spans="1:51" x14ac:dyDescent="0.15">
      <c r="A72" t="s">
        <v>195</v>
      </c>
      <c r="B72" t="s">
        <v>196</v>
      </c>
      <c r="C72" t="s">
        <v>97</v>
      </c>
      <c r="D72" t="s">
        <v>346</v>
      </c>
      <c r="E72" t="s">
        <v>70</v>
      </c>
      <c r="F72" t="s">
        <v>70</v>
      </c>
      <c r="G72" t="s">
        <v>177</v>
      </c>
      <c r="H72">
        <v>3.75</v>
      </c>
      <c r="I72">
        <v>7.5</v>
      </c>
      <c r="J72">
        <v>4.4000000000000004</v>
      </c>
      <c r="K72" t="s">
        <v>171</v>
      </c>
      <c r="L72">
        <v>0.2</v>
      </c>
      <c r="M72">
        <v>130</v>
      </c>
      <c r="N72" t="s">
        <v>171</v>
      </c>
      <c r="O72">
        <v>12.503624838</v>
      </c>
      <c r="P72">
        <v>187</v>
      </c>
      <c r="Q72" t="s">
        <v>171</v>
      </c>
      <c r="R72">
        <v>16.189725926999998</v>
      </c>
      <c r="S72">
        <v>1.4</v>
      </c>
      <c r="T72" t="s">
        <v>171</v>
      </c>
      <c r="U72">
        <v>0.23990161599999998</v>
      </c>
      <c r="V72">
        <v>1.3</v>
      </c>
      <c r="W72" t="s">
        <v>171</v>
      </c>
      <c r="X72">
        <v>0.23237391299999999</v>
      </c>
      <c r="Y72">
        <v>0.1</v>
      </c>
      <c r="Z72">
        <v>1140</v>
      </c>
      <c r="AA72" t="s">
        <v>171</v>
      </c>
      <c r="AB72">
        <v>62.7</v>
      </c>
      <c r="AC72">
        <v>8.73</v>
      </c>
      <c r="AD72" t="s">
        <v>171</v>
      </c>
      <c r="AE72">
        <v>0.82643639416000003</v>
      </c>
      <c r="AF72">
        <v>4.3499999999999996</v>
      </c>
      <c r="AG72" t="s">
        <v>171</v>
      </c>
      <c r="AH72">
        <v>0.68263392685000002</v>
      </c>
      <c r="AI72">
        <v>13.08</v>
      </c>
      <c r="AJ72" t="s">
        <v>171</v>
      </c>
      <c r="AK72">
        <v>1.36912073368</v>
      </c>
      <c r="AL72">
        <v>1127</v>
      </c>
      <c r="AT72">
        <v>30</v>
      </c>
      <c r="AU72">
        <v>180.48890195428825</v>
      </c>
      <c r="AV72">
        <v>6.0162967318096081</v>
      </c>
      <c r="AW72">
        <v>93.004869477621483</v>
      </c>
      <c r="AX72">
        <v>3.1001623159207159</v>
      </c>
      <c r="AY72">
        <v>12.712712712712699</v>
      </c>
    </row>
    <row r="73" spans="1:51" x14ac:dyDescent="0.15">
      <c r="A73" t="s">
        <v>195</v>
      </c>
      <c r="B73" t="s">
        <v>196</v>
      </c>
      <c r="C73" t="s">
        <v>97</v>
      </c>
      <c r="D73" t="s">
        <v>346</v>
      </c>
      <c r="E73" t="s">
        <v>70</v>
      </c>
      <c r="F73" t="s">
        <v>70</v>
      </c>
      <c r="G73" t="s">
        <v>175</v>
      </c>
      <c r="H73">
        <v>16.25</v>
      </c>
      <c r="I73">
        <v>17.5</v>
      </c>
      <c r="J73">
        <v>4.5</v>
      </c>
      <c r="K73" t="s">
        <v>171</v>
      </c>
      <c r="L73">
        <v>0.2</v>
      </c>
      <c r="M73">
        <v>106</v>
      </c>
      <c r="N73" t="s">
        <v>171</v>
      </c>
      <c r="O73">
        <v>10.515849029999998</v>
      </c>
      <c r="P73">
        <v>107</v>
      </c>
      <c r="Q73" t="s">
        <v>171</v>
      </c>
      <c r="R73">
        <v>9.1263698469999994</v>
      </c>
      <c r="S73">
        <v>0.74</v>
      </c>
      <c r="T73" t="s">
        <v>171</v>
      </c>
      <c r="U73">
        <v>0.19021877619999999</v>
      </c>
      <c r="V73">
        <v>0.7</v>
      </c>
      <c r="W73" t="s">
        <v>171</v>
      </c>
      <c r="X73">
        <v>0.18720769500000001</v>
      </c>
      <c r="Y73">
        <v>0.04</v>
      </c>
      <c r="Z73">
        <v>960</v>
      </c>
      <c r="AA73" t="s">
        <v>171</v>
      </c>
      <c r="AB73">
        <v>52.8</v>
      </c>
      <c r="AC73">
        <v>3.38</v>
      </c>
      <c r="AD73" t="s">
        <v>171</v>
      </c>
      <c r="AE73">
        <v>0.44091222695999999</v>
      </c>
      <c r="AF73">
        <v>1.54</v>
      </c>
      <c r="AG73" t="s">
        <v>171</v>
      </c>
      <c r="AH73">
        <v>0.28873214234</v>
      </c>
      <c r="AI73">
        <v>4.92</v>
      </c>
      <c r="AJ73" t="s">
        <v>171</v>
      </c>
      <c r="AK73">
        <v>1.08763626232</v>
      </c>
      <c r="AL73">
        <v>955</v>
      </c>
      <c r="AM73" t="s">
        <v>494</v>
      </c>
      <c r="AN73">
        <f>AM73*I73*V73</f>
        <v>13.84432027508292</v>
      </c>
      <c r="AY73">
        <v>13.7137137137137</v>
      </c>
    </row>
    <row r="74" spans="1:51" x14ac:dyDescent="0.15">
      <c r="A74" t="s">
        <v>195</v>
      </c>
      <c r="B74" t="s">
        <v>196</v>
      </c>
      <c r="C74" t="s">
        <v>97</v>
      </c>
      <c r="D74" t="s">
        <v>346</v>
      </c>
      <c r="E74" t="s">
        <v>70</v>
      </c>
      <c r="F74" t="s">
        <v>70</v>
      </c>
      <c r="G74" t="s">
        <v>176</v>
      </c>
      <c r="H74">
        <v>35</v>
      </c>
      <c r="I74">
        <v>20</v>
      </c>
      <c r="J74">
        <v>4.5</v>
      </c>
      <c r="K74" t="s">
        <v>171</v>
      </c>
      <c r="L74">
        <v>0.2</v>
      </c>
      <c r="M74">
        <v>85</v>
      </c>
      <c r="N74" t="s">
        <v>171</v>
      </c>
      <c r="O74">
        <v>8.7765451980000009</v>
      </c>
      <c r="P74">
        <v>65</v>
      </c>
      <c r="Q74" t="s">
        <v>171</v>
      </c>
      <c r="R74">
        <v>5.4181079050000003</v>
      </c>
      <c r="S74">
        <v>0.52</v>
      </c>
      <c r="T74" t="s">
        <v>171</v>
      </c>
      <c r="U74">
        <v>0.17365782960000001</v>
      </c>
      <c r="V74">
        <v>0.41</v>
      </c>
      <c r="W74" t="s">
        <v>171</v>
      </c>
      <c r="X74">
        <v>0.1653773563</v>
      </c>
      <c r="Y74">
        <v>0.11</v>
      </c>
      <c r="Z74">
        <v>660</v>
      </c>
      <c r="AA74" t="s">
        <v>171</v>
      </c>
      <c r="AB74">
        <v>36.299999999999997</v>
      </c>
      <c r="AC74">
        <v>0.46</v>
      </c>
      <c r="AD74" t="s">
        <v>171</v>
      </c>
      <c r="AE74">
        <v>0.23049529831999999</v>
      </c>
      <c r="AF74">
        <v>1.05</v>
      </c>
      <c r="AG74" t="s">
        <v>171</v>
      </c>
      <c r="AH74">
        <v>0.22004464255</v>
      </c>
      <c r="AI74">
        <v>1.51</v>
      </c>
      <c r="AJ74" t="s">
        <v>171</v>
      </c>
      <c r="AK74">
        <v>0.97000610945999999</v>
      </c>
      <c r="AL74">
        <v>658</v>
      </c>
    </row>
    <row r="75" spans="1:51" x14ac:dyDescent="0.15">
      <c r="A75" t="s">
        <v>195</v>
      </c>
      <c r="B75" t="s">
        <v>197</v>
      </c>
      <c r="C75" t="s">
        <v>97</v>
      </c>
      <c r="D75" t="s">
        <v>346</v>
      </c>
      <c r="E75" t="s">
        <v>70</v>
      </c>
      <c r="F75" t="s">
        <v>70</v>
      </c>
      <c r="G75" t="s">
        <v>21</v>
      </c>
      <c r="H75">
        <v>52.5</v>
      </c>
      <c r="I75">
        <v>15</v>
      </c>
      <c r="J75">
        <v>4.5</v>
      </c>
      <c r="K75" t="s">
        <v>171</v>
      </c>
      <c r="L75">
        <v>0.2</v>
      </c>
      <c r="M75">
        <v>118</v>
      </c>
      <c r="N75" t="s">
        <v>171</v>
      </c>
      <c r="O75">
        <v>11.509736933999999</v>
      </c>
      <c r="P75">
        <v>65</v>
      </c>
      <c r="Q75" t="s">
        <v>171</v>
      </c>
      <c r="R75">
        <v>5.4181079050000003</v>
      </c>
      <c r="S75">
        <v>0.38</v>
      </c>
      <c r="T75" t="s">
        <v>171</v>
      </c>
      <c r="U75">
        <v>0.1631190454</v>
      </c>
      <c r="V75">
        <v>0.3</v>
      </c>
      <c r="W75" t="s">
        <v>171</v>
      </c>
      <c r="X75">
        <v>0.15709688299999999</v>
      </c>
      <c r="Y75">
        <v>0.08</v>
      </c>
      <c r="Z75">
        <v>410</v>
      </c>
      <c r="AA75" t="s">
        <v>171</v>
      </c>
      <c r="AB75">
        <v>22.55</v>
      </c>
      <c r="AC75">
        <v>0.23</v>
      </c>
      <c r="AD75" t="s">
        <v>171</v>
      </c>
      <c r="AE75">
        <v>0.21392136215999999</v>
      </c>
      <c r="AF75">
        <v>1.58</v>
      </c>
      <c r="AG75" t="s">
        <v>171</v>
      </c>
      <c r="AH75">
        <v>0.29433928518000002</v>
      </c>
      <c r="AI75">
        <v>1.81</v>
      </c>
      <c r="AJ75" t="s">
        <v>171</v>
      </c>
      <c r="AK75">
        <v>0.98035480325999991</v>
      </c>
      <c r="AL75">
        <v>408</v>
      </c>
    </row>
    <row r="76" spans="1:51" x14ac:dyDescent="0.15">
      <c r="A76" t="s">
        <v>195</v>
      </c>
      <c r="B76" t="s">
        <v>198</v>
      </c>
      <c r="C76" t="s">
        <v>97</v>
      </c>
      <c r="D76" t="s">
        <v>346</v>
      </c>
      <c r="E76" t="s">
        <v>70</v>
      </c>
      <c r="F76" t="s">
        <v>70</v>
      </c>
      <c r="G76" t="s">
        <v>177</v>
      </c>
      <c r="H76">
        <v>3.75</v>
      </c>
      <c r="I76">
        <v>7.5</v>
      </c>
      <c r="J76">
        <v>4.3</v>
      </c>
      <c r="K76" t="s">
        <v>171</v>
      </c>
      <c r="L76">
        <v>0.2</v>
      </c>
      <c r="M76">
        <v>141</v>
      </c>
      <c r="N76" t="s">
        <v>171</v>
      </c>
      <c r="O76">
        <v>13.41468875</v>
      </c>
      <c r="P76">
        <v>189</v>
      </c>
      <c r="Q76" t="s">
        <v>171</v>
      </c>
      <c r="R76">
        <v>16.366309828999999</v>
      </c>
      <c r="S76">
        <v>1.1100000000000001</v>
      </c>
      <c r="T76" t="s">
        <v>171</v>
      </c>
      <c r="U76">
        <v>0.2180712773</v>
      </c>
      <c r="V76">
        <v>1.1100000000000001</v>
      </c>
      <c r="W76" t="s">
        <v>171</v>
      </c>
      <c r="X76">
        <v>0.2180712773</v>
      </c>
      <c r="Y76">
        <v>0</v>
      </c>
      <c r="Z76">
        <v>1230</v>
      </c>
      <c r="AA76" t="s">
        <v>171</v>
      </c>
      <c r="AB76">
        <v>67.650000000000006</v>
      </c>
      <c r="AC76">
        <v>7.51</v>
      </c>
      <c r="AD76" t="s">
        <v>171</v>
      </c>
      <c r="AE76">
        <v>0.73852247191999998</v>
      </c>
      <c r="AF76">
        <v>4.45</v>
      </c>
      <c r="AG76" t="s">
        <v>171</v>
      </c>
      <c r="AH76">
        <v>0.69665178395000005</v>
      </c>
      <c r="AI76">
        <v>11.96</v>
      </c>
      <c r="AJ76" t="s">
        <v>171</v>
      </c>
      <c r="AK76">
        <v>1.33048561016</v>
      </c>
      <c r="AL76">
        <v>1218</v>
      </c>
      <c r="AT76">
        <v>30</v>
      </c>
      <c r="AU76">
        <v>207.83953838745563</v>
      </c>
      <c r="AV76">
        <v>6.9279846129151874</v>
      </c>
      <c r="AW76">
        <v>107.09849154553596</v>
      </c>
      <c r="AX76">
        <v>3.5699497181845321</v>
      </c>
    </row>
    <row r="77" spans="1:51" x14ac:dyDescent="0.15">
      <c r="A77" t="s">
        <v>194</v>
      </c>
      <c r="B77" t="s">
        <v>199</v>
      </c>
      <c r="C77" t="s">
        <v>97</v>
      </c>
      <c r="D77" t="s">
        <v>346</v>
      </c>
      <c r="E77" t="s">
        <v>70</v>
      </c>
      <c r="F77" t="s">
        <v>70</v>
      </c>
      <c r="G77" t="s">
        <v>175</v>
      </c>
      <c r="H77">
        <v>16.25</v>
      </c>
      <c r="I77">
        <v>17.5</v>
      </c>
      <c r="J77">
        <v>4.4000000000000004</v>
      </c>
      <c r="K77" t="s">
        <v>171</v>
      </c>
      <c r="L77">
        <v>0.2</v>
      </c>
      <c r="M77">
        <v>114</v>
      </c>
      <c r="N77" t="s">
        <v>171</v>
      </c>
      <c r="O77">
        <v>11.178440966</v>
      </c>
      <c r="P77">
        <v>116</v>
      </c>
      <c r="Q77" t="s">
        <v>171</v>
      </c>
      <c r="R77">
        <v>9.9209974059999997</v>
      </c>
      <c r="S77">
        <v>0.79</v>
      </c>
      <c r="T77" t="s">
        <v>171</v>
      </c>
      <c r="U77">
        <v>0.19398262769999999</v>
      </c>
      <c r="V77">
        <v>0.73</v>
      </c>
      <c r="W77" t="s">
        <v>171</v>
      </c>
      <c r="X77">
        <v>0.18946600590000001</v>
      </c>
      <c r="Y77">
        <v>0.06</v>
      </c>
      <c r="Z77">
        <v>940</v>
      </c>
      <c r="AA77" t="s">
        <v>171</v>
      </c>
      <c r="AB77">
        <v>51.7</v>
      </c>
      <c r="AC77">
        <v>3.08</v>
      </c>
      <c r="AD77" t="s">
        <v>171</v>
      </c>
      <c r="AE77">
        <v>0.41929404936000003</v>
      </c>
      <c r="AF77">
        <v>5.7</v>
      </c>
      <c r="AG77" t="s">
        <v>171</v>
      </c>
      <c r="AH77">
        <v>0.8718749977000001</v>
      </c>
      <c r="AI77">
        <v>8.7799999999999994</v>
      </c>
      <c r="AJ77" t="s">
        <v>171</v>
      </c>
      <c r="AK77">
        <v>1.2207894558799999</v>
      </c>
      <c r="AL77">
        <v>931</v>
      </c>
      <c r="AM77" t="s">
        <v>495</v>
      </c>
      <c r="AN77">
        <f>AM77*I77*V77</f>
        <v>13.417593638708119</v>
      </c>
      <c r="AY77">
        <v>13.7137137137137</v>
      </c>
    </row>
    <row r="78" spans="1:51" x14ac:dyDescent="0.15">
      <c r="A78" t="s">
        <v>195</v>
      </c>
      <c r="B78" t="s">
        <v>199</v>
      </c>
      <c r="C78" t="s">
        <v>97</v>
      </c>
      <c r="D78" t="s">
        <v>346</v>
      </c>
      <c r="E78" t="s">
        <v>70</v>
      </c>
      <c r="F78" t="s">
        <v>70</v>
      </c>
      <c r="G78" t="s">
        <v>176</v>
      </c>
      <c r="H78">
        <v>35</v>
      </c>
      <c r="I78">
        <v>20</v>
      </c>
      <c r="J78">
        <v>4.4000000000000004</v>
      </c>
      <c r="K78" t="s">
        <v>171</v>
      </c>
      <c r="L78">
        <v>0.2</v>
      </c>
      <c r="M78">
        <v>122</v>
      </c>
      <c r="N78" t="s">
        <v>171</v>
      </c>
      <c r="O78">
        <v>11.841032901999998</v>
      </c>
      <c r="P78">
        <v>75</v>
      </c>
      <c r="Q78" t="s">
        <v>171</v>
      </c>
      <c r="R78">
        <v>6.3010274150000001</v>
      </c>
      <c r="S78">
        <v>0.45</v>
      </c>
      <c r="T78" t="s">
        <v>171</v>
      </c>
      <c r="U78">
        <v>0.16838843749999999</v>
      </c>
      <c r="V78">
        <v>0.44</v>
      </c>
      <c r="W78" t="s">
        <v>171</v>
      </c>
      <c r="X78">
        <v>0.1676356672</v>
      </c>
      <c r="Y78">
        <v>0.01</v>
      </c>
      <c r="Z78">
        <v>350</v>
      </c>
      <c r="AA78" t="s">
        <v>171</v>
      </c>
      <c r="AB78">
        <v>19.25</v>
      </c>
      <c r="AC78">
        <v>0.72</v>
      </c>
      <c r="AD78" t="s">
        <v>171</v>
      </c>
      <c r="AE78">
        <v>0.24923105224</v>
      </c>
      <c r="AF78">
        <v>4.1399999999999997</v>
      </c>
      <c r="AG78" t="s">
        <v>171</v>
      </c>
      <c r="AH78">
        <v>0.65319642694000002</v>
      </c>
      <c r="AI78">
        <v>4.8600000000000003</v>
      </c>
      <c r="AJ78" t="s">
        <v>171</v>
      </c>
      <c r="AK78">
        <v>1.0855665235600001</v>
      </c>
      <c r="AL78">
        <v>345</v>
      </c>
    </row>
    <row r="79" spans="1:51" x14ac:dyDescent="0.15">
      <c r="A79" t="s">
        <v>195</v>
      </c>
      <c r="B79" t="s">
        <v>198</v>
      </c>
      <c r="C79" t="s">
        <v>97</v>
      </c>
      <c r="D79" t="s">
        <v>346</v>
      </c>
      <c r="E79" t="s">
        <v>70</v>
      </c>
      <c r="F79" t="s">
        <v>70</v>
      </c>
      <c r="G79" t="s">
        <v>21</v>
      </c>
      <c r="H79">
        <v>52.5</v>
      </c>
      <c r="I79">
        <v>15</v>
      </c>
      <c r="J79">
        <v>4.3</v>
      </c>
      <c r="K79" t="s">
        <v>171</v>
      </c>
      <c r="L79">
        <v>0.2</v>
      </c>
      <c r="M79">
        <v>64</v>
      </c>
      <c r="N79" t="s">
        <v>171</v>
      </c>
      <c r="O79">
        <v>7.0372413659999999</v>
      </c>
      <c r="P79">
        <v>80</v>
      </c>
      <c r="Q79" t="s">
        <v>171</v>
      </c>
      <c r="R79">
        <v>6.7424871699999995</v>
      </c>
      <c r="S79">
        <v>0.37</v>
      </c>
      <c r="T79" t="s">
        <v>171</v>
      </c>
      <c r="U79">
        <v>0.16236627510000001</v>
      </c>
      <c r="V79">
        <v>0.36</v>
      </c>
      <c r="W79" t="s">
        <v>171</v>
      </c>
      <c r="X79">
        <v>0.1616135048</v>
      </c>
      <c r="Y79">
        <v>0.01</v>
      </c>
      <c r="Z79">
        <v>630</v>
      </c>
      <c r="AA79" t="s">
        <v>171</v>
      </c>
      <c r="AB79">
        <v>34.65</v>
      </c>
      <c r="AC79">
        <v>1.2999999999999999E-2</v>
      </c>
      <c r="AD79" t="s">
        <v>171</v>
      </c>
      <c r="AE79">
        <v>0.19828421369599999</v>
      </c>
      <c r="AF79">
        <v>1.07</v>
      </c>
      <c r="AG79" t="s">
        <v>171</v>
      </c>
      <c r="AH79">
        <v>0.22284821396999999</v>
      </c>
      <c r="AI79">
        <v>1.08</v>
      </c>
      <c r="AJ79" t="s">
        <v>171</v>
      </c>
      <c r="AK79">
        <v>0.95517298167999998</v>
      </c>
      <c r="AL79">
        <v>629</v>
      </c>
    </row>
    <row r="80" spans="1:51" x14ac:dyDescent="0.15">
      <c r="A80" t="s">
        <v>195</v>
      </c>
      <c r="B80" t="s">
        <v>200</v>
      </c>
      <c r="C80" t="s">
        <v>97</v>
      </c>
      <c r="D80" t="s">
        <v>346</v>
      </c>
      <c r="E80" t="s">
        <v>70</v>
      </c>
      <c r="F80" t="s">
        <v>70</v>
      </c>
      <c r="G80" t="s">
        <v>177</v>
      </c>
      <c r="H80">
        <v>3.75</v>
      </c>
      <c r="I80">
        <v>7.5</v>
      </c>
      <c r="J80">
        <v>4.4000000000000004</v>
      </c>
      <c r="K80" t="s">
        <v>171</v>
      </c>
      <c r="L80">
        <v>0.2</v>
      </c>
      <c r="M80">
        <v>98</v>
      </c>
      <c r="N80" t="s">
        <v>171</v>
      </c>
      <c r="O80">
        <v>9.8532570939999999</v>
      </c>
      <c r="P80">
        <v>174</v>
      </c>
      <c r="Q80" t="s">
        <v>171</v>
      </c>
      <c r="R80">
        <v>15.041930563999999</v>
      </c>
      <c r="S80">
        <v>1.18</v>
      </c>
      <c r="T80" t="s">
        <v>171</v>
      </c>
      <c r="U80">
        <v>0.2233406694</v>
      </c>
      <c r="V80">
        <v>1.1399999999999999</v>
      </c>
      <c r="W80" t="s">
        <v>171</v>
      </c>
      <c r="X80">
        <v>0.22032958819999998</v>
      </c>
      <c r="Y80">
        <v>0.04</v>
      </c>
      <c r="Z80">
        <v>1180</v>
      </c>
      <c r="AA80" t="s">
        <v>171</v>
      </c>
      <c r="AB80">
        <v>64.900000000000006</v>
      </c>
      <c r="AC80">
        <v>7.21</v>
      </c>
      <c r="AD80" t="s">
        <v>171</v>
      </c>
      <c r="AE80">
        <v>0.71690429432000002</v>
      </c>
      <c r="AF80">
        <v>2.66</v>
      </c>
      <c r="AG80" t="s">
        <v>171</v>
      </c>
      <c r="AH80">
        <v>0.44573214186000004</v>
      </c>
      <c r="AI80">
        <v>9.8699999999999992</v>
      </c>
      <c r="AJ80" t="s">
        <v>171</v>
      </c>
      <c r="AK80">
        <v>1.2583897100199999</v>
      </c>
      <c r="AL80">
        <v>1170</v>
      </c>
      <c r="AT80">
        <v>30</v>
      </c>
      <c r="AU80">
        <v>209.25355128881671</v>
      </c>
      <c r="AV80">
        <v>6.9751183762938904</v>
      </c>
      <c r="AW80">
        <v>107.82712407588438</v>
      </c>
      <c r="AX80">
        <v>3.5942374691961461</v>
      </c>
      <c r="AY80">
        <v>12.712712712712699</v>
      </c>
    </row>
    <row r="81" spans="1:51" x14ac:dyDescent="0.15">
      <c r="A81" t="s">
        <v>195</v>
      </c>
      <c r="B81" t="s">
        <v>200</v>
      </c>
      <c r="C81" t="s">
        <v>97</v>
      </c>
      <c r="D81" t="s">
        <v>346</v>
      </c>
      <c r="E81" t="s">
        <v>70</v>
      </c>
      <c r="F81" t="s">
        <v>70</v>
      </c>
      <c r="G81" t="s">
        <v>175</v>
      </c>
      <c r="H81">
        <v>16.25</v>
      </c>
      <c r="I81">
        <v>17.5</v>
      </c>
      <c r="J81">
        <v>4.4000000000000004</v>
      </c>
      <c r="K81" t="s">
        <v>171</v>
      </c>
      <c r="L81">
        <v>0.2</v>
      </c>
      <c r="M81">
        <v>79</v>
      </c>
      <c r="N81" t="s">
        <v>171</v>
      </c>
      <c r="O81">
        <v>8.2796012460000004</v>
      </c>
      <c r="P81">
        <v>108</v>
      </c>
      <c r="Q81" t="s">
        <v>171</v>
      </c>
      <c r="R81">
        <v>9.2146617979999998</v>
      </c>
      <c r="S81">
        <v>0.75</v>
      </c>
      <c r="T81" t="s">
        <v>171</v>
      </c>
      <c r="U81">
        <v>0.19097154650000001</v>
      </c>
      <c r="V81">
        <v>0.67</v>
      </c>
      <c r="W81" t="s">
        <v>171</v>
      </c>
      <c r="X81">
        <v>0.1849493841</v>
      </c>
      <c r="Y81">
        <v>0.08</v>
      </c>
      <c r="Z81">
        <v>820</v>
      </c>
      <c r="AA81" t="s">
        <v>171</v>
      </c>
      <c r="AB81">
        <v>45.1</v>
      </c>
      <c r="AC81">
        <v>2.25</v>
      </c>
      <c r="AD81" t="s">
        <v>171</v>
      </c>
      <c r="AE81">
        <v>0.35948375799999999</v>
      </c>
      <c r="AF81">
        <v>1.88</v>
      </c>
      <c r="AG81" t="s">
        <v>171</v>
      </c>
      <c r="AH81">
        <v>0.33639285648</v>
      </c>
      <c r="AI81">
        <v>4.13</v>
      </c>
      <c r="AJ81" t="s">
        <v>171</v>
      </c>
      <c r="AK81">
        <v>1.0603847019799999</v>
      </c>
      <c r="AL81">
        <v>816</v>
      </c>
      <c r="AM81" t="s">
        <v>496</v>
      </c>
      <c r="AN81">
        <f>AM81*I81*V81</f>
        <v>10.509735355520075</v>
      </c>
      <c r="AY81">
        <v>13.7137137137137</v>
      </c>
    </row>
    <row r="82" spans="1:51" x14ac:dyDescent="0.15">
      <c r="A82" t="s">
        <v>195</v>
      </c>
      <c r="B82" t="s">
        <v>200</v>
      </c>
      <c r="C82" t="s">
        <v>97</v>
      </c>
      <c r="D82" t="s">
        <v>346</v>
      </c>
      <c r="E82" t="s">
        <v>70</v>
      </c>
      <c r="F82" t="s">
        <v>70</v>
      </c>
      <c r="G82" t="s">
        <v>176</v>
      </c>
      <c r="H82">
        <v>35</v>
      </c>
      <c r="I82">
        <v>20</v>
      </c>
      <c r="J82">
        <v>4.5999999999999996</v>
      </c>
      <c r="K82" t="s">
        <v>171</v>
      </c>
      <c r="L82">
        <v>0.2</v>
      </c>
      <c r="M82">
        <v>98</v>
      </c>
      <c r="N82" t="s">
        <v>171</v>
      </c>
      <c r="O82">
        <v>9.8532570939999999</v>
      </c>
      <c r="P82">
        <v>68</v>
      </c>
      <c r="Q82" t="s">
        <v>171</v>
      </c>
      <c r="R82">
        <v>5.6829837579999998</v>
      </c>
      <c r="S82">
        <v>0.43</v>
      </c>
      <c r="T82" t="s">
        <v>171</v>
      </c>
      <c r="U82">
        <v>0.16688289689999999</v>
      </c>
      <c r="V82">
        <v>0.41</v>
      </c>
      <c r="W82" t="s">
        <v>171</v>
      </c>
      <c r="X82">
        <v>0.1653773563</v>
      </c>
      <c r="Y82">
        <v>0.02</v>
      </c>
      <c r="Z82">
        <v>680</v>
      </c>
      <c r="AA82" t="s">
        <v>171</v>
      </c>
      <c r="AB82">
        <v>37.4</v>
      </c>
      <c r="AC82">
        <v>0.86</v>
      </c>
      <c r="AD82" t="s">
        <v>171</v>
      </c>
      <c r="AE82">
        <v>0.25931953512</v>
      </c>
      <c r="AF82">
        <v>1.1399999999999999</v>
      </c>
      <c r="AG82" t="s">
        <v>171</v>
      </c>
      <c r="AH82">
        <v>0.23266071393999999</v>
      </c>
      <c r="AI82">
        <v>2</v>
      </c>
      <c r="AJ82" t="s">
        <v>171</v>
      </c>
      <c r="AK82">
        <v>0.98690897599999994</v>
      </c>
      <c r="AL82">
        <v>678</v>
      </c>
    </row>
    <row r="83" spans="1:51" x14ac:dyDescent="0.15">
      <c r="A83" t="s">
        <v>195</v>
      </c>
      <c r="B83" t="s">
        <v>200</v>
      </c>
      <c r="C83" t="s">
        <v>97</v>
      </c>
      <c r="D83" t="s">
        <v>346</v>
      </c>
      <c r="E83" t="s">
        <v>70</v>
      </c>
      <c r="F83" t="s">
        <v>70</v>
      </c>
      <c r="G83" t="s">
        <v>21</v>
      </c>
      <c r="H83">
        <v>52.5</v>
      </c>
      <c r="I83">
        <v>15</v>
      </c>
      <c r="J83">
        <v>4.7</v>
      </c>
      <c r="K83" t="s">
        <v>171</v>
      </c>
      <c r="L83">
        <v>0.2</v>
      </c>
      <c r="M83">
        <v>75</v>
      </c>
      <c r="N83" t="s">
        <v>171</v>
      </c>
      <c r="O83">
        <v>7.9483052780000003</v>
      </c>
      <c r="P83">
        <v>53</v>
      </c>
      <c r="Q83" t="s">
        <v>171</v>
      </c>
      <c r="R83">
        <v>4.3586044929999996</v>
      </c>
      <c r="S83">
        <v>0.39</v>
      </c>
      <c r="T83" t="s">
        <v>171</v>
      </c>
      <c r="U83">
        <v>0.16387181570000001</v>
      </c>
      <c r="V83">
        <v>0.37</v>
      </c>
      <c r="W83" t="s">
        <v>171</v>
      </c>
      <c r="X83">
        <v>0.16236627510000001</v>
      </c>
      <c r="Y83">
        <v>0.02</v>
      </c>
      <c r="Z83">
        <v>770</v>
      </c>
      <c r="AA83" t="s">
        <v>171</v>
      </c>
      <c r="AB83">
        <v>42.35</v>
      </c>
      <c r="AC83">
        <v>0.19</v>
      </c>
      <c r="AD83" t="s">
        <v>171</v>
      </c>
      <c r="AE83">
        <v>0.21103893847999999</v>
      </c>
      <c r="AF83">
        <v>1.06</v>
      </c>
      <c r="AG83" t="s">
        <v>171</v>
      </c>
      <c r="AH83">
        <v>0.22144642825999999</v>
      </c>
      <c r="AI83">
        <v>1.25</v>
      </c>
      <c r="AJ83" t="s">
        <v>171</v>
      </c>
      <c r="AK83">
        <v>0.96103724149999992</v>
      </c>
      <c r="AL83">
        <v>769</v>
      </c>
    </row>
    <row r="84" spans="1:51" x14ac:dyDescent="0.15">
      <c r="A84" t="s">
        <v>195</v>
      </c>
      <c r="B84" t="s">
        <v>98</v>
      </c>
      <c r="C84" t="s">
        <v>98</v>
      </c>
      <c r="D84" t="s">
        <v>350</v>
      </c>
      <c r="E84" t="s">
        <v>393</v>
      </c>
      <c r="G84" t="s">
        <v>177</v>
      </c>
      <c r="H84">
        <v>3.75</v>
      </c>
      <c r="I84">
        <v>7.5</v>
      </c>
      <c r="J84">
        <v>5.5</v>
      </c>
      <c r="K84" t="s">
        <v>171</v>
      </c>
      <c r="L84">
        <v>0.2</v>
      </c>
      <c r="M84">
        <v>128</v>
      </c>
      <c r="N84" t="s">
        <v>171</v>
      </c>
      <c r="O84">
        <v>12.337976854000001</v>
      </c>
      <c r="P84">
        <v>146</v>
      </c>
      <c r="Q84" t="s">
        <v>171</v>
      </c>
      <c r="R84">
        <v>12.569755936</v>
      </c>
      <c r="S84">
        <v>2.93</v>
      </c>
      <c r="T84" t="s">
        <v>171</v>
      </c>
      <c r="U84">
        <v>0.35507547189999999</v>
      </c>
      <c r="V84">
        <v>2.61</v>
      </c>
      <c r="W84" t="s">
        <v>171</v>
      </c>
      <c r="X84">
        <v>0.33098682229999998</v>
      </c>
      <c r="Y84">
        <v>0.32</v>
      </c>
      <c r="Z84">
        <v>2140</v>
      </c>
      <c r="AA84" t="s">
        <v>171</v>
      </c>
      <c r="AB84">
        <v>117.7</v>
      </c>
      <c r="AC84">
        <v>9.23</v>
      </c>
      <c r="AD84" t="s">
        <v>171</v>
      </c>
      <c r="AE84">
        <v>0.8624666901600001</v>
      </c>
      <c r="AF84">
        <v>2.1</v>
      </c>
      <c r="AG84" t="s">
        <v>171</v>
      </c>
      <c r="AH84">
        <v>0.36723214210000005</v>
      </c>
      <c r="AI84">
        <v>11.33</v>
      </c>
      <c r="AJ84" t="s">
        <v>171</v>
      </c>
      <c r="AK84">
        <v>1.30875335318</v>
      </c>
      <c r="AL84">
        <v>2129</v>
      </c>
    </row>
    <row r="85" spans="1:51" x14ac:dyDescent="0.15">
      <c r="A85" t="s">
        <v>195</v>
      </c>
      <c r="B85" t="s">
        <v>98</v>
      </c>
      <c r="C85" t="s">
        <v>98</v>
      </c>
      <c r="D85" t="s">
        <v>350</v>
      </c>
      <c r="E85" t="s">
        <v>393</v>
      </c>
      <c r="G85" t="s">
        <v>175</v>
      </c>
      <c r="H85">
        <v>16.25</v>
      </c>
      <c r="I85">
        <v>17.5</v>
      </c>
      <c r="J85">
        <v>6.3</v>
      </c>
      <c r="K85" t="s">
        <v>171</v>
      </c>
      <c r="L85">
        <v>0.2</v>
      </c>
      <c r="M85">
        <v>82</v>
      </c>
      <c r="N85" t="s">
        <v>171</v>
      </c>
      <c r="O85">
        <v>8.5280732219999997</v>
      </c>
      <c r="P85">
        <v>73</v>
      </c>
      <c r="Q85" t="s">
        <v>171</v>
      </c>
      <c r="R85">
        <v>6.1244435130000001</v>
      </c>
      <c r="S85">
        <v>1.4</v>
      </c>
      <c r="T85" t="s">
        <v>171</v>
      </c>
      <c r="U85">
        <v>0.23990161599999998</v>
      </c>
      <c r="V85">
        <v>1.33</v>
      </c>
      <c r="W85" t="s">
        <v>171</v>
      </c>
      <c r="X85">
        <v>0.23463222389999999</v>
      </c>
      <c r="Y85">
        <v>7.0000000000000007E-2</v>
      </c>
      <c r="Z85">
        <v>1360</v>
      </c>
      <c r="AA85" t="s">
        <v>171</v>
      </c>
      <c r="AB85">
        <v>74.8</v>
      </c>
      <c r="AC85">
        <v>7.51</v>
      </c>
      <c r="AD85" t="s">
        <v>171</v>
      </c>
      <c r="AE85">
        <v>0.73852247191999998</v>
      </c>
      <c r="AF85">
        <v>1.43</v>
      </c>
      <c r="AG85" t="s">
        <v>171</v>
      </c>
      <c r="AH85">
        <v>0.27331249952999997</v>
      </c>
      <c r="AI85">
        <v>8.94</v>
      </c>
      <c r="AJ85" t="s">
        <v>171</v>
      </c>
      <c r="AK85">
        <v>1.2263087592399999</v>
      </c>
      <c r="AL85">
        <v>1351</v>
      </c>
      <c r="AM85" t="s">
        <v>497</v>
      </c>
      <c r="AN85">
        <f>AM85*I85*V85</f>
        <v>26.573458798968332</v>
      </c>
    </row>
    <row r="86" spans="1:51" x14ac:dyDescent="0.15">
      <c r="A86" t="s">
        <v>195</v>
      </c>
      <c r="B86" t="s">
        <v>98</v>
      </c>
      <c r="C86" t="s">
        <v>98</v>
      </c>
      <c r="D86" t="s">
        <v>350</v>
      </c>
      <c r="E86" t="s">
        <v>393</v>
      </c>
      <c r="G86" t="s">
        <v>176</v>
      </c>
      <c r="H86">
        <v>35</v>
      </c>
      <c r="I86">
        <v>20</v>
      </c>
      <c r="J86">
        <v>7</v>
      </c>
      <c r="K86" t="s">
        <v>171</v>
      </c>
      <c r="L86">
        <v>0.2</v>
      </c>
      <c r="M86">
        <v>173</v>
      </c>
      <c r="N86" t="s">
        <v>171</v>
      </c>
      <c r="O86">
        <v>16.065056494</v>
      </c>
      <c r="P86">
        <v>65</v>
      </c>
      <c r="Q86" t="s">
        <v>171</v>
      </c>
      <c r="R86">
        <v>5.4181079050000003</v>
      </c>
      <c r="S86">
        <v>0.65</v>
      </c>
      <c r="T86" t="s">
        <v>171</v>
      </c>
      <c r="U86">
        <v>0.18344384350000001</v>
      </c>
      <c r="V86">
        <v>0.57999999999999996</v>
      </c>
      <c r="W86" t="s">
        <v>171</v>
      </c>
      <c r="X86">
        <v>0.17817445139999999</v>
      </c>
      <c r="Y86">
        <v>7.0000000000000007E-2</v>
      </c>
      <c r="Z86">
        <v>700</v>
      </c>
      <c r="AA86" t="s">
        <v>171</v>
      </c>
      <c r="AB86">
        <v>38.5</v>
      </c>
      <c r="AC86">
        <v>2.2599999999999998</v>
      </c>
      <c r="AD86" t="s">
        <v>171</v>
      </c>
      <c r="AE86">
        <v>0.36020436391999999</v>
      </c>
      <c r="AF86">
        <v>1.42</v>
      </c>
      <c r="AG86" t="s">
        <v>171</v>
      </c>
      <c r="AH86">
        <v>0.27191071381999998</v>
      </c>
      <c r="AI86">
        <v>3.68</v>
      </c>
      <c r="AJ86" t="s">
        <v>171</v>
      </c>
      <c r="AK86">
        <v>1.0448616612799999</v>
      </c>
      <c r="AL86">
        <v>696</v>
      </c>
    </row>
    <row r="87" spans="1:51" x14ac:dyDescent="0.15">
      <c r="A87" t="s">
        <v>195</v>
      </c>
      <c r="B87" t="s">
        <v>98</v>
      </c>
      <c r="C87" t="s">
        <v>98</v>
      </c>
      <c r="D87" t="s">
        <v>350</v>
      </c>
      <c r="E87" t="s">
        <v>393</v>
      </c>
      <c r="G87" t="s">
        <v>21</v>
      </c>
      <c r="H87">
        <v>52.5</v>
      </c>
      <c r="I87">
        <v>15</v>
      </c>
      <c r="J87">
        <v>7.6</v>
      </c>
      <c r="K87" t="s">
        <v>171</v>
      </c>
      <c r="L87">
        <v>0.2</v>
      </c>
      <c r="M87">
        <v>127</v>
      </c>
      <c r="N87" t="s">
        <v>171</v>
      </c>
      <c r="O87">
        <v>12.255152861999999</v>
      </c>
      <c r="P87">
        <v>76</v>
      </c>
      <c r="Q87" t="s">
        <v>171</v>
      </c>
      <c r="R87">
        <v>6.3893193659999996</v>
      </c>
      <c r="S87">
        <v>0.54</v>
      </c>
      <c r="T87" t="s">
        <v>171</v>
      </c>
      <c r="U87">
        <v>0.1751633702</v>
      </c>
      <c r="V87">
        <v>0.45</v>
      </c>
      <c r="W87" t="s">
        <v>171</v>
      </c>
      <c r="X87">
        <v>0.16838843749999999</v>
      </c>
      <c r="Y87">
        <v>0.09</v>
      </c>
      <c r="Z87">
        <v>420</v>
      </c>
      <c r="AA87" t="s">
        <v>171</v>
      </c>
      <c r="AB87">
        <v>23.1</v>
      </c>
      <c r="AC87">
        <v>0.55000000000000004</v>
      </c>
      <c r="AD87" t="s">
        <v>171</v>
      </c>
      <c r="AE87">
        <v>0.23698075159999998</v>
      </c>
      <c r="AF87">
        <v>1.35</v>
      </c>
      <c r="AG87" t="s">
        <v>171</v>
      </c>
      <c r="AH87">
        <v>0.26209821385000004</v>
      </c>
      <c r="AI87">
        <v>1.9</v>
      </c>
      <c r="AJ87" t="s">
        <v>171</v>
      </c>
      <c r="AK87">
        <v>0.98345941139999993</v>
      </c>
      <c r="AL87">
        <v>418</v>
      </c>
    </row>
    <row r="88" spans="1:51" x14ac:dyDescent="0.15">
      <c r="A88" t="s">
        <v>195</v>
      </c>
      <c r="B88" t="s">
        <v>201</v>
      </c>
      <c r="C88" t="s">
        <v>178</v>
      </c>
      <c r="D88" t="s">
        <v>348</v>
      </c>
      <c r="E88" t="s">
        <v>400</v>
      </c>
      <c r="F88" t="s">
        <v>400</v>
      </c>
      <c r="G88" t="s">
        <v>177</v>
      </c>
      <c r="H88">
        <v>3.75</v>
      </c>
      <c r="I88">
        <v>7.5</v>
      </c>
      <c r="J88">
        <v>4.8</v>
      </c>
      <c r="K88" t="s">
        <v>171</v>
      </c>
      <c r="L88">
        <v>0.2</v>
      </c>
      <c r="M88">
        <v>178</v>
      </c>
      <c r="N88" t="s">
        <v>171</v>
      </c>
      <c r="O88">
        <v>16.479176454000001</v>
      </c>
      <c r="P88">
        <v>94</v>
      </c>
      <c r="Q88" t="s">
        <v>171</v>
      </c>
      <c r="R88">
        <v>7.9785744839999992</v>
      </c>
      <c r="S88">
        <v>1.78</v>
      </c>
      <c r="T88" t="s">
        <v>171</v>
      </c>
      <c r="U88">
        <v>0.2685068874</v>
      </c>
      <c r="V88">
        <v>1.63</v>
      </c>
      <c r="W88" t="s">
        <v>171</v>
      </c>
      <c r="X88">
        <v>0.25721533289999998</v>
      </c>
      <c r="Y88">
        <v>0.15</v>
      </c>
      <c r="Z88">
        <v>1760</v>
      </c>
      <c r="AA88" t="s">
        <v>171</v>
      </c>
      <c r="AB88">
        <v>96.8</v>
      </c>
      <c r="AC88">
        <v>10.74</v>
      </c>
      <c r="AD88" t="s">
        <v>171</v>
      </c>
      <c r="AE88">
        <v>0.97127818408000011</v>
      </c>
      <c r="AF88">
        <v>1.29</v>
      </c>
      <c r="AG88" t="s">
        <v>171</v>
      </c>
      <c r="AH88">
        <v>0.25368749959000003</v>
      </c>
      <c r="AI88">
        <v>12.03</v>
      </c>
      <c r="AJ88" t="s">
        <v>171</v>
      </c>
      <c r="AK88">
        <v>1.3329003053799999</v>
      </c>
      <c r="AL88">
        <v>1748</v>
      </c>
      <c r="AM88" s="141">
        <f>AM89-((AM89-AM91)/(H89-H91))*H88</f>
        <v>1.1277153294383981</v>
      </c>
      <c r="AN88">
        <f>AM88*I88*V88</f>
        <v>13.786319902384417</v>
      </c>
      <c r="AY88">
        <v>13.76376376376375</v>
      </c>
    </row>
    <row r="89" spans="1:51" x14ac:dyDescent="0.15">
      <c r="A89" t="s">
        <v>195</v>
      </c>
      <c r="B89" t="s">
        <v>202</v>
      </c>
      <c r="C89" t="s">
        <v>178</v>
      </c>
      <c r="D89" t="s">
        <v>348</v>
      </c>
      <c r="E89" t="s">
        <v>400</v>
      </c>
      <c r="F89" t="s">
        <v>400</v>
      </c>
      <c r="G89" t="s">
        <v>175</v>
      </c>
      <c r="H89">
        <v>16.25</v>
      </c>
      <c r="I89">
        <v>17.5</v>
      </c>
      <c r="J89">
        <v>5.2</v>
      </c>
      <c r="K89" t="s">
        <v>171</v>
      </c>
      <c r="L89">
        <v>0.2</v>
      </c>
      <c r="M89">
        <v>163</v>
      </c>
      <c r="N89" t="s">
        <v>171</v>
      </c>
      <c r="O89">
        <v>15.236816573999999</v>
      </c>
      <c r="P89">
        <v>68</v>
      </c>
      <c r="Q89" t="s">
        <v>171</v>
      </c>
      <c r="R89">
        <v>5.6829837579999998</v>
      </c>
      <c r="S89">
        <v>1.55</v>
      </c>
      <c r="T89" t="s">
        <v>171</v>
      </c>
      <c r="U89">
        <v>0.25119317050000001</v>
      </c>
      <c r="V89">
        <v>1.46</v>
      </c>
      <c r="W89" t="s">
        <v>171</v>
      </c>
      <c r="X89">
        <v>0.24441823779999999</v>
      </c>
      <c r="Y89">
        <v>0.09</v>
      </c>
      <c r="Z89">
        <v>1530</v>
      </c>
      <c r="AA89" t="s">
        <v>171</v>
      </c>
      <c r="AB89">
        <v>84.15</v>
      </c>
      <c r="AC89">
        <v>8.8000000000000007</v>
      </c>
      <c r="AD89" t="s">
        <v>171</v>
      </c>
      <c r="AE89">
        <v>0.83148063560000007</v>
      </c>
      <c r="AF89">
        <v>1.17</v>
      </c>
      <c r="AG89" t="s">
        <v>171</v>
      </c>
      <c r="AH89">
        <v>0.23686607107000002</v>
      </c>
      <c r="AI89">
        <v>9.9700000000000006</v>
      </c>
      <c r="AJ89" t="s">
        <v>171</v>
      </c>
      <c r="AK89">
        <v>1.26183927462</v>
      </c>
      <c r="AL89">
        <v>1520</v>
      </c>
      <c r="AM89" t="s">
        <v>498</v>
      </c>
      <c r="AN89">
        <f>AM89*I89*V89</f>
        <v>30.011758565639312</v>
      </c>
    </row>
    <row r="90" spans="1:51" x14ac:dyDescent="0.15">
      <c r="A90" t="s">
        <v>195</v>
      </c>
      <c r="B90" t="s">
        <v>201</v>
      </c>
      <c r="C90" t="s">
        <v>178</v>
      </c>
      <c r="D90" t="s">
        <v>348</v>
      </c>
      <c r="E90" t="s">
        <v>400</v>
      </c>
      <c r="F90" t="s">
        <v>400</v>
      </c>
      <c r="G90" t="s">
        <v>176</v>
      </c>
      <c r="H90">
        <v>35</v>
      </c>
      <c r="I90">
        <v>20</v>
      </c>
      <c r="J90">
        <v>5.0999999999999996</v>
      </c>
      <c r="K90" t="s">
        <v>171</v>
      </c>
      <c r="L90">
        <v>0.2</v>
      </c>
      <c r="M90">
        <v>101</v>
      </c>
      <c r="N90" t="s">
        <v>171</v>
      </c>
      <c r="O90">
        <v>10.101729070000001</v>
      </c>
      <c r="P90">
        <v>55</v>
      </c>
      <c r="Q90" t="s">
        <v>171</v>
      </c>
      <c r="R90">
        <v>4.5351883949999996</v>
      </c>
      <c r="S90">
        <v>0.74</v>
      </c>
      <c r="T90" t="s">
        <v>171</v>
      </c>
      <c r="U90">
        <v>0.19021877619999999</v>
      </c>
      <c r="V90">
        <v>0.63</v>
      </c>
      <c r="W90" t="s">
        <v>171</v>
      </c>
      <c r="X90">
        <v>0.18193830290000002</v>
      </c>
      <c r="Y90">
        <v>0.11</v>
      </c>
      <c r="Z90">
        <v>840</v>
      </c>
      <c r="AA90" t="s">
        <v>171</v>
      </c>
      <c r="AB90">
        <v>46.2</v>
      </c>
      <c r="AC90">
        <v>3.49</v>
      </c>
      <c r="AD90" t="s">
        <v>171</v>
      </c>
      <c r="AE90">
        <v>0.44883889208000005</v>
      </c>
      <c r="AF90">
        <v>0.86</v>
      </c>
      <c r="AG90" t="s">
        <v>171</v>
      </c>
      <c r="AH90">
        <v>0.19341071405999999</v>
      </c>
      <c r="AI90">
        <v>4.3499999999999996</v>
      </c>
      <c r="AJ90" t="s">
        <v>171</v>
      </c>
      <c r="AK90">
        <v>1.0679737440999999</v>
      </c>
      <c r="AL90">
        <v>836</v>
      </c>
      <c r="AM90" s="140">
        <f>(((AM89-AM91)/(H89-H91))*(H90-H89))+AM89</f>
        <v>1.4091944445432694</v>
      </c>
      <c r="AN90">
        <f>AM90*I90*V90</f>
        <v>17.755850001245193</v>
      </c>
    </row>
    <row r="91" spans="1:51" x14ac:dyDescent="0.15">
      <c r="A91" t="s">
        <v>195</v>
      </c>
      <c r="B91" t="s">
        <v>201</v>
      </c>
      <c r="C91" t="s">
        <v>178</v>
      </c>
      <c r="D91" t="s">
        <v>348</v>
      </c>
      <c r="E91" t="s">
        <v>400</v>
      </c>
      <c r="F91" t="s">
        <v>400</v>
      </c>
      <c r="G91" t="s">
        <v>21</v>
      </c>
      <c r="H91">
        <v>52.5</v>
      </c>
      <c r="I91">
        <v>15</v>
      </c>
      <c r="J91">
        <v>5.3</v>
      </c>
      <c r="K91" t="s">
        <v>171</v>
      </c>
      <c r="L91">
        <v>0.2</v>
      </c>
      <c r="M91">
        <v>76</v>
      </c>
      <c r="N91" t="s">
        <v>171</v>
      </c>
      <c r="O91">
        <v>8.031129270000001</v>
      </c>
      <c r="P91">
        <v>61</v>
      </c>
      <c r="Q91" t="s">
        <v>171</v>
      </c>
      <c r="R91">
        <v>5.0649401009999995</v>
      </c>
      <c r="S91">
        <v>0.62</v>
      </c>
      <c r="T91" t="s">
        <v>171</v>
      </c>
      <c r="U91">
        <v>0.1811855326</v>
      </c>
      <c r="V91">
        <v>0.6</v>
      </c>
      <c r="W91" t="s">
        <v>171</v>
      </c>
      <c r="X91">
        <v>0.17967999200000001</v>
      </c>
      <c r="Y91">
        <v>0.02</v>
      </c>
      <c r="Z91">
        <v>720</v>
      </c>
      <c r="AA91" t="s">
        <v>171</v>
      </c>
      <c r="AB91">
        <v>39.6</v>
      </c>
      <c r="AC91">
        <v>3.3</v>
      </c>
      <c r="AD91" t="s">
        <v>171</v>
      </c>
      <c r="AE91">
        <v>0.43514737959999999</v>
      </c>
      <c r="AF91">
        <v>1.1200000000000001</v>
      </c>
      <c r="AG91" t="s">
        <v>171</v>
      </c>
      <c r="AH91">
        <v>0.22985714252</v>
      </c>
      <c r="AI91">
        <v>4.42</v>
      </c>
      <c r="AJ91" t="s">
        <v>171</v>
      </c>
      <c r="AK91">
        <v>1.0703884393199998</v>
      </c>
      <c r="AL91">
        <v>716</v>
      </c>
      <c r="AM91" s="139">
        <f>-0.0042*AY91+1.6859</f>
        <v>1.6281226451803916</v>
      </c>
      <c r="AN91">
        <f>AM91*I91*V91</f>
        <v>14.653103806623525</v>
      </c>
      <c r="AY91">
        <v>13.756513052287699</v>
      </c>
    </row>
    <row r="92" spans="1:51" x14ac:dyDescent="0.15">
      <c r="A92" t="s">
        <v>396</v>
      </c>
      <c r="B92" t="s">
        <v>198</v>
      </c>
      <c r="C92" t="s">
        <v>97</v>
      </c>
      <c r="D92" t="s">
        <v>346</v>
      </c>
      <c r="E92" t="s">
        <v>401</v>
      </c>
      <c r="G92" t="s">
        <v>177</v>
      </c>
      <c r="H92">
        <v>3.75</v>
      </c>
      <c r="I92">
        <v>7.5</v>
      </c>
      <c r="J92">
        <v>4.2</v>
      </c>
      <c r="K92" t="s">
        <v>171</v>
      </c>
      <c r="L92">
        <v>0.2</v>
      </c>
      <c r="M92">
        <v>292</v>
      </c>
      <c r="N92" t="s">
        <v>171</v>
      </c>
      <c r="O92">
        <v>25.921111541999998</v>
      </c>
      <c r="P92">
        <v>51</v>
      </c>
      <c r="Q92" t="s">
        <v>171</v>
      </c>
      <c r="R92">
        <v>4.1820205909999997</v>
      </c>
      <c r="S92">
        <v>1.84</v>
      </c>
      <c r="T92" t="s">
        <v>171</v>
      </c>
      <c r="U92">
        <v>0.27302350919999996</v>
      </c>
      <c r="V92">
        <v>1.83</v>
      </c>
      <c r="W92" t="s">
        <v>171</v>
      </c>
      <c r="X92">
        <v>0.27227073889999998</v>
      </c>
      <c r="Y92">
        <v>1.0000000000000009E-2</v>
      </c>
      <c r="Z92">
        <v>130</v>
      </c>
      <c r="AA92" t="s">
        <v>171</v>
      </c>
      <c r="AB92">
        <v>7.15</v>
      </c>
      <c r="AC92">
        <v>0</v>
      </c>
      <c r="AD92" t="s">
        <v>171</v>
      </c>
      <c r="AE92">
        <v>0.19734742599999999</v>
      </c>
      <c r="AF92">
        <v>4.5199999999999996</v>
      </c>
      <c r="AG92" t="s">
        <v>171</v>
      </c>
      <c r="AH92">
        <v>0.70646428391999994</v>
      </c>
      <c r="AI92">
        <v>4.5199999999999996</v>
      </c>
      <c r="AJ92" t="s">
        <v>171</v>
      </c>
      <c r="AK92">
        <v>1.07383800392</v>
      </c>
      <c r="AL92">
        <v>1134.52</v>
      </c>
      <c r="AT92">
        <v>34</v>
      </c>
      <c r="AU92">
        <v>348.6124065127982</v>
      </c>
      <c r="AV92">
        <v>10.253306073905829</v>
      </c>
      <c r="AW92">
        <v>179.63792241483014</v>
      </c>
      <c r="AX92">
        <v>5.2834683063185333</v>
      </c>
    </row>
    <row r="93" spans="1:51" x14ac:dyDescent="0.15">
      <c r="A93" t="s">
        <v>396</v>
      </c>
      <c r="B93" t="s">
        <v>198</v>
      </c>
      <c r="C93" t="s">
        <v>97</v>
      </c>
      <c r="D93" t="s">
        <v>346</v>
      </c>
      <c r="E93" t="s">
        <v>401</v>
      </c>
      <c r="G93" t="s">
        <v>175</v>
      </c>
      <c r="H93">
        <v>16.25</v>
      </c>
      <c r="I93">
        <v>17.5</v>
      </c>
      <c r="J93">
        <v>5</v>
      </c>
      <c r="K93" t="s">
        <v>171</v>
      </c>
      <c r="L93">
        <v>0.2</v>
      </c>
      <c r="M93">
        <v>473</v>
      </c>
      <c r="N93" t="s">
        <v>171</v>
      </c>
      <c r="O93">
        <v>40.912254094000005</v>
      </c>
      <c r="P93">
        <v>33</v>
      </c>
      <c r="Q93" t="s">
        <v>171</v>
      </c>
      <c r="R93">
        <v>2.5927654729999996</v>
      </c>
      <c r="S93">
        <v>1.37</v>
      </c>
      <c r="T93" t="s">
        <v>171</v>
      </c>
      <c r="U93">
        <v>0.23764330510000001</v>
      </c>
      <c r="V93">
        <v>1.07</v>
      </c>
      <c r="W93" t="s">
        <v>171</v>
      </c>
      <c r="X93">
        <v>0.21506019609999999</v>
      </c>
      <c r="Y93">
        <v>0.30000000000000004</v>
      </c>
      <c r="Z93">
        <v>920</v>
      </c>
      <c r="AA93" t="s">
        <v>171</v>
      </c>
      <c r="AB93">
        <v>50.6</v>
      </c>
      <c r="AC93">
        <v>0.76</v>
      </c>
      <c r="AD93" t="s">
        <v>171</v>
      </c>
      <c r="AE93">
        <v>0.25211347592</v>
      </c>
      <c r="AF93">
        <v>3.17</v>
      </c>
      <c r="AG93" t="s">
        <v>171</v>
      </c>
      <c r="AH93">
        <v>0.51722321306999997</v>
      </c>
      <c r="AI93">
        <v>3.93</v>
      </c>
      <c r="AJ93" t="s">
        <v>171</v>
      </c>
      <c r="AK93">
        <v>1.0534855727799999</v>
      </c>
      <c r="AL93">
        <v>923.93</v>
      </c>
      <c r="AM93" t="s">
        <v>499</v>
      </c>
      <c r="AN93">
        <f>AM93*I93*V93</f>
        <v>22.928294547463995</v>
      </c>
    </row>
    <row r="94" spans="1:51" x14ac:dyDescent="0.15">
      <c r="A94" t="s">
        <v>396</v>
      </c>
      <c r="B94" t="s">
        <v>198</v>
      </c>
      <c r="C94" t="s">
        <v>97</v>
      </c>
      <c r="D94" t="s">
        <v>346</v>
      </c>
      <c r="E94" t="s">
        <v>401</v>
      </c>
      <c r="G94" t="s">
        <v>21</v>
      </c>
      <c r="H94">
        <v>52.5</v>
      </c>
      <c r="I94">
        <v>15</v>
      </c>
      <c r="J94">
        <v>4.9000000000000004</v>
      </c>
      <c r="K94" t="s">
        <v>171</v>
      </c>
      <c r="L94">
        <v>0.2</v>
      </c>
      <c r="M94">
        <v>124</v>
      </c>
      <c r="N94" t="s">
        <v>171</v>
      </c>
      <c r="O94">
        <v>12.006680886000002</v>
      </c>
      <c r="P94">
        <v>24</v>
      </c>
      <c r="Q94" t="s">
        <v>171</v>
      </c>
      <c r="R94">
        <v>1.798137914</v>
      </c>
      <c r="S94">
        <v>1.0900000000000001</v>
      </c>
      <c r="T94" t="s">
        <v>171</v>
      </c>
      <c r="U94">
        <v>0.21656573670000001</v>
      </c>
      <c r="V94">
        <v>1</v>
      </c>
      <c r="W94" t="s">
        <v>171</v>
      </c>
      <c r="X94">
        <v>0.209790804</v>
      </c>
      <c r="Y94">
        <v>9.000000000000008E-2</v>
      </c>
      <c r="Z94">
        <v>980</v>
      </c>
      <c r="AA94" t="s">
        <v>171</v>
      </c>
      <c r="AB94">
        <v>53.9</v>
      </c>
      <c r="AC94">
        <v>0</v>
      </c>
      <c r="AD94" t="s">
        <v>171</v>
      </c>
      <c r="AE94">
        <v>0.19734742599999999</v>
      </c>
      <c r="AF94">
        <v>1.52</v>
      </c>
      <c r="AG94" t="s">
        <v>171</v>
      </c>
      <c r="AH94">
        <v>0.28592857092000001</v>
      </c>
      <c r="AI94">
        <v>1.52</v>
      </c>
      <c r="AJ94" t="s">
        <v>171</v>
      </c>
      <c r="AK94">
        <v>0.97035106591999998</v>
      </c>
      <c r="AL94">
        <v>981.52</v>
      </c>
    </row>
    <row r="95" spans="1:51" x14ac:dyDescent="0.15">
      <c r="A95" t="s">
        <v>396</v>
      </c>
      <c r="B95" t="s">
        <v>98</v>
      </c>
      <c r="C95" t="s">
        <v>98</v>
      </c>
      <c r="D95" t="s">
        <v>350</v>
      </c>
      <c r="E95" t="s">
        <v>397</v>
      </c>
      <c r="F95" t="s">
        <v>397</v>
      </c>
      <c r="G95" t="s">
        <v>177</v>
      </c>
      <c r="H95">
        <v>3.75</v>
      </c>
      <c r="I95">
        <v>7.5</v>
      </c>
      <c r="J95">
        <v>4.8</v>
      </c>
      <c r="K95" t="s">
        <v>171</v>
      </c>
      <c r="L95">
        <v>0.2</v>
      </c>
      <c r="M95">
        <v>344</v>
      </c>
      <c r="N95" t="s">
        <v>171</v>
      </c>
      <c r="O95">
        <v>30.227959125999998</v>
      </c>
      <c r="P95">
        <v>87</v>
      </c>
      <c r="Q95" t="s">
        <v>171</v>
      </c>
      <c r="R95">
        <v>7.3605308269999998</v>
      </c>
      <c r="S95">
        <v>1.95</v>
      </c>
      <c r="T95" t="s">
        <v>171</v>
      </c>
      <c r="U95">
        <v>0.28130398249999999</v>
      </c>
      <c r="V95">
        <v>1.92</v>
      </c>
      <c r="W95" t="s">
        <v>171</v>
      </c>
      <c r="X95">
        <v>0.27904567159999999</v>
      </c>
      <c r="Y95">
        <v>3.0000000000000027E-2</v>
      </c>
      <c r="Z95">
        <v>1120</v>
      </c>
      <c r="AA95" t="s">
        <v>171</v>
      </c>
      <c r="AB95">
        <v>61.6</v>
      </c>
      <c r="AC95">
        <v>2.11</v>
      </c>
      <c r="AD95" t="s">
        <v>171</v>
      </c>
      <c r="AE95">
        <v>0.34939527512000002</v>
      </c>
      <c r="AF95">
        <v>7.87</v>
      </c>
      <c r="AG95" t="s">
        <v>171</v>
      </c>
      <c r="AH95">
        <v>1.17606249677</v>
      </c>
      <c r="AI95">
        <v>9.98</v>
      </c>
      <c r="AJ95" t="s">
        <v>171</v>
      </c>
      <c r="AK95">
        <v>1.26218423108</v>
      </c>
      <c r="AL95">
        <v>1129.98</v>
      </c>
      <c r="AM95" s="141">
        <f>AM96-((AM96-AM98)/(H96-H98))*H95</f>
        <v>1.4890010655062593</v>
      </c>
      <c r="AN95">
        <f t="shared" ref="AN95:AN102" si="4">AM95*I95*V95</f>
        <v>21.441615343290135</v>
      </c>
      <c r="AY95">
        <v>2.8528528528528501</v>
      </c>
    </row>
    <row r="96" spans="1:51" x14ac:dyDescent="0.15">
      <c r="A96" t="s">
        <v>396</v>
      </c>
      <c r="B96" t="s">
        <v>98</v>
      </c>
      <c r="C96" t="s">
        <v>98</v>
      </c>
      <c r="D96" t="s">
        <v>350</v>
      </c>
      <c r="E96" t="s">
        <v>397</v>
      </c>
      <c r="F96" t="s">
        <v>397</v>
      </c>
      <c r="G96" t="s">
        <v>175</v>
      </c>
      <c r="H96">
        <v>16.25</v>
      </c>
      <c r="I96">
        <v>17.5</v>
      </c>
      <c r="J96">
        <v>4.7</v>
      </c>
      <c r="K96" t="s">
        <v>171</v>
      </c>
      <c r="L96">
        <v>0.2</v>
      </c>
      <c r="M96">
        <v>514</v>
      </c>
      <c r="N96" t="s">
        <v>171</v>
      </c>
      <c r="O96">
        <v>44.308037766000005</v>
      </c>
      <c r="P96">
        <v>26</v>
      </c>
      <c r="Q96" t="s">
        <v>171</v>
      </c>
      <c r="R96">
        <v>1.974721816</v>
      </c>
      <c r="S96">
        <v>1.1200000000000001</v>
      </c>
      <c r="T96" t="s">
        <v>171</v>
      </c>
      <c r="U96">
        <v>0.21882404760000002</v>
      </c>
      <c r="V96">
        <v>1.04</v>
      </c>
      <c r="W96" t="s">
        <v>171</v>
      </c>
      <c r="X96">
        <v>0.21280188519999998</v>
      </c>
      <c r="Y96">
        <v>8.0000000000000071E-2</v>
      </c>
      <c r="Z96">
        <v>740</v>
      </c>
      <c r="AA96" t="s">
        <v>171</v>
      </c>
      <c r="AB96">
        <v>40.700000000000003</v>
      </c>
      <c r="AC96">
        <v>1.46</v>
      </c>
      <c r="AD96" t="s">
        <v>171</v>
      </c>
      <c r="AE96">
        <v>0.30255589031999996</v>
      </c>
      <c r="AF96">
        <v>1.89</v>
      </c>
      <c r="AG96" t="s">
        <v>171</v>
      </c>
      <c r="AH96">
        <v>0.33779464218999999</v>
      </c>
      <c r="AI96">
        <v>3.35</v>
      </c>
      <c r="AJ96" t="s">
        <v>171</v>
      </c>
      <c r="AK96">
        <v>1.0334780981</v>
      </c>
      <c r="AL96">
        <v>743.35</v>
      </c>
      <c r="AM96" t="s">
        <v>500</v>
      </c>
      <c r="AN96">
        <f t="shared" si="4"/>
        <v>27.430392729952032</v>
      </c>
      <c r="AY96">
        <v>2.1021021021021</v>
      </c>
    </row>
    <row r="97" spans="1:51" x14ac:dyDescent="0.15">
      <c r="A97" t="s">
        <v>396</v>
      </c>
      <c r="B97" t="s">
        <v>98</v>
      </c>
      <c r="C97" t="s">
        <v>98</v>
      </c>
      <c r="D97" t="s">
        <v>350</v>
      </c>
      <c r="E97" t="s">
        <v>397</v>
      </c>
      <c r="F97" t="s">
        <v>397</v>
      </c>
      <c r="G97" t="s">
        <v>176</v>
      </c>
      <c r="H97">
        <v>35</v>
      </c>
      <c r="I97">
        <v>20</v>
      </c>
      <c r="J97">
        <v>5</v>
      </c>
      <c r="K97" t="s">
        <v>171</v>
      </c>
      <c r="L97">
        <v>0.2</v>
      </c>
      <c r="M97">
        <v>266</v>
      </c>
      <c r="N97" t="s">
        <v>171</v>
      </c>
      <c r="O97">
        <v>23.76768775</v>
      </c>
      <c r="P97">
        <v>19</v>
      </c>
      <c r="Q97" t="s">
        <v>171</v>
      </c>
      <c r="R97">
        <v>1.3566781589999999</v>
      </c>
      <c r="S97">
        <v>0.75</v>
      </c>
      <c r="T97" t="s">
        <v>171</v>
      </c>
      <c r="U97">
        <v>0.19097154650000001</v>
      </c>
      <c r="V97">
        <v>0.73</v>
      </c>
      <c r="W97" t="s">
        <v>171</v>
      </c>
      <c r="X97">
        <v>0.18946600590000001</v>
      </c>
      <c r="Y97">
        <v>2.0000000000000018E-2</v>
      </c>
      <c r="Z97">
        <v>340</v>
      </c>
      <c r="AA97" t="s">
        <v>171</v>
      </c>
      <c r="AB97">
        <v>18.7</v>
      </c>
      <c r="AC97">
        <v>0.41</v>
      </c>
      <c r="AD97" t="s">
        <v>171</v>
      </c>
      <c r="AE97">
        <v>0.22689226871999998</v>
      </c>
      <c r="AF97">
        <v>1.34</v>
      </c>
      <c r="AG97" t="s">
        <v>171</v>
      </c>
      <c r="AH97">
        <v>0.26069642813999999</v>
      </c>
      <c r="AI97">
        <v>1.75</v>
      </c>
      <c r="AJ97" t="s">
        <v>171</v>
      </c>
      <c r="AK97">
        <v>0.97828506449999997</v>
      </c>
      <c r="AL97">
        <v>341.75</v>
      </c>
      <c r="AM97" s="140">
        <f>(((AM96-AM98)/(H96-H98))*(H97-H96))+AM96</f>
        <v>1.5979812867386041</v>
      </c>
      <c r="AN97">
        <f t="shared" si="4"/>
        <v>23.330526786383619</v>
      </c>
    </row>
    <row r="98" spans="1:51" x14ac:dyDescent="0.15">
      <c r="A98" t="s">
        <v>396</v>
      </c>
      <c r="B98" t="s">
        <v>98</v>
      </c>
      <c r="C98" t="s">
        <v>98</v>
      </c>
      <c r="D98" t="s">
        <v>350</v>
      </c>
      <c r="E98" t="s">
        <v>397</v>
      </c>
      <c r="F98" t="s">
        <v>397</v>
      </c>
      <c r="G98" t="s">
        <v>21</v>
      </c>
      <c r="H98">
        <v>52.5</v>
      </c>
      <c r="I98">
        <v>15</v>
      </c>
      <c r="J98">
        <v>5.0999999999999996</v>
      </c>
      <c r="K98" t="s">
        <v>171</v>
      </c>
      <c r="L98">
        <v>0.2</v>
      </c>
      <c r="M98">
        <v>40</v>
      </c>
      <c r="N98" t="s">
        <v>171</v>
      </c>
      <c r="O98">
        <v>5.0494655579999996</v>
      </c>
      <c r="P98">
        <v>13</v>
      </c>
      <c r="Q98" t="s">
        <v>171</v>
      </c>
      <c r="R98">
        <v>0.82692645300000001</v>
      </c>
      <c r="S98">
        <v>0.66</v>
      </c>
      <c r="T98" t="s">
        <v>171</v>
      </c>
      <c r="U98">
        <v>0.18419661379999999</v>
      </c>
      <c r="V98">
        <v>0.53</v>
      </c>
      <c r="W98" t="s">
        <v>171</v>
      </c>
      <c r="X98">
        <v>0.17441059990000002</v>
      </c>
      <c r="Y98">
        <v>0.13</v>
      </c>
      <c r="Z98">
        <v>260</v>
      </c>
      <c r="AA98" t="s">
        <v>171</v>
      </c>
      <c r="AB98">
        <v>14.3</v>
      </c>
      <c r="AC98">
        <v>0</v>
      </c>
      <c r="AD98" t="s">
        <v>171</v>
      </c>
      <c r="AE98">
        <v>0.19734742599999999</v>
      </c>
      <c r="AF98">
        <v>1.22</v>
      </c>
      <c r="AG98" t="s">
        <v>171</v>
      </c>
      <c r="AH98">
        <v>0.24387499961999998</v>
      </c>
      <c r="AI98">
        <v>1.22</v>
      </c>
      <c r="AJ98" t="s">
        <v>171</v>
      </c>
      <c r="AK98">
        <v>0.96000237211999995</v>
      </c>
      <c r="AL98">
        <v>261.22000000000003</v>
      </c>
      <c r="AM98" s="139">
        <f>-0.0042*AY98+1.6859</f>
        <v>1.6827436810304279</v>
      </c>
      <c r="AN98">
        <f t="shared" si="4"/>
        <v>13.377812264191903</v>
      </c>
      <c r="AY98">
        <v>0.75150451656475692</v>
      </c>
    </row>
    <row r="99" spans="1:51" x14ac:dyDescent="0.15">
      <c r="A99" t="s">
        <v>396</v>
      </c>
      <c r="B99" t="s">
        <v>197</v>
      </c>
      <c r="C99" t="s">
        <v>97</v>
      </c>
      <c r="D99" t="s">
        <v>346</v>
      </c>
      <c r="E99" t="s">
        <v>402</v>
      </c>
      <c r="F99" t="s">
        <v>402</v>
      </c>
      <c r="G99" t="s">
        <v>177</v>
      </c>
      <c r="H99">
        <v>3.75</v>
      </c>
      <c r="I99">
        <v>7.5</v>
      </c>
      <c r="J99">
        <v>4.2</v>
      </c>
      <c r="K99" t="s">
        <v>171</v>
      </c>
      <c r="L99">
        <v>0.2</v>
      </c>
      <c r="M99">
        <v>135</v>
      </c>
      <c r="N99" t="s">
        <v>171</v>
      </c>
      <c r="O99">
        <v>12.917744798000001</v>
      </c>
      <c r="P99">
        <v>50</v>
      </c>
      <c r="Q99" t="s">
        <v>171</v>
      </c>
      <c r="R99">
        <v>4.0937286400000001</v>
      </c>
      <c r="S99">
        <v>1.06</v>
      </c>
      <c r="T99" t="s">
        <v>171</v>
      </c>
      <c r="U99">
        <v>0.21430742580000001</v>
      </c>
      <c r="V99">
        <v>0.79</v>
      </c>
      <c r="W99" t="s">
        <v>171</v>
      </c>
      <c r="X99">
        <v>0.19398262769999999</v>
      </c>
      <c r="Y99">
        <v>0.27</v>
      </c>
      <c r="Z99">
        <v>640</v>
      </c>
      <c r="AA99" t="s">
        <v>171</v>
      </c>
      <c r="AB99">
        <v>35.200000000000003</v>
      </c>
      <c r="AC99">
        <v>0</v>
      </c>
      <c r="AD99" t="s">
        <v>171</v>
      </c>
      <c r="AE99">
        <v>0.19734742599999999</v>
      </c>
      <c r="AF99">
        <v>4.46</v>
      </c>
      <c r="AG99" t="s">
        <v>171</v>
      </c>
      <c r="AH99">
        <v>0.69805356965999998</v>
      </c>
      <c r="AI99">
        <v>4.46</v>
      </c>
      <c r="AJ99" t="s">
        <v>171</v>
      </c>
      <c r="AK99">
        <v>1.07176826516</v>
      </c>
      <c r="AL99">
        <v>644.46</v>
      </c>
      <c r="AM99" s="141">
        <f>AM100-((AM100-AM102)/(H100-H102))*H99</f>
        <v>1.4769783315187319</v>
      </c>
      <c r="AN99">
        <f t="shared" si="4"/>
        <v>8.7510966142484872</v>
      </c>
      <c r="AT99">
        <v>20</v>
      </c>
      <c r="AU99">
        <v>191.40834380388364</v>
      </c>
      <c r="AV99">
        <v>9.5704171901941812</v>
      </c>
      <c r="AW99">
        <v>98.631593630707101</v>
      </c>
      <c r="AX99">
        <v>4.9315796815353554</v>
      </c>
      <c r="AY99">
        <v>2.9044074134254503</v>
      </c>
    </row>
    <row r="100" spans="1:51" x14ac:dyDescent="0.15">
      <c r="A100" t="s">
        <v>396</v>
      </c>
      <c r="B100" t="s">
        <v>197</v>
      </c>
      <c r="C100" t="s">
        <v>97</v>
      </c>
      <c r="D100" t="s">
        <v>346</v>
      </c>
      <c r="E100" t="s">
        <v>402</v>
      </c>
      <c r="F100" t="s">
        <v>402</v>
      </c>
      <c r="G100" t="s">
        <v>175</v>
      </c>
      <c r="H100">
        <v>16.25</v>
      </c>
      <c r="I100">
        <v>17.5</v>
      </c>
      <c r="J100">
        <v>4</v>
      </c>
      <c r="K100" t="s">
        <v>171</v>
      </c>
      <c r="L100">
        <v>0.2</v>
      </c>
      <c r="M100">
        <v>227</v>
      </c>
      <c r="N100" t="s">
        <v>171</v>
      </c>
      <c r="O100">
        <v>20.537552062</v>
      </c>
      <c r="P100">
        <v>31</v>
      </c>
      <c r="Q100" t="s">
        <v>171</v>
      </c>
      <c r="R100">
        <v>2.4161815709999996</v>
      </c>
      <c r="S100">
        <v>0.91</v>
      </c>
      <c r="T100" t="s">
        <v>171</v>
      </c>
      <c r="U100">
        <v>0.20301587129999998</v>
      </c>
      <c r="V100">
        <v>0.71</v>
      </c>
      <c r="W100" t="s">
        <v>171</v>
      </c>
      <c r="X100">
        <v>0.18796046529999999</v>
      </c>
      <c r="Y100">
        <v>0.20000000000000007</v>
      </c>
      <c r="Z100">
        <v>450</v>
      </c>
      <c r="AA100" t="s">
        <v>171</v>
      </c>
      <c r="AB100">
        <v>24.75</v>
      </c>
      <c r="AC100">
        <v>2.1000000000000001E-2</v>
      </c>
      <c r="AD100" t="s">
        <v>171</v>
      </c>
      <c r="AE100">
        <v>0.19886069843199999</v>
      </c>
      <c r="AF100">
        <v>2.04</v>
      </c>
      <c r="AG100" t="s">
        <v>171</v>
      </c>
      <c r="AH100">
        <v>0.35882142784000004</v>
      </c>
      <c r="AI100">
        <v>2.06</v>
      </c>
      <c r="AJ100" t="s">
        <v>171</v>
      </c>
      <c r="AK100">
        <v>0.98897871475999999</v>
      </c>
      <c r="AL100">
        <v>452.06</v>
      </c>
      <c r="AM100" t="s">
        <v>501</v>
      </c>
      <c r="AN100">
        <f t="shared" si="4"/>
        <v>18.591388800196526</v>
      </c>
      <c r="AY100">
        <v>2.8528528528528501</v>
      </c>
    </row>
    <row r="101" spans="1:51" x14ac:dyDescent="0.15">
      <c r="A101" t="s">
        <v>396</v>
      </c>
      <c r="B101" t="s">
        <v>197</v>
      </c>
      <c r="C101" t="s">
        <v>97</v>
      </c>
      <c r="D101" t="s">
        <v>346</v>
      </c>
      <c r="E101" t="s">
        <v>402</v>
      </c>
      <c r="F101" t="s">
        <v>402</v>
      </c>
      <c r="G101" t="s">
        <v>176</v>
      </c>
      <c r="H101">
        <v>35</v>
      </c>
      <c r="I101">
        <v>20</v>
      </c>
      <c r="J101">
        <v>4.4000000000000004</v>
      </c>
      <c r="K101" t="s">
        <v>171</v>
      </c>
      <c r="L101">
        <v>0.2</v>
      </c>
      <c r="M101">
        <v>250</v>
      </c>
      <c r="N101" t="s">
        <v>171</v>
      </c>
      <c r="O101">
        <v>22.442503878</v>
      </c>
      <c r="P101">
        <v>20</v>
      </c>
      <c r="Q101" t="s">
        <v>171</v>
      </c>
      <c r="R101">
        <v>1.4449701099999999</v>
      </c>
      <c r="S101">
        <v>0.98</v>
      </c>
      <c r="T101" t="s">
        <v>171</v>
      </c>
      <c r="U101">
        <v>0.20828526339999998</v>
      </c>
      <c r="V101">
        <v>0.62</v>
      </c>
      <c r="W101" t="s">
        <v>171</v>
      </c>
      <c r="X101">
        <v>0.1811855326</v>
      </c>
      <c r="Y101">
        <v>0.36</v>
      </c>
      <c r="Z101">
        <v>260</v>
      </c>
      <c r="AA101" t="s">
        <v>171</v>
      </c>
      <c r="AB101">
        <v>14.3</v>
      </c>
      <c r="AC101">
        <v>0</v>
      </c>
      <c r="AD101" t="s">
        <v>171</v>
      </c>
      <c r="AE101">
        <v>0.19734742599999999</v>
      </c>
      <c r="AF101">
        <v>1.64</v>
      </c>
      <c r="AG101" t="s">
        <v>171</v>
      </c>
      <c r="AH101">
        <v>0.30274999943999997</v>
      </c>
      <c r="AI101">
        <v>1.64</v>
      </c>
      <c r="AJ101" t="s">
        <v>171</v>
      </c>
      <c r="AK101">
        <v>0.97449054343999997</v>
      </c>
      <c r="AL101">
        <v>261.64</v>
      </c>
      <c r="AM101" s="140">
        <f>(((AM100-AM102)/(H100-H102))*(H101-H100))+AM100</f>
        <v>1.5928413646340398</v>
      </c>
      <c r="AN101">
        <f t="shared" si="4"/>
        <v>19.751232921462094</v>
      </c>
    </row>
    <row r="102" spans="1:51" x14ac:dyDescent="0.15">
      <c r="A102" t="s">
        <v>396</v>
      </c>
      <c r="B102" t="s">
        <v>197</v>
      </c>
      <c r="C102" t="s">
        <v>97</v>
      </c>
      <c r="D102" t="s">
        <v>346</v>
      </c>
      <c r="E102" t="s">
        <v>402</v>
      </c>
      <c r="F102" t="s">
        <v>402</v>
      </c>
      <c r="G102" t="s">
        <v>21</v>
      </c>
      <c r="H102">
        <v>52.5</v>
      </c>
      <c r="I102">
        <v>15</v>
      </c>
      <c r="J102">
        <v>4.7</v>
      </c>
      <c r="K102" t="s">
        <v>171</v>
      </c>
      <c r="L102">
        <v>0.2</v>
      </c>
      <c r="M102">
        <v>220</v>
      </c>
      <c r="N102" t="s">
        <v>171</v>
      </c>
      <c r="O102">
        <v>19.957784117999999</v>
      </c>
      <c r="P102">
        <v>23</v>
      </c>
      <c r="Q102" t="s">
        <v>171</v>
      </c>
      <c r="R102">
        <v>1.709845963</v>
      </c>
      <c r="S102">
        <v>0.8</v>
      </c>
      <c r="T102" t="s">
        <v>171</v>
      </c>
      <c r="U102">
        <v>0.194735398</v>
      </c>
      <c r="V102">
        <v>0.59</v>
      </c>
      <c r="W102" t="s">
        <v>171</v>
      </c>
      <c r="X102">
        <v>0.1789272217</v>
      </c>
      <c r="Y102">
        <v>0.21000000000000008</v>
      </c>
      <c r="Z102">
        <v>130</v>
      </c>
      <c r="AA102" t="s">
        <v>171</v>
      </c>
      <c r="AB102">
        <v>7.15</v>
      </c>
      <c r="AC102">
        <v>0</v>
      </c>
      <c r="AD102" t="s">
        <v>171</v>
      </c>
      <c r="AE102">
        <v>0.19734742599999999</v>
      </c>
      <c r="AF102">
        <v>1.1000000000000001</v>
      </c>
      <c r="AG102" t="s">
        <v>171</v>
      </c>
      <c r="AH102">
        <v>0.22705357110000002</v>
      </c>
      <c r="AI102">
        <v>1.1000000000000001</v>
      </c>
      <c r="AJ102" t="s">
        <v>171</v>
      </c>
      <c r="AK102">
        <v>0.95586289459999996</v>
      </c>
      <c r="AL102">
        <v>131.1</v>
      </c>
      <c r="AM102" s="139">
        <f>-0.0042*AY102+1.6859</f>
        <v>1.6829570570570571</v>
      </c>
      <c r="AN102">
        <f t="shared" si="4"/>
        <v>14.894169954954956</v>
      </c>
      <c r="AY102">
        <v>0.70070070070070101</v>
      </c>
    </row>
    <row r="103" spans="1:51" x14ac:dyDescent="0.15">
      <c r="A103" t="s">
        <v>396</v>
      </c>
      <c r="B103" t="s">
        <v>98</v>
      </c>
      <c r="C103" t="s">
        <v>98</v>
      </c>
      <c r="D103" t="s">
        <v>350</v>
      </c>
      <c r="E103" t="s">
        <v>401</v>
      </c>
      <c r="G103" t="s">
        <v>177</v>
      </c>
      <c r="H103">
        <v>3.75</v>
      </c>
      <c r="I103">
        <v>7.5</v>
      </c>
      <c r="J103">
        <v>4.8</v>
      </c>
      <c r="K103" t="s">
        <v>171</v>
      </c>
      <c r="L103">
        <v>0.2</v>
      </c>
      <c r="M103">
        <v>180</v>
      </c>
      <c r="N103" t="s">
        <v>171</v>
      </c>
      <c r="O103">
        <v>16.644824438000001</v>
      </c>
      <c r="P103">
        <v>25</v>
      </c>
      <c r="Q103" t="s">
        <v>171</v>
      </c>
      <c r="R103">
        <v>1.886429865</v>
      </c>
      <c r="S103">
        <v>1.7</v>
      </c>
      <c r="T103" t="s">
        <v>171</v>
      </c>
      <c r="U103">
        <v>0.26248472499999997</v>
      </c>
      <c r="V103">
        <v>1.17</v>
      </c>
      <c r="W103" t="s">
        <v>171</v>
      </c>
      <c r="X103">
        <v>0.22258789909999999</v>
      </c>
      <c r="Y103">
        <v>0.53</v>
      </c>
      <c r="Z103">
        <v>1000</v>
      </c>
      <c r="AA103" t="s">
        <v>171</v>
      </c>
      <c r="AB103">
        <v>55</v>
      </c>
      <c r="AC103">
        <v>5.22</v>
      </c>
      <c r="AD103" t="s">
        <v>171</v>
      </c>
      <c r="AE103">
        <v>0.57350371624000007</v>
      </c>
      <c r="AF103">
        <v>2.34</v>
      </c>
      <c r="AG103" t="s">
        <v>171</v>
      </c>
      <c r="AH103">
        <v>0.40087499914000002</v>
      </c>
      <c r="AI103">
        <v>7.59</v>
      </c>
      <c r="AJ103" t="s">
        <v>171</v>
      </c>
      <c r="AK103">
        <v>1.17973963714</v>
      </c>
      <c r="AL103">
        <v>1007.59</v>
      </c>
    </row>
    <row r="104" spans="1:51" x14ac:dyDescent="0.15">
      <c r="A104" t="s">
        <v>396</v>
      </c>
      <c r="B104" t="s">
        <v>98</v>
      </c>
      <c r="C104" t="s">
        <v>98</v>
      </c>
      <c r="D104" t="s">
        <v>350</v>
      </c>
      <c r="E104" t="s">
        <v>401</v>
      </c>
      <c r="G104" t="s">
        <v>175</v>
      </c>
      <c r="H104">
        <v>16.25</v>
      </c>
      <c r="I104">
        <v>17.5</v>
      </c>
      <c r="J104">
        <v>5.0999999999999996</v>
      </c>
      <c r="K104" t="s">
        <v>171</v>
      </c>
      <c r="L104">
        <v>0.2</v>
      </c>
      <c r="M104">
        <v>217</v>
      </c>
      <c r="N104" t="s">
        <v>171</v>
      </c>
      <c r="O104">
        <v>19.709312141999998</v>
      </c>
      <c r="P104">
        <v>21</v>
      </c>
      <c r="Q104" t="s">
        <v>171</v>
      </c>
      <c r="R104">
        <v>1.5332620609999998</v>
      </c>
      <c r="S104">
        <v>1.1000000000000001</v>
      </c>
      <c r="T104" t="s">
        <v>171</v>
      </c>
      <c r="U104">
        <v>0.21731850699999999</v>
      </c>
      <c r="V104">
        <v>1.1000000000000001</v>
      </c>
      <c r="W104" t="s">
        <v>171</v>
      </c>
      <c r="X104">
        <v>0.21731850699999999</v>
      </c>
      <c r="Y104">
        <v>0</v>
      </c>
      <c r="Z104">
        <v>910</v>
      </c>
      <c r="AA104" t="s">
        <v>171</v>
      </c>
      <c r="AB104">
        <v>50.05</v>
      </c>
      <c r="AC104">
        <v>5.15</v>
      </c>
      <c r="AD104" t="s">
        <v>171</v>
      </c>
      <c r="AE104">
        <v>0.56845947480000003</v>
      </c>
      <c r="AF104">
        <v>1.42</v>
      </c>
      <c r="AG104" t="s">
        <v>171</v>
      </c>
      <c r="AH104">
        <v>0.27191071381999998</v>
      </c>
      <c r="AI104">
        <v>6.57</v>
      </c>
      <c r="AJ104" t="s">
        <v>171</v>
      </c>
      <c r="AK104">
        <v>1.1445540782199999</v>
      </c>
      <c r="AL104">
        <v>916.57</v>
      </c>
      <c r="AM104" t="s">
        <v>502</v>
      </c>
      <c r="AN104">
        <f>AM104*I104*V104</f>
        <v>28.755665602357926</v>
      </c>
    </row>
    <row r="105" spans="1:51" x14ac:dyDescent="0.15">
      <c r="A105" t="s">
        <v>396</v>
      </c>
      <c r="B105" t="s">
        <v>98</v>
      </c>
      <c r="C105" t="s">
        <v>98</v>
      </c>
      <c r="D105" t="s">
        <v>350</v>
      </c>
      <c r="E105" t="s">
        <v>401</v>
      </c>
      <c r="G105" t="s">
        <v>176</v>
      </c>
      <c r="H105">
        <v>35</v>
      </c>
      <c r="I105">
        <v>20</v>
      </c>
      <c r="J105">
        <v>5</v>
      </c>
      <c r="K105" t="s">
        <v>171</v>
      </c>
      <c r="L105">
        <v>0.2</v>
      </c>
      <c r="M105">
        <v>168</v>
      </c>
      <c r="N105" t="s">
        <v>171</v>
      </c>
      <c r="O105">
        <v>15.650936534</v>
      </c>
      <c r="P105">
        <v>16</v>
      </c>
      <c r="Q105" t="s">
        <v>171</v>
      </c>
      <c r="R105">
        <v>1.0918023059999999</v>
      </c>
      <c r="S105">
        <v>1.81</v>
      </c>
      <c r="T105" t="s">
        <v>171</v>
      </c>
      <c r="U105">
        <v>0.27076519830000001</v>
      </c>
      <c r="V105">
        <v>1.54</v>
      </c>
      <c r="W105" t="s">
        <v>171</v>
      </c>
      <c r="X105">
        <v>0.25044040020000002</v>
      </c>
      <c r="Y105">
        <v>0.27</v>
      </c>
      <c r="Z105">
        <v>1040</v>
      </c>
      <c r="AA105" t="s">
        <v>171</v>
      </c>
      <c r="AB105">
        <v>57.2</v>
      </c>
      <c r="AC105">
        <v>2.91</v>
      </c>
      <c r="AD105" t="s">
        <v>171</v>
      </c>
      <c r="AE105">
        <v>0.40704374872000004</v>
      </c>
      <c r="AF105">
        <v>5.29</v>
      </c>
      <c r="AG105" t="s">
        <v>171</v>
      </c>
      <c r="AH105">
        <v>0.81440178359000004</v>
      </c>
      <c r="AI105">
        <v>8.1999999999999993</v>
      </c>
      <c r="AJ105" t="s">
        <v>171</v>
      </c>
      <c r="AK105">
        <v>1.2007819812</v>
      </c>
      <c r="AL105">
        <v>1048.2</v>
      </c>
    </row>
    <row r="106" spans="1:51" x14ac:dyDescent="0.15">
      <c r="A106" t="s">
        <v>396</v>
      </c>
      <c r="B106" t="s">
        <v>98</v>
      </c>
      <c r="C106" t="s">
        <v>98</v>
      </c>
      <c r="D106" t="s">
        <v>350</v>
      </c>
      <c r="E106" t="s">
        <v>401</v>
      </c>
      <c r="G106" t="s">
        <v>21</v>
      </c>
      <c r="H106">
        <v>52.5</v>
      </c>
      <c r="I106">
        <v>15</v>
      </c>
      <c r="J106">
        <v>4.8</v>
      </c>
      <c r="K106" t="s">
        <v>171</v>
      </c>
      <c r="L106">
        <v>0.2</v>
      </c>
      <c r="M106">
        <v>36</v>
      </c>
      <c r="N106" t="s">
        <v>171</v>
      </c>
      <c r="O106">
        <v>4.7181695900000005</v>
      </c>
      <c r="P106">
        <v>13</v>
      </c>
      <c r="Q106" t="s">
        <v>171</v>
      </c>
      <c r="R106">
        <v>0.82692645300000001</v>
      </c>
      <c r="S106">
        <v>1.64</v>
      </c>
      <c r="T106" t="s">
        <v>171</v>
      </c>
      <c r="U106">
        <v>0.25796810319999997</v>
      </c>
      <c r="V106">
        <v>1.59</v>
      </c>
      <c r="W106" t="s">
        <v>171</v>
      </c>
      <c r="X106">
        <v>0.25420425169999999</v>
      </c>
      <c r="Y106">
        <v>4.9999999999999822E-2</v>
      </c>
      <c r="Z106">
        <v>750</v>
      </c>
      <c r="AA106" t="s">
        <v>171</v>
      </c>
      <c r="AB106">
        <v>41.25</v>
      </c>
      <c r="AC106">
        <v>0.57999999999999996</v>
      </c>
      <c r="AD106" t="s">
        <v>171</v>
      </c>
      <c r="AE106">
        <v>0.23914256936</v>
      </c>
      <c r="AF106">
        <v>3.41</v>
      </c>
      <c r="AG106" t="s">
        <v>171</v>
      </c>
      <c r="AH106">
        <v>0.55086607010999999</v>
      </c>
      <c r="AI106">
        <v>3.99</v>
      </c>
      <c r="AJ106" t="s">
        <v>171</v>
      </c>
      <c r="AK106">
        <v>1.05555531154</v>
      </c>
      <c r="AL106">
        <v>753.99</v>
      </c>
    </row>
    <row r="107" spans="1:51" x14ac:dyDescent="0.15">
      <c r="A107" t="s">
        <v>131</v>
      </c>
      <c r="B107" t="s">
        <v>197</v>
      </c>
      <c r="C107" t="s">
        <v>97</v>
      </c>
      <c r="D107" t="s">
        <v>346</v>
      </c>
      <c r="E107" t="s">
        <v>351</v>
      </c>
      <c r="G107" t="s">
        <v>177</v>
      </c>
      <c r="H107">
        <v>3.75</v>
      </c>
      <c r="I107">
        <v>7.5</v>
      </c>
      <c r="J107">
        <v>4.5</v>
      </c>
      <c r="K107" t="s">
        <v>171</v>
      </c>
      <c r="L107">
        <v>0.2</v>
      </c>
      <c r="M107">
        <v>37</v>
      </c>
      <c r="N107" t="s">
        <v>171</v>
      </c>
      <c r="O107">
        <v>4.8009935820000003</v>
      </c>
      <c r="P107">
        <v>485</v>
      </c>
      <c r="Q107" t="s">
        <v>171</v>
      </c>
      <c r="R107">
        <v>42.500727324999993</v>
      </c>
      <c r="S107">
        <v>4.3499999999999996</v>
      </c>
      <c r="T107" t="s">
        <v>171</v>
      </c>
      <c r="U107">
        <v>0.46196885449999991</v>
      </c>
      <c r="V107">
        <v>4.08</v>
      </c>
      <c r="W107" t="s">
        <v>171</v>
      </c>
      <c r="X107">
        <v>0.44164405640000004</v>
      </c>
      <c r="Y107">
        <v>0.26999999999999957</v>
      </c>
      <c r="Z107">
        <v>4340</v>
      </c>
      <c r="AA107" t="s">
        <v>171</v>
      </c>
      <c r="AB107">
        <v>238.7</v>
      </c>
      <c r="AC107">
        <v>29.37</v>
      </c>
      <c r="AD107" t="s">
        <v>171</v>
      </c>
      <c r="AE107">
        <v>2.3137670130400001</v>
      </c>
      <c r="AF107">
        <v>9.84</v>
      </c>
      <c r="AG107" t="s">
        <v>171</v>
      </c>
      <c r="AH107">
        <v>1.4522142816400001</v>
      </c>
      <c r="AI107">
        <v>39.21</v>
      </c>
      <c r="AJ107" t="s">
        <v>171</v>
      </c>
      <c r="AK107">
        <v>2.2704919636600001</v>
      </c>
      <c r="AL107">
        <v>4379.21</v>
      </c>
    </row>
    <row r="108" spans="1:51" x14ac:dyDescent="0.15">
      <c r="A108" t="s">
        <v>131</v>
      </c>
      <c r="B108" t="s">
        <v>197</v>
      </c>
      <c r="C108" t="s">
        <v>97</v>
      </c>
      <c r="D108" t="s">
        <v>346</v>
      </c>
      <c r="E108" t="s">
        <v>351</v>
      </c>
      <c r="G108" t="s">
        <v>175</v>
      </c>
      <c r="H108">
        <v>16.25</v>
      </c>
      <c r="I108">
        <v>17.5</v>
      </c>
      <c r="J108">
        <v>4.2</v>
      </c>
      <c r="K108" t="s">
        <v>171</v>
      </c>
      <c r="L108">
        <v>0.2</v>
      </c>
      <c r="M108">
        <v>35</v>
      </c>
      <c r="N108" t="s">
        <v>171</v>
      </c>
      <c r="O108">
        <v>4.6353455979999998</v>
      </c>
      <c r="P108">
        <v>334</v>
      </c>
      <c r="Q108" t="s">
        <v>171</v>
      </c>
      <c r="R108">
        <v>29.168642723999998</v>
      </c>
      <c r="S108">
        <v>3.36</v>
      </c>
      <c r="T108" t="s">
        <v>171</v>
      </c>
      <c r="U108">
        <v>0.38744459479999993</v>
      </c>
      <c r="V108">
        <v>3.19</v>
      </c>
      <c r="W108" t="s">
        <v>171</v>
      </c>
      <c r="X108">
        <v>0.3746474997</v>
      </c>
      <c r="Y108">
        <v>0.16999999999999993</v>
      </c>
      <c r="Z108">
        <v>3540</v>
      </c>
      <c r="AA108" t="s">
        <v>171</v>
      </c>
      <c r="AB108">
        <v>194.7</v>
      </c>
      <c r="AC108">
        <v>18.98</v>
      </c>
      <c r="AD108" t="s">
        <v>171</v>
      </c>
      <c r="AE108">
        <v>1.56505746216</v>
      </c>
      <c r="AF108">
        <v>4.16</v>
      </c>
      <c r="AG108" t="s">
        <v>171</v>
      </c>
      <c r="AH108">
        <v>0.65599999836</v>
      </c>
      <c r="AI108">
        <v>23.14</v>
      </c>
      <c r="AJ108" t="s">
        <v>171</v>
      </c>
      <c r="AK108">
        <v>1.7161469324400001</v>
      </c>
      <c r="AL108">
        <v>3563.14</v>
      </c>
      <c r="AM108" t="s">
        <v>503</v>
      </c>
      <c r="AN108">
        <f>AM108*I108*V108</f>
        <v>55.506901019280399</v>
      </c>
    </row>
    <row r="109" spans="1:51" x14ac:dyDescent="0.15">
      <c r="A109" t="s">
        <v>131</v>
      </c>
      <c r="B109" t="s">
        <v>197</v>
      </c>
      <c r="C109" t="s">
        <v>97</v>
      </c>
      <c r="D109" t="s">
        <v>346</v>
      </c>
      <c r="E109" t="s">
        <v>351</v>
      </c>
      <c r="G109" t="s">
        <v>176</v>
      </c>
      <c r="H109">
        <v>35</v>
      </c>
      <c r="I109">
        <v>20</v>
      </c>
      <c r="J109">
        <v>4.3</v>
      </c>
      <c r="K109" t="s">
        <v>171</v>
      </c>
      <c r="L109">
        <v>0.2</v>
      </c>
      <c r="M109">
        <v>24</v>
      </c>
      <c r="N109" t="s">
        <v>171</v>
      </c>
      <c r="O109">
        <v>3.7242816859999999</v>
      </c>
      <c r="P109">
        <v>189</v>
      </c>
      <c r="Q109" t="s">
        <v>171</v>
      </c>
      <c r="R109">
        <v>16.366309828999999</v>
      </c>
      <c r="S109">
        <v>3.05</v>
      </c>
      <c r="T109" t="s">
        <v>171</v>
      </c>
      <c r="U109">
        <v>0.36410871550000001</v>
      </c>
      <c r="V109">
        <v>2.98</v>
      </c>
      <c r="W109" t="s">
        <v>171</v>
      </c>
      <c r="X109">
        <v>0.35883932340000002</v>
      </c>
      <c r="Y109">
        <v>6.999999999999984E-2</v>
      </c>
      <c r="Z109">
        <v>3060</v>
      </c>
      <c r="AA109" t="s">
        <v>171</v>
      </c>
      <c r="AB109">
        <v>168.3</v>
      </c>
      <c r="AC109">
        <v>12.77</v>
      </c>
      <c r="AD109" t="s">
        <v>171</v>
      </c>
      <c r="AE109">
        <v>1.1175611858400001</v>
      </c>
      <c r="AF109">
        <v>2.12</v>
      </c>
      <c r="AG109" t="s">
        <v>171</v>
      </c>
      <c r="AH109">
        <v>0.37003571352000003</v>
      </c>
      <c r="AI109">
        <v>14.89</v>
      </c>
      <c r="AJ109" t="s">
        <v>171</v>
      </c>
      <c r="AK109">
        <v>1.4315578529399999</v>
      </c>
      <c r="AL109">
        <v>3074.89</v>
      </c>
    </row>
    <row r="110" spans="1:51" x14ac:dyDescent="0.15">
      <c r="A110" t="s">
        <v>131</v>
      </c>
      <c r="B110" t="s">
        <v>197</v>
      </c>
      <c r="C110" t="s">
        <v>97</v>
      </c>
      <c r="D110" t="s">
        <v>346</v>
      </c>
      <c r="E110" t="s">
        <v>351</v>
      </c>
      <c r="G110" t="s">
        <v>21</v>
      </c>
      <c r="H110">
        <v>52.5</v>
      </c>
      <c r="I110">
        <v>15</v>
      </c>
      <c r="J110">
        <v>4.8</v>
      </c>
      <c r="K110" t="s">
        <v>171</v>
      </c>
      <c r="L110">
        <v>0.2</v>
      </c>
      <c r="M110">
        <v>38</v>
      </c>
      <c r="N110" t="s">
        <v>171</v>
      </c>
      <c r="O110">
        <v>4.8838175740000001</v>
      </c>
      <c r="P110">
        <v>173</v>
      </c>
      <c r="Q110" t="s">
        <v>171</v>
      </c>
      <c r="R110">
        <v>14.953638612999999</v>
      </c>
      <c r="S110">
        <v>2.29</v>
      </c>
      <c r="T110" t="s">
        <v>171</v>
      </c>
      <c r="U110">
        <v>0.30689817269999997</v>
      </c>
      <c r="V110">
        <v>1.69</v>
      </c>
      <c r="W110" t="s">
        <v>171</v>
      </c>
      <c r="X110">
        <v>0.26173195469999999</v>
      </c>
      <c r="Y110">
        <v>0.60000000000000009</v>
      </c>
      <c r="Z110">
        <v>1960</v>
      </c>
      <c r="AA110" t="s">
        <v>171</v>
      </c>
      <c r="AB110">
        <v>107.8</v>
      </c>
      <c r="AC110">
        <v>5.88</v>
      </c>
      <c r="AD110" t="s">
        <v>171</v>
      </c>
      <c r="AE110">
        <v>0.62106370696000002</v>
      </c>
      <c r="AF110">
        <v>3.03</v>
      </c>
      <c r="AG110" t="s">
        <v>171</v>
      </c>
      <c r="AH110">
        <v>0.49759821312999997</v>
      </c>
      <c r="AI110">
        <v>8.91</v>
      </c>
      <c r="AJ110" t="s">
        <v>171</v>
      </c>
      <c r="AK110">
        <v>1.22527388986</v>
      </c>
      <c r="AL110">
        <v>1968.91</v>
      </c>
    </row>
    <row r="111" spans="1:51" x14ac:dyDescent="0.15">
      <c r="A111" t="s">
        <v>131</v>
      </c>
      <c r="B111" t="s">
        <v>198</v>
      </c>
      <c r="C111" t="s">
        <v>97</v>
      </c>
      <c r="D111" t="s">
        <v>346</v>
      </c>
      <c r="E111" t="s">
        <v>347</v>
      </c>
      <c r="G111" t="s">
        <v>177</v>
      </c>
      <c r="H111">
        <v>3.75</v>
      </c>
      <c r="I111">
        <v>7.5</v>
      </c>
      <c r="J111">
        <v>5</v>
      </c>
      <c r="K111" t="s">
        <v>171</v>
      </c>
      <c r="L111">
        <v>0.2</v>
      </c>
      <c r="M111">
        <v>55</v>
      </c>
      <c r="N111" t="s">
        <v>171</v>
      </c>
      <c r="O111">
        <v>6.291825438</v>
      </c>
      <c r="P111">
        <v>348</v>
      </c>
      <c r="Q111" t="s">
        <v>171</v>
      </c>
      <c r="R111">
        <v>30.404730037999997</v>
      </c>
      <c r="S111">
        <v>3.06</v>
      </c>
      <c r="T111" t="s">
        <v>171</v>
      </c>
      <c r="U111">
        <v>0.3648614858</v>
      </c>
      <c r="V111">
        <v>3.02</v>
      </c>
      <c r="W111" t="s">
        <v>171</v>
      </c>
      <c r="X111">
        <v>0.36185040459999995</v>
      </c>
      <c r="Y111">
        <v>4.0000000000000036E-2</v>
      </c>
      <c r="Z111">
        <v>3410</v>
      </c>
      <c r="AA111" t="s">
        <v>171</v>
      </c>
      <c r="AB111">
        <v>187.55</v>
      </c>
      <c r="AC111">
        <v>20.57</v>
      </c>
      <c r="AD111" t="s">
        <v>171</v>
      </c>
      <c r="AE111">
        <v>1.6796338034400002</v>
      </c>
      <c r="AF111">
        <v>1.48</v>
      </c>
      <c r="AG111" t="s">
        <v>171</v>
      </c>
      <c r="AH111">
        <v>0.28032142807999999</v>
      </c>
      <c r="AI111">
        <v>22.05</v>
      </c>
      <c r="AJ111" t="s">
        <v>171</v>
      </c>
      <c r="AK111">
        <v>1.6785466783</v>
      </c>
      <c r="AL111">
        <v>3462.05</v>
      </c>
    </row>
    <row r="112" spans="1:51" x14ac:dyDescent="0.15">
      <c r="A112" t="s">
        <v>131</v>
      </c>
      <c r="B112" t="s">
        <v>198</v>
      </c>
      <c r="C112" t="s">
        <v>97</v>
      </c>
      <c r="D112" t="s">
        <v>346</v>
      </c>
      <c r="E112" t="s">
        <v>347</v>
      </c>
      <c r="G112" t="s">
        <v>175</v>
      </c>
      <c r="H112">
        <v>16.25</v>
      </c>
      <c r="I112">
        <v>17.5</v>
      </c>
      <c r="J112">
        <v>4.9000000000000004</v>
      </c>
      <c r="K112" t="s">
        <v>171</v>
      </c>
      <c r="L112">
        <v>0.2</v>
      </c>
      <c r="M112">
        <v>48</v>
      </c>
      <c r="N112" t="s">
        <v>171</v>
      </c>
      <c r="O112">
        <v>5.7120574939999997</v>
      </c>
      <c r="P112">
        <v>201</v>
      </c>
      <c r="Q112" t="s">
        <v>171</v>
      </c>
      <c r="R112">
        <v>17.425813240999997</v>
      </c>
      <c r="S112">
        <v>2.56</v>
      </c>
      <c r="T112" t="s">
        <v>171</v>
      </c>
      <c r="U112">
        <v>0.32722297079999996</v>
      </c>
      <c r="V112">
        <v>2.5299999999999998</v>
      </c>
      <c r="W112" t="s">
        <v>171</v>
      </c>
      <c r="X112">
        <v>0.32496465990000001</v>
      </c>
      <c r="Y112">
        <v>3.0000000000000249E-2</v>
      </c>
      <c r="Z112">
        <v>2910</v>
      </c>
      <c r="AA112" t="s">
        <v>171</v>
      </c>
      <c r="AB112">
        <v>160.05000000000001</v>
      </c>
      <c r="AC112">
        <v>18.91</v>
      </c>
      <c r="AD112" t="s">
        <v>171</v>
      </c>
      <c r="AE112">
        <v>1.5600132207200001</v>
      </c>
      <c r="AF112">
        <v>2.2599999999999998</v>
      </c>
      <c r="AG112" t="s">
        <v>171</v>
      </c>
      <c r="AH112">
        <v>0.38966071345999997</v>
      </c>
      <c r="AI112">
        <v>21.17</v>
      </c>
      <c r="AJ112" t="s">
        <v>171</v>
      </c>
      <c r="AK112">
        <v>1.64819050982</v>
      </c>
      <c r="AL112">
        <v>2931.17</v>
      </c>
      <c r="AM112" t="s">
        <v>504</v>
      </c>
      <c r="AN112">
        <f>AM112*I112*V112</f>
        <v>51.792452413115733</v>
      </c>
    </row>
    <row r="113" spans="1:51" x14ac:dyDescent="0.15">
      <c r="A113" t="s">
        <v>131</v>
      </c>
      <c r="B113" t="s">
        <v>198</v>
      </c>
      <c r="C113" t="s">
        <v>97</v>
      </c>
      <c r="D113" t="s">
        <v>346</v>
      </c>
      <c r="E113" t="s">
        <v>347</v>
      </c>
      <c r="G113" t="s">
        <v>176</v>
      </c>
      <c r="H113">
        <v>35</v>
      </c>
      <c r="I113">
        <v>20</v>
      </c>
      <c r="J113">
        <v>5</v>
      </c>
      <c r="K113" t="s">
        <v>171</v>
      </c>
      <c r="L113">
        <v>0.2</v>
      </c>
      <c r="M113">
        <v>82</v>
      </c>
      <c r="N113" t="s">
        <v>171</v>
      </c>
      <c r="O113">
        <v>8.5280732219999997</v>
      </c>
      <c r="P113">
        <v>158</v>
      </c>
      <c r="Q113" t="s">
        <v>171</v>
      </c>
      <c r="R113">
        <v>13.629259348</v>
      </c>
      <c r="S113">
        <v>2.09</v>
      </c>
      <c r="T113" t="s">
        <v>171</v>
      </c>
      <c r="U113">
        <v>0.29184276669999998</v>
      </c>
      <c r="V113">
        <v>1.96</v>
      </c>
      <c r="W113" t="s">
        <v>171</v>
      </c>
      <c r="X113">
        <v>0.28205675279999998</v>
      </c>
      <c r="Y113">
        <v>0.12999999999999989</v>
      </c>
      <c r="Z113">
        <v>2470</v>
      </c>
      <c r="AA113" t="s">
        <v>171</v>
      </c>
      <c r="AB113">
        <v>135.85</v>
      </c>
      <c r="AC113">
        <v>21.18</v>
      </c>
      <c r="AD113" t="s">
        <v>171</v>
      </c>
      <c r="AE113">
        <v>1.7235907645599999</v>
      </c>
      <c r="AF113">
        <v>2.42</v>
      </c>
      <c r="AG113" t="s">
        <v>171</v>
      </c>
      <c r="AH113">
        <v>0.41208928482000001</v>
      </c>
      <c r="AI113">
        <v>23.6</v>
      </c>
      <c r="AJ113" t="s">
        <v>171</v>
      </c>
      <c r="AK113">
        <v>1.7320149296</v>
      </c>
      <c r="AL113">
        <v>2493.6</v>
      </c>
    </row>
    <row r="114" spans="1:51" x14ac:dyDescent="0.15">
      <c r="A114" t="s">
        <v>131</v>
      </c>
      <c r="B114" t="s">
        <v>198</v>
      </c>
      <c r="C114" t="s">
        <v>97</v>
      </c>
      <c r="D114" t="s">
        <v>346</v>
      </c>
      <c r="E114" t="s">
        <v>347</v>
      </c>
      <c r="G114" t="s">
        <v>21</v>
      </c>
      <c r="H114">
        <v>52.5</v>
      </c>
      <c r="I114">
        <v>15</v>
      </c>
      <c r="J114">
        <v>5.2</v>
      </c>
      <c r="K114" t="s">
        <v>171</v>
      </c>
      <c r="L114">
        <v>0.2</v>
      </c>
      <c r="M114">
        <v>33</v>
      </c>
      <c r="N114" t="s">
        <v>171</v>
      </c>
      <c r="O114">
        <v>4.4696976139999993</v>
      </c>
      <c r="P114">
        <v>184</v>
      </c>
      <c r="Q114" t="s">
        <v>171</v>
      </c>
      <c r="R114">
        <v>15.924850074</v>
      </c>
      <c r="S114">
        <v>2.38</v>
      </c>
      <c r="T114" t="s">
        <v>171</v>
      </c>
      <c r="U114">
        <v>0.31367310539999999</v>
      </c>
      <c r="V114">
        <v>1.54</v>
      </c>
      <c r="W114" t="s">
        <v>171</v>
      </c>
      <c r="X114">
        <v>0.25044040020000002</v>
      </c>
      <c r="Y114">
        <v>0.83999999999999986</v>
      </c>
      <c r="Z114">
        <v>2130</v>
      </c>
      <c r="AA114" t="s">
        <v>171</v>
      </c>
      <c r="AB114">
        <v>117.15</v>
      </c>
      <c r="AC114">
        <v>8.9</v>
      </c>
      <c r="AD114" t="s">
        <v>171</v>
      </c>
      <c r="AE114">
        <v>0.83868669480000013</v>
      </c>
      <c r="AF114">
        <v>2.56</v>
      </c>
      <c r="AG114" t="s">
        <v>171</v>
      </c>
      <c r="AH114">
        <v>0.43171428476000001</v>
      </c>
      <c r="AI114">
        <v>11.46</v>
      </c>
      <c r="AJ114" t="s">
        <v>171</v>
      </c>
      <c r="AK114">
        <v>1.3132377871599998</v>
      </c>
      <c r="AL114">
        <v>2141.46</v>
      </c>
    </row>
    <row r="115" spans="1:51" x14ac:dyDescent="0.15">
      <c r="A115" t="s">
        <v>131</v>
      </c>
      <c r="B115" t="s">
        <v>98</v>
      </c>
      <c r="C115" t="s">
        <v>98</v>
      </c>
      <c r="D115" t="s">
        <v>350</v>
      </c>
      <c r="E115" t="s">
        <v>351</v>
      </c>
      <c r="G115" t="s">
        <v>177</v>
      </c>
      <c r="H115">
        <v>3.75</v>
      </c>
      <c r="I115">
        <v>7.5</v>
      </c>
      <c r="J115">
        <v>4.8</v>
      </c>
      <c r="K115" t="s">
        <v>171</v>
      </c>
      <c r="L115">
        <v>0.2</v>
      </c>
      <c r="M115">
        <v>62</v>
      </c>
      <c r="N115" t="s">
        <v>171</v>
      </c>
      <c r="O115">
        <v>6.8715933820000004</v>
      </c>
      <c r="P115">
        <v>590</v>
      </c>
      <c r="Q115" t="s">
        <v>171</v>
      </c>
      <c r="R115">
        <v>51.771382179999996</v>
      </c>
      <c r="S115">
        <v>3.96</v>
      </c>
      <c r="T115" t="s">
        <v>171</v>
      </c>
      <c r="U115">
        <v>0.43261081280000002</v>
      </c>
      <c r="V115">
        <v>3.73</v>
      </c>
      <c r="W115" t="s">
        <v>171</v>
      </c>
      <c r="X115">
        <v>0.41529709589999997</v>
      </c>
      <c r="Y115">
        <v>0.22999999999999998</v>
      </c>
      <c r="Z115">
        <v>4180</v>
      </c>
      <c r="AA115" t="s">
        <v>171</v>
      </c>
      <c r="AB115">
        <v>229.9</v>
      </c>
      <c r="AC115">
        <v>6.74</v>
      </c>
      <c r="AD115" t="s">
        <v>171</v>
      </c>
      <c r="AE115">
        <v>0.68303581608000008</v>
      </c>
      <c r="AF115">
        <v>2.27</v>
      </c>
      <c r="AG115" t="s">
        <v>171</v>
      </c>
      <c r="AH115">
        <v>0.39106249917000002</v>
      </c>
      <c r="AI115">
        <v>9.01</v>
      </c>
      <c r="AJ115" t="s">
        <v>171</v>
      </c>
      <c r="AK115">
        <v>1.2287234544599999</v>
      </c>
      <c r="AL115">
        <v>4189.01</v>
      </c>
    </row>
    <row r="116" spans="1:51" x14ac:dyDescent="0.15">
      <c r="A116" t="s">
        <v>131</v>
      </c>
      <c r="B116" t="s">
        <v>98</v>
      </c>
      <c r="C116" t="s">
        <v>98</v>
      </c>
      <c r="D116" t="s">
        <v>350</v>
      </c>
      <c r="E116" t="s">
        <v>351</v>
      </c>
      <c r="G116" t="s">
        <v>175</v>
      </c>
      <c r="H116">
        <v>16.25</v>
      </c>
      <c r="I116">
        <v>17.5</v>
      </c>
      <c r="J116">
        <v>4.5</v>
      </c>
      <c r="K116" t="s">
        <v>171</v>
      </c>
      <c r="L116">
        <v>0.2</v>
      </c>
      <c r="M116">
        <v>39</v>
      </c>
      <c r="N116" t="s">
        <v>171</v>
      </c>
      <c r="O116">
        <v>4.9666415659999998</v>
      </c>
      <c r="P116">
        <v>339</v>
      </c>
      <c r="Q116" t="s">
        <v>171</v>
      </c>
      <c r="R116">
        <v>29.610102478999995</v>
      </c>
      <c r="S116">
        <v>3.28</v>
      </c>
      <c r="T116" t="s">
        <v>171</v>
      </c>
      <c r="U116">
        <v>0.38142243239999996</v>
      </c>
      <c r="V116">
        <v>2.99</v>
      </c>
      <c r="W116" t="s">
        <v>171</v>
      </c>
      <c r="X116">
        <v>0.3595920937</v>
      </c>
      <c r="Y116">
        <v>0.28999999999999959</v>
      </c>
      <c r="Z116">
        <v>3320</v>
      </c>
      <c r="AA116" t="s">
        <v>171</v>
      </c>
      <c r="AB116">
        <v>182.6</v>
      </c>
      <c r="AC116">
        <v>8.4600000000000009</v>
      </c>
      <c r="AD116" t="s">
        <v>171</v>
      </c>
      <c r="AE116">
        <v>0.80698003432000009</v>
      </c>
      <c r="AF116">
        <v>4.1500000000000004</v>
      </c>
      <c r="AG116" t="s">
        <v>171</v>
      </c>
      <c r="AH116">
        <v>0.65459821265000007</v>
      </c>
      <c r="AI116">
        <v>12.61</v>
      </c>
      <c r="AJ116" t="s">
        <v>171</v>
      </c>
      <c r="AK116">
        <v>1.3529077800599998</v>
      </c>
      <c r="AL116">
        <v>3332.61</v>
      </c>
      <c r="AM116" t="s">
        <v>505</v>
      </c>
      <c r="AN116">
        <f>AM116*I116*V116</f>
        <v>54.585583937123772</v>
      </c>
    </row>
    <row r="117" spans="1:51" x14ac:dyDescent="0.15">
      <c r="A117" t="s">
        <v>131</v>
      </c>
      <c r="B117" t="s">
        <v>98</v>
      </c>
      <c r="C117" t="s">
        <v>98</v>
      </c>
      <c r="D117" t="s">
        <v>350</v>
      </c>
      <c r="E117" t="s">
        <v>351</v>
      </c>
      <c r="G117" t="s">
        <v>21</v>
      </c>
      <c r="H117">
        <v>52.5</v>
      </c>
      <c r="I117">
        <v>15</v>
      </c>
      <c r="J117">
        <v>4.5999999999999996</v>
      </c>
      <c r="K117" t="s">
        <v>171</v>
      </c>
      <c r="L117">
        <v>0.2</v>
      </c>
      <c r="M117">
        <v>14</v>
      </c>
      <c r="N117" t="s">
        <v>171</v>
      </c>
      <c r="O117">
        <v>2.8960417659999997</v>
      </c>
      <c r="P117">
        <v>211</v>
      </c>
      <c r="Q117" t="s">
        <v>171</v>
      </c>
      <c r="R117">
        <v>18.308732750999997</v>
      </c>
      <c r="S117">
        <v>1.54</v>
      </c>
      <c r="T117" t="s">
        <v>171</v>
      </c>
      <c r="U117">
        <v>0.25044040020000002</v>
      </c>
      <c r="V117">
        <v>1.52</v>
      </c>
      <c r="W117" t="s">
        <v>171</v>
      </c>
      <c r="X117">
        <v>0.2489348596</v>
      </c>
      <c r="Y117">
        <v>2.0000000000000018E-2</v>
      </c>
      <c r="Z117">
        <v>2040</v>
      </c>
      <c r="AA117" t="s">
        <v>171</v>
      </c>
      <c r="AB117">
        <v>112.2</v>
      </c>
      <c r="AC117">
        <v>2.2000000000000002</v>
      </c>
      <c r="AD117" t="s">
        <v>171</v>
      </c>
      <c r="AE117">
        <v>0.35588072840000001</v>
      </c>
      <c r="AF117">
        <v>2.9</v>
      </c>
      <c r="AG117" t="s">
        <v>171</v>
      </c>
      <c r="AH117">
        <v>0.47937499890000002</v>
      </c>
      <c r="AI117">
        <v>5.0999999999999996</v>
      </c>
      <c r="AJ117" t="s">
        <v>171</v>
      </c>
      <c r="AK117">
        <v>1.0938454786</v>
      </c>
      <c r="AL117">
        <v>2045.1</v>
      </c>
    </row>
    <row r="118" spans="1:51" x14ac:dyDescent="0.15">
      <c r="A118" t="s">
        <v>131</v>
      </c>
      <c r="B118" t="s">
        <v>178</v>
      </c>
      <c r="C118" t="s">
        <v>178</v>
      </c>
      <c r="D118" t="s">
        <v>348</v>
      </c>
      <c r="E118" t="s">
        <v>79</v>
      </c>
      <c r="F118" t="s">
        <v>79</v>
      </c>
      <c r="G118" t="s">
        <v>177</v>
      </c>
      <c r="H118">
        <v>3.75</v>
      </c>
      <c r="I118">
        <v>7.5</v>
      </c>
      <c r="J118">
        <v>4.3</v>
      </c>
      <c r="K118" t="s">
        <v>171</v>
      </c>
      <c r="L118">
        <v>0.2</v>
      </c>
      <c r="M118">
        <v>200</v>
      </c>
      <c r="N118" t="s">
        <v>171</v>
      </c>
      <c r="O118">
        <v>18.301304278</v>
      </c>
      <c r="P118">
        <v>390</v>
      </c>
      <c r="Q118" t="s">
        <v>171</v>
      </c>
      <c r="R118">
        <v>34.112991979999997</v>
      </c>
      <c r="S118">
        <v>3.55</v>
      </c>
      <c r="T118" t="s">
        <v>171</v>
      </c>
      <c r="U118">
        <v>0.40174723049999994</v>
      </c>
      <c r="V118">
        <v>3.26</v>
      </c>
      <c r="W118" t="s">
        <v>171</v>
      </c>
      <c r="X118">
        <v>0.37991689179999999</v>
      </c>
      <c r="Y118">
        <v>0.29000000000000004</v>
      </c>
      <c r="Z118">
        <v>4010</v>
      </c>
      <c r="AA118" t="s">
        <v>171</v>
      </c>
      <c r="AB118">
        <v>220.55</v>
      </c>
      <c r="AC118">
        <v>77.31</v>
      </c>
      <c r="AD118" t="s">
        <v>171</v>
      </c>
      <c r="AE118">
        <v>5.7683517935200008</v>
      </c>
      <c r="AF118">
        <v>11.28</v>
      </c>
      <c r="AG118" t="s">
        <v>171</v>
      </c>
      <c r="AH118">
        <v>1.6540714238799998</v>
      </c>
      <c r="AI118">
        <v>88.59</v>
      </c>
      <c r="AJ118" t="s">
        <v>171</v>
      </c>
      <c r="AK118">
        <v>3.9738869631399996</v>
      </c>
      <c r="AL118">
        <v>4098.59</v>
      </c>
      <c r="AM118" s="141">
        <f>AM119-((AM119-AM120)/(H119-H120))*3.5</f>
        <v>0.92666221118008496</v>
      </c>
      <c r="AN118">
        <f>AM118*I118*V118</f>
        <v>22.656891063353076</v>
      </c>
      <c r="AY118">
        <v>54.108216432865703</v>
      </c>
    </row>
    <row r="119" spans="1:51" x14ac:dyDescent="0.15">
      <c r="A119" t="s">
        <v>131</v>
      </c>
      <c r="B119" t="s">
        <v>178</v>
      </c>
      <c r="C119" t="s">
        <v>178</v>
      </c>
      <c r="D119" t="s">
        <v>348</v>
      </c>
      <c r="E119" t="s">
        <v>79</v>
      </c>
      <c r="F119" t="s">
        <v>79</v>
      </c>
      <c r="G119" t="s">
        <v>175</v>
      </c>
      <c r="H119">
        <v>16.25</v>
      </c>
      <c r="I119">
        <v>17.5</v>
      </c>
      <c r="J119">
        <v>4.3</v>
      </c>
      <c r="K119" t="s">
        <v>171</v>
      </c>
      <c r="L119">
        <v>0.2</v>
      </c>
      <c r="M119">
        <v>117</v>
      </c>
      <c r="N119" t="s">
        <v>171</v>
      </c>
      <c r="O119">
        <v>11.426912942000001</v>
      </c>
      <c r="P119">
        <v>282</v>
      </c>
      <c r="Q119" t="s">
        <v>171</v>
      </c>
      <c r="R119">
        <v>24.577461271999997</v>
      </c>
      <c r="S119">
        <v>3.72</v>
      </c>
      <c r="T119" t="s">
        <v>171</v>
      </c>
      <c r="U119">
        <v>0.41454432559999999</v>
      </c>
      <c r="V119">
        <v>3.25</v>
      </c>
      <c r="W119" t="s">
        <v>171</v>
      </c>
      <c r="X119">
        <v>0.37916412150000001</v>
      </c>
      <c r="Y119">
        <v>0.4700000000000002</v>
      </c>
      <c r="Z119">
        <v>3800</v>
      </c>
      <c r="AA119" t="s">
        <v>171</v>
      </c>
      <c r="AB119">
        <v>209</v>
      </c>
      <c r="AC119">
        <v>53.56</v>
      </c>
      <c r="AD119" t="s">
        <v>171</v>
      </c>
      <c r="AE119">
        <v>4.0569127335200008</v>
      </c>
      <c r="AF119">
        <v>2.94</v>
      </c>
      <c r="AG119" t="s">
        <v>171</v>
      </c>
      <c r="AH119">
        <v>0.48498214173999998</v>
      </c>
      <c r="AI119">
        <v>56.5</v>
      </c>
      <c r="AJ119" t="s">
        <v>171</v>
      </c>
      <c r="AK119">
        <v>2.8669216829999997</v>
      </c>
      <c r="AL119">
        <v>3856.5</v>
      </c>
      <c r="AM119" t="s">
        <v>506</v>
      </c>
      <c r="AN119">
        <f>AM119*I119*V119</f>
        <v>55.219667198821071</v>
      </c>
      <c r="AY119">
        <v>54.154154154154199</v>
      </c>
    </row>
    <row r="120" spans="1:51" x14ac:dyDescent="0.15">
      <c r="A120" t="s">
        <v>131</v>
      </c>
      <c r="B120" t="s">
        <v>178</v>
      </c>
      <c r="C120" t="s">
        <v>178</v>
      </c>
      <c r="D120" t="s">
        <v>348</v>
      </c>
      <c r="E120" t="s">
        <v>79</v>
      </c>
      <c r="F120" t="s">
        <v>79</v>
      </c>
      <c r="G120" t="s">
        <v>21</v>
      </c>
      <c r="H120">
        <v>52.5</v>
      </c>
      <c r="I120">
        <v>15</v>
      </c>
      <c r="J120">
        <v>4.0999999999999996</v>
      </c>
      <c r="K120" t="s">
        <v>171</v>
      </c>
      <c r="L120">
        <v>0.2</v>
      </c>
      <c r="M120">
        <v>31</v>
      </c>
      <c r="N120" t="s">
        <v>171</v>
      </c>
      <c r="O120">
        <v>4.3040496299999997</v>
      </c>
      <c r="P120">
        <v>193</v>
      </c>
      <c r="Q120" t="s">
        <v>171</v>
      </c>
      <c r="R120">
        <v>16.719477632999997</v>
      </c>
      <c r="S120">
        <v>2.67</v>
      </c>
      <c r="T120" t="s">
        <v>171</v>
      </c>
      <c r="U120">
        <v>0.33550344409999999</v>
      </c>
      <c r="V120">
        <v>2.3199999999999998</v>
      </c>
      <c r="W120" t="s">
        <v>171</v>
      </c>
      <c r="X120">
        <v>0.30915648359999998</v>
      </c>
      <c r="Y120">
        <v>0.35000000000000009</v>
      </c>
      <c r="Z120">
        <v>2410</v>
      </c>
      <c r="AA120" t="s">
        <v>171</v>
      </c>
      <c r="AB120">
        <v>132.55000000000001</v>
      </c>
      <c r="AC120">
        <v>16.72</v>
      </c>
      <c r="AD120" t="s">
        <v>171</v>
      </c>
      <c r="AE120">
        <v>1.40220052424</v>
      </c>
      <c r="AF120">
        <v>2.83</v>
      </c>
      <c r="AG120" t="s">
        <v>171</v>
      </c>
      <c r="AH120">
        <v>0.46956249893000002</v>
      </c>
      <c r="AI120">
        <v>19.55</v>
      </c>
      <c r="AJ120" t="s">
        <v>171</v>
      </c>
      <c r="AK120">
        <v>1.5923075632999999</v>
      </c>
      <c r="AL120">
        <v>2429.5500000000002</v>
      </c>
      <c r="AM120" s="139">
        <f>-0.0042*AY120+1.6859</f>
        <v>1.429023123123123</v>
      </c>
      <c r="AN120">
        <f>AM120*I120*V120</f>
        <v>49.730004684684673</v>
      </c>
      <c r="AY120">
        <v>61.161161161161203</v>
      </c>
    </row>
    <row r="121" spans="1:51" x14ac:dyDescent="0.15">
      <c r="A121" t="s">
        <v>131</v>
      </c>
      <c r="B121" t="s">
        <v>203</v>
      </c>
      <c r="C121" t="s">
        <v>81</v>
      </c>
      <c r="D121" t="s">
        <v>346</v>
      </c>
      <c r="E121" t="s">
        <v>38</v>
      </c>
      <c r="F121" t="s">
        <v>38</v>
      </c>
      <c r="G121" t="s">
        <v>177</v>
      </c>
      <c r="H121">
        <v>3.75</v>
      </c>
      <c r="I121">
        <v>7.5</v>
      </c>
      <c r="J121">
        <v>5.2</v>
      </c>
      <c r="K121" t="s">
        <v>171</v>
      </c>
      <c r="L121">
        <v>0.2</v>
      </c>
      <c r="M121">
        <v>75</v>
      </c>
      <c r="N121" t="s">
        <v>171</v>
      </c>
      <c r="O121">
        <v>7.9483052780000003</v>
      </c>
      <c r="P121">
        <v>462</v>
      </c>
      <c r="Q121" t="s">
        <v>171</v>
      </c>
      <c r="R121">
        <v>40.470012451999999</v>
      </c>
      <c r="S121">
        <v>5.18</v>
      </c>
      <c r="T121" t="s">
        <v>171</v>
      </c>
      <c r="U121">
        <v>0.52444878939999995</v>
      </c>
      <c r="V121">
        <v>4.84</v>
      </c>
      <c r="W121" t="s">
        <v>171</v>
      </c>
      <c r="X121">
        <v>0.49885459919999997</v>
      </c>
      <c r="Y121">
        <v>0.33999999999999986</v>
      </c>
      <c r="Z121">
        <v>4920</v>
      </c>
      <c r="AA121" t="s">
        <v>171</v>
      </c>
      <c r="AB121">
        <v>270.60000000000002</v>
      </c>
      <c r="AC121">
        <v>42.36</v>
      </c>
      <c r="AD121" t="s">
        <v>171</v>
      </c>
      <c r="AE121">
        <v>3.24983410312</v>
      </c>
      <c r="AF121">
        <v>2.63</v>
      </c>
      <c r="AG121" t="s">
        <v>171</v>
      </c>
      <c r="AH121">
        <v>0.44152678473000001</v>
      </c>
      <c r="AI121">
        <v>44.99</v>
      </c>
      <c r="AJ121" t="s">
        <v>171</v>
      </c>
      <c r="AK121">
        <v>2.46987679754</v>
      </c>
      <c r="AL121">
        <v>4964.99</v>
      </c>
      <c r="AO121">
        <v>9.5</v>
      </c>
      <c r="AP121">
        <v>182.8311188530509</v>
      </c>
      <c r="AQ121">
        <v>12.58835833598487</v>
      </c>
      <c r="AR121">
        <v>63.91012693653856</v>
      </c>
      <c r="AS121">
        <v>5.3258439113782137</v>
      </c>
      <c r="AT121">
        <v>12</v>
      </c>
      <c r="AU121">
        <v>151.06030003181843</v>
      </c>
      <c r="AV121">
        <v>12.58835833598487</v>
      </c>
      <c r="AW121">
        <v>63.91012693653856</v>
      </c>
      <c r="AX121">
        <v>5.3258439113782137</v>
      </c>
      <c r="AY121">
        <v>65.965965965966006</v>
      </c>
    </row>
    <row r="122" spans="1:51" x14ac:dyDescent="0.15">
      <c r="A122" t="s">
        <v>131</v>
      </c>
      <c r="B122" t="s">
        <v>203</v>
      </c>
      <c r="C122" t="s">
        <v>81</v>
      </c>
      <c r="D122" t="s">
        <v>346</v>
      </c>
      <c r="E122" t="s">
        <v>38</v>
      </c>
      <c r="F122" t="s">
        <v>38</v>
      </c>
      <c r="G122" t="s">
        <v>175</v>
      </c>
      <c r="H122">
        <v>16.25</v>
      </c>
      <c r="I122">
        <v>17.5</v>
      </c>
      <c r="J122">
        <v>4.8</v>
      </c>
      <c r="K122" t="s">
        <v>171</v>
      </c>
      <c r="L122">
        <v>0.2</v>
      </c>
      <c r="M122">
        <v>57</v>
      </c>
      <c r="N122" t="s">
        <v>171</v>
      </c>
      <c r="O122">
        <v>6.4574734219999996</v>
      </c>
      <c r="P122">
        <v>284</v>
      </c>
      <c r="Q122" t="s">
        <v>171</v>
      </c>
      <c r="R122">
        <v>24.754045173999998</v>
      </c>
      <c r="S122">
        <v>3.53</v>
      </c>
      <c r="T122" t="s">
        <v>171</v>
      </c>
      <c r="U122">
        <v>0.40024168989999998</v>
      </c>
      <c r="V122">
        <v>3.48</v>
      </c>
      <c r="W122" t="s">
        <v>171</v>
      </c>
      <c r="X122">
        <v>0.39647783839999995</v>
      </c>
      <c r="Y122">
        <v>4.9999999999999822E-2</v>
      </c>
      <c r="Z122">
        <v>3660</v>
      </c>
      <c r="AA122" t="s">
        <v>171</v>
      </c>
      <c r="AB122">
        <v>201.3</v>
      </c>
      <c r="AC122">
        <v>15.73</v>
      </c>
      <c r="AD122" t="s">
        <v>171</v>
      </c>
      <c r="AE122">
        <v>1.3308605381600001</v>
      </c>
      <c r="AF122">
        <v>1.4</v>
      </c>
      <c r="AG122" t="s">
        <v>171</v>
      </c>
      <c r="AH122">
        <v>0.2691071424</v>
      </c>
      <c r="AI122">
        <v>17.13</v>
      </c>
      <c r="AJ122" t="s">
        <v>171</v>
      </c>
      <c r="AK122">
        <v>1.5088280999799999</v>
      </c>
      <c r="AL122">
        <v>3677.13</v>
      </c>
      <c r="AM122" t="s">
        <v>507</v>
      </c>
      <c r="AN122">
        <f>AM122*I122*V122</f>
        <v>61.875237627409803</v>
      </c>
      <c r="AY122">
        <v>65.865865865865899</v>
      </c>
    </row>
    <row r="123" spans="1:51" x14ac:dyDescent="0.15">
      <c r="A123" t="s">
        <v>131</v>
      </c>
      <c r="B123" t="s">
        <v>203</v>
      </c>
      <c r="C123" t="s">
        <v>81</v>
      </c>
      <c r="D123" t="s">
        <v>346</v>
      </c>
      <c r="E123" t="s">
        <v>38</v>
      </c>
      <c r="F123" t="s">
        <v>38</v>
      </c>
      <c r="G123" t="s">
        <v>21</v>
      </c>
      <c r="H123">
        <v>52.5</v>
      </c>
      <c r="I123">
        <v>15</v>
      </c>
      <c r="J123">
        <v>4.9000000000000004</v>
      </c>
      <c r="K123" t="s">
        <v>171</v>
      </c>
      <c r="L123">
        <v>0.2</v>
      </c>
      <c r="M123">
        <v>44</v>
      </c>
      <c r="N123" t="s">
        <v>171</v>
      </c>
      <c r="O123">
        <v>5.3807615260000006</v>
      </c>
      <c r="P123">
        <v>205</v>
      </c>
      <c r="Q123" t="s">
        <v>171</v>
      </c>
      <c r="R123">
        <v>17.778981044999998</v>
      </c>
      <c r="S123">
        <v>2.17</v>
      </c>
      <c r="T123" t="s">
        <v>171</v>
      </c>
      <c r="U123">
        <v>0.29786492909999995</v>
      </c>
      <c r="V123">
        <v>2.15</v>
      </c>
      <c r="W123" t="s">
        <v>171</v>
      </c>
      <c r="X123">
        <v>0.29635938849999999</v>
      </c>
      <c r="Y123">
        <v>2.0000000000000018E-2</v>
      </c>
      <c r="Z123">
        <v>2240</v>
      </c>
      <c r="AA123" t="s">
        <v>171</v>
      </c>
      <c r="AB123">
        <v>123.2</v>
      </c>
      <c r="AC123">
        <v>8.85</v>
      </c>
      <c r="AD123" t="s">
        <v>171</v>
      </c>
      <c r="AE123">
        <v>0.83508366519999999</v>
      </c>
      <c r="AF123">
        <v>2.0299999999999998</v>
      </c>
      <c r="AG123" t="s">
        <v>171</v>
      </c>
      <c r="AH123">
        <v>0.35741964212999999</v>
      </c>
      <c r="AI123">
        <v>10.88</v>
      </c>
      <c r="AJ123" t="s">
        <v>171</v>
      </c>
      <c r="AK123">
        <v>1.29323031248</v>
      </c>
      <c r="AL123">
        <v>2250.88</v>
      </c>
      <c r="AY123">
        <v>62.862862862862897</v>
      </c>
    </row>
    <row r="124" spans="1:51" x14ac:dyDescent="0.15">
      <c r="A124" t="s">
        <v>131</v>
      </c>
      <c r="B124" t="s">
        <v>204</v>
      </c>
      <c r="C124" t="s">
        <v>409</v>
      </c>
      <c r="D124" t="s">
        <v>346</v>
      </c>
      <c r="E124" t="s">
        <v>39</v>
      </c>
      <c r="F124" t="s">
        <v>39</v>
      </c>
      <c r="G124" t="s">
        <v>177</v>
      </c>
      <c r="H124">
        <v>3.75</v>
      </c>
      <c r="I124">
        <v>7.5</v>
      </c>
      <c r="J124">
        <v>4.9000000000000004</v>
      </c>
      <c r="K124" t="s">
        <v>171</v>
      </c>
      <c r="L124">
        <v>0.2</v>
      </c>
      <c r="M124">
        <v>74</v>
      </c>
      <c r="N124" t="s">
        <v>171</v>
      </c>
      <c r="O124">
        <v>7.8654812859999996</v>
      </c>
      <c r="P124">
        <v>390</v>
      </c>
      <c r="Q124" t="s">
        <v>171</v>
      </c>
      <c r="R124">
        <v>34.112991979999997</v>
      </c>
      <c r="S124">
        <v>5.12</v>
      </c>
      <c r="T124" t="s">
        <v>171</v>
      </c>
      <c r="U124">
        <v>0.51993216759999994</v>
      </c>
      <c r="V124">
        <v>4.99</v>
      </c>
      <c r="W124" t="s">
        <v>171</v>
      </c>
      <c r="X124">
        <v>0.51014615369999994</v>
      </c>
      <c r="Y124">
        <v>0.12999999999999989</v>
      </c>
      <c r="Z124">
        <v>4800</v>
      </c>
      <c r="AA124" t="s">
        <v>171</v>
      </c>
      <c r="AB124">
        <v>264</v>
      </c>
      <c r="AC124">
        <v>22.74</v>
      </c>
      <c r="AD124" t="s">
        <v>171</v>
      </c>
      <c r="AE124">
        <v>1.83600528808</v>
      </c>
      <c r="AF124">
        <v>3.26</v>
      </c>
      <c r="AG124" t="s">
        <v>171</v>
      </c>
      <c r="AH124">
        <v>0.52983928445999995</v>
      </c>
      <c r="AI124">
        <v>26</v>
      </c>
      <c r="AJ124" t="s">
        <v>171</v>
      </c>
      <c r="AK124">
        <v>1.8148044799999998</v>
      </c>
      <c r="AL124">
        <v>4826</v>
      </c>
      <c r="AO124">
        <v>9.5</v>
      </c>
      <c r="AP124">
        <v>168.50257780003568</v>
      </c>
      <c r="AQ124">
        <v>17.737113452635334</v>
      </c>
      <c r="AR124">
        <v>69.50731334251472</v>
      </c>
      <c r="AS124">
        <v>7.3165592992120763</v>
      </c>
      <c r="AT124">
        <v>12</v>
      </c>
      <c r="AU124">
        <v>186.21083834775862</v>
      </c>
      <c r="AV124">
        <v>15.517569862313218</v>
      </c>
      <c r="AW124">
        <v>76.811970818450433</v>
      </c>
      <c r="AX124">
        <v>6.4009975682042031</v>
      </c>
      <c r="AY124">
        <v>66.566566566566607</v>
      </c>
    </row>
    <row r="125" spans="1:51" x14ac:dyDescent="0.15">
      <c r="A125" t="s">
        <v>131</v>
      </c>
      <c r="B125" t="s">
        <v>204</v>
      </c>
      <c r="C125" t="s">
        <v>409</v>
      </c>
      <c r="D125" t="s">
        <v>346</v>
      </c>
      <c r="E125" t="s">
        <v>39</v>
      </c>
      <c r="F125" t="s">
        <v>39</v>
      </c>
      <c r="G125" t="s">
        <v>175</v>
      </c>
      <c r="H125">
        <v>16.25</v>
      </c>
      <c r="I125">
        <v>17.5</v>
      </c>
      <c r="J125">
        <v>4.3</v>
      </c>
      <c r="K125" t="s">
        <v>171</v>
      </c>
      <c r="L125">
        <v>0.2</v>
      </c>
      <c r="M125">
        <v>53</v>
      </c>
      <c r="N125" t="s">
        <v>171</v>
      </c>
      <c r="O125">
        <v>6.1261774539999996</v>
      </c>
      <c r="P125">
        <v>270</v>
      </c>
      <c r="Q125" t="s">
        <v>171</v>
      </c>
      <c r="R125">
        <v>23.517957859999996</v>
      </c>
      <c r="S125">
        <v>3.64</v>
      </c>
      <c r="T125" t="s">
        <v>171</v>
      </c>
      <c r="U125">
        <v>0.40852216320000001</v>
      </c>
      <c r="V125">
        <v>3.53</v>
      </c>
      <c r="W125" t="s">
        <v>171</v>
      </c>
      <c r="X125">
        <v>0.40024168989999998</v>
      </c>
      <c r="Y125">
        <v>0.11000000000000032</v>
      </c>
      <c r="Z125">
        <v>3980</v>
      </c>
      <c r="AA125" t="s">
        <v>171</v>
      </c>
      <c r="AB125">
        <v>218.9</v>
      </c>
      <c r="AC125">
        <v>16.38</v>
      </c>
      <c r="AD125" t="s">
        <v>171</v>
      </c>
      <c r="AE125">
        <v>1.3776999229600002</v>
      </c>
      <c r="AF125">
        <v>2.97</v>
      </c>
      <c r="AG125" t="s">
        <v>171</v>
      </c>
      <c r="AH125">
        <v>0.48918749887000007</v>
      </c>
      <c r="AI125">
        <v>19.350000000000001</v>
      </c>
      <c r="AJ125" t="s">
        <v>171</v>
      </c>
      <c r="AK125">
        <v>1.5854084341000001</v>
      </c>
      <c r="AL125">
        <v>3999.25</v>
      </c>
      <c r="AM125" t="s">
        <v>508</v>
      </c>
      <c r="AN125">
        <f>AM125*I125*V125</f>
        <v>58.954424659216521</v>
      </c>
      <c r="AY125">
        <v>65.330661322645298</v>
      </c>
    </row>
    <row r="126" spans="1:51" x14ac:dyDescent="0.15">
      <c r="A126" t="s">
        <v>131</v>
      </c>
      <c r="B126" t="s">
        <v>204</v>
      </c>
      <c r="C126" t="s">
        <v>409</v>
      </c>
      <c r="D126" t="s">
        <v>346</v>
      </c>
      <c r="E126" t="s">
        <v>39</v>
      </c>
      <c r="F126" t="s">
        <v>39</v>
      </c>
      <c r="G126" t="s">
        <v>21</v>
      </c>
      <c r="H126">
        <v>52.5</v>
      </c>
      <c r="I126">
        <v>15</v>
      </c>
      <c r="J126">
        <v>4.5</v>
      </c>
      <c r="K126" t="s">
        <v>171</v>
      </c>
      <c r="L126">
        <v>0.2</v>
      </c>
      <c r="M126">
        <v>27</v>
      </c>
      <c r="N126" t="s">
        <v>171</v>
      </c>
      <c r="O126">
        <v>3.9727536620000001</v>
      </c>
      <c r="P126">
        <v>197</v>
      </c>
      <c r="Q126" t="s">
        <v>171</v>
      </c>
      <c r="R126">
        <v>17.072645436999998</v>
      </c>
      <c r="S126">
        <v>2.0499999999999998</v>
      </c>
      <c r="T126" t="s">
        <v>171</v>
      </c>
      <c r="U126">
        <v>0.28883168549999999</v>
      </c>
      <c r="V126">
        <v>1.83</v>
      </c>
      <c r="W126" t="s">
        <v>171</v>
      </c>
      <c r="X126">
        <v>0.27227073889999998</v>
      </c>
      <c r="Y126">
        <v>0.21999999999999975</v>
      </c>
      <c r="Z126">
        <v>2360</v>
      </c>
      <c r="AA126" t="s">
        <v>171</v>
      </c>
      <c r="AB126">
        <v>129.80000000000001</v>
      </c>
      <c r="AC126">
        <v>5.79</v>
      </c>
      <c r="AD126" t="s">
        <v>171</v>
      </c>
      <c r="AE126">
        <v>0.61457825367999996</v>
      </c>
      <c r="AF126">
        <v>3.63</v>
      </c>
      <c r="AG126" t="s">
        <v>171</v>
      </c>
      <c r="AH126">
        <v>0.58170535573000004</v>
      </c>
      <c r="AI126">
        <v>9.42</v>
      </c>
      <c r="AJ126" t="s">
        <v>171</v>
      </c>
      <c r="AK126">
        <v>1.2428666693199999</v>
      </c>
      <c r="AL126">
        <v>2369.42</v>
      </c>
      <c r="AY126">
        <v>66.066066066066099</v>
      </c>
    </row>
    <row r="127" spans="1:51" x14ac:dyDescent="0.15">
      <c r="A127" t="s">
        <v>131</v>
      </c>
      <c r="B127" t="s">
        <v>205</v>
      </c>
      <c r="C127" t="s">
        <v>409</v>
      </c>
      <c r="D127" t="s">
        <v>346</v>
      </c>
      <c r="E127" t="s">
        <v>404</v>
      </c>
      <c r="F127" t="s">
        <v>404</v>
      </c>
      <c r="G127" t="s">
        <v>177</v>
      </c>
      <c r="H127">
        <v>3.75</v>
      </c>
      <c r="I127">
        <v>7.5</v>
      </c>
      <c r="J127">
        <v>4.5999999999999996</v>
      </c>
      <c r="K127" t="s">
        <v>171</v>
      </c>
      <c r="L127">
        <v>0.2</v>
      </c>
      <c r="M127">
        <v>37</v>
      </c>
      <c r="N127" t="s">
        <v>171</v>
      </c>
      <c r="O127">
        <v>4.8009935820000003</v>
      </c>
      <c r="P127">
        <v>354</v>
      </c>
      <c r="Q127" t="s">
        <v>171</v>
      </c>
      <c r="R127">
        <v>30.934481743999996</v>
      </c>
      <c r="S127">
        <v>4.2699999999999996</v>
      </c>
      <c r="T127" t="s">
        <v>171</v>
      </c>
      <c r="U127">
        <v>0.45594669209999994</v>
      </c>
      <c r="V127">
        <v>4.05</v>
      </c>
      <c r="W127" t="s">
        <v>171</v>
      </c>
      <c r="X127">
        <v>0.43938574549999998</v>
      </c>
      <c r="Y127">
        <v>0.21999999999999975</v>
      </c>
      <c r="Z127">
        <v>4630</v>
      </c>
      <c r="AA127" t="s">
        <v>171</v>
      </c>
      <c r="AB127">
        <v>254.65</v>
      </c>
      <c r="AC127">
        <v>17.32</v>
      </c>
      <c r="AD127" t="s">
        <v>171</v>
      </c>
      <c r="AE127">
        <v>1.4454368794400003</v>
      </c>
      <c r="AF127">
        <v>5.15</v>
      </c>
      <c r="AG127" t="s">
        <v>171</v>
      </c>
      <c r="AH127">
        <v>0.79477678365000004</v>
      </c>
      <c r="AI127">
        <v>22.47</v>
      </c>
      <c r="AJ127" t="s">
        <v>171</v>
      </c>
      <c r="AK127">
        <v>1.6930348496199998</v>
      </c>
      <c r="AL127">
        <v>4652.47</v>
      </c>
    </row>
    <row r="128" spans="1:51" x14ac:dyDescent="0.15">
      <c r="A128" t="s">
        <v>131</v>
      </c>
      <c r="B128" t="s">
        <v>205</v>
      </c>
      <c r="C128" t="s">
        <v>409</v>
      </c>
      <c r="D128" t="s">
        <v>346</v>
      </c>
      <c r="E128" t="s">
        <v>404</v>
      </c>
      <c r="F128" t="s">
        <v>404</v>
      </c>
      <c r="G128" t="s">
        <v>175</v>
      </c>
      <c r="H128">
        <v>16.25</v>
      </c>
      <c r="I128">
        <v>17.5</v>
      </c>
      <c r="J128">
        <v>4.2</v>
      </c>
      <c r="K128" t="s">
        <v>171</v>
      </c>
      <c r="L128">
        <v>0.2</v>
      </c>
      <c r="M128">
        <v>30</v>
      </c>
      <c r="N128" t="s">
        <v>171</v>
      </c>
      <c r="O128">
        <v>4.2212256379999999</v>
      </c>
      <c r="P128">
        <v>214</v>
      </c>
      <c r="Q128" t="s">
        <v>171</v>
      </c>
      <c r="R128">
        <v>18.573608603999997</v>
      </c>
      <c r="S128">
        <v>3.26</v>
      </c>
      <c r="T128" t="s">
        <v>171</v>
      </c>
      <c r="U128">
        <v>0.37991689179999999</v>
      </c>
      <c r="V128">
        <v>3.17</v>
      </c>
      <c r="W128" t="s">
        <v>171</v>
      </c>
      <c r="X128">
        <v>0.37314195909999998</v>
      </c>
      <c r="Y128">
        <v>8.9999999999999858E-2</v>
      </c>
      <c r="Z128">
        <v>3430</v>
      </c>
      <c r="AA128" t="s">
        <v>171</v>
      </c>
      <c r="AB128">
        <v>188.65</v>
      </c>
      <c r="AC128">
        <v>10.44</v>
      </c>
      <c r="AD128" t="s">
        <v>171</v>
      </c>
      <c r="AE128">
        <v>0.94966000648000004</v>
      </c>
      <c r="AF128">
        <v>2.54</v>
      </c>
      <c r="AG128" t="s">
        <v>171</v>
      </c>
      <c r="AH128">
        <v>0.42891071334000003</v>
      </c>
      <c r="AI128">
        <v>12.98</v>
      </c>
      <c r="AJ128" t="s">
        <v>171</v>
      </c>
      <c r="AK128">
        <v>1.3656711690800001</v>
      </c>
      <c r="AL128">
        <v>3442.98</v>
      </c>
      <c r="AM128" t="s">
        <v>509</v>
      </c>
      <c r="AN128">
        <f>AM128*I128*V128</f>
        <v>53.795012894510606</v>
      </c>
    </row>
    <row r="129" spans="1:51" x14ac:dyDescent="0.15">
      <c r="A129" t="s">
        <v>131</v>
      </c>
      <c r="B129" t="s">
        <v>205</v>
      </c>
      <c r="C129" t="s">
        <v>409</v>
      </c>
      <c r="D129" t="s">
        <v>346</v>
      </c>
      <c r="E129" t="s">
        <v>404</v>
      </c>
      <c r="F129" t="s">
        <v>404</v>
      </c>
      <c r="G129" t="s">
        <v>21</v>
      </c>
      <c r="H129">
        <v>52.5</v>
      </c>
      <c r="I129">
        <v>15</v>
      </c>
      <c r="J129">
        <v>4.5999999999999996</v>
      </c>
      <c r="K129" t="s">
        <v>171</v>
      </c>
      <c r="L129">
        <v>0.2</v>
      </c>
      <c r="M129">
        <v>25</v>
      </c>
      <c r="N129" t="s">
        <v>171</v>
      </c>
      <c r="O129">
        <v>3.8071056780000001</v>
      </c>
      <c r="P129">
        <v>190</v>
      </c>
      <c r="Q129" t="s">
        <v>171</v>
      </c>
      <c r="R129">
        <v>16.454601779999997</v>
      </c>
      <c r="S129">
        <v>2.59</v>
      </c>
      <c r="T129" t="s">
        <v>171</v>
      </c>
      <c r="U129">
        <v>0.32948128170000002</v>
      </c>
      <c r="V129">
        <v>2.38</v>
      </c>
      <c r="W129" t="s">
        <v>171</v>
      </c>
      <c r="X129">
        <v>0.31367310539999999</v>
      </c>
      <c r="Y129">
        <v>0.20999999999999996</v>
      </c>
      <c r="Z129">
        <v>2540</v>
      </c>
      <c r="AA129" t="s">
        <v>171</v>
      </c>
      <c r="AB129">
        <v>139.69999999999999</v>
      </c>
      <c r="AC129">
        <v>6.1</v>
      </c>
      <c r="AD129" t="s">
        <v>171</v>
      </c>
      <c r="AE129">
        <v>0.63691703719999992</v>
      </c>
      <c r="AF129">
        <v>2.69</v>
      </c>
      <c r="AG129" t="s">
        <v>171</v>
      </c>
      <c r="AH129">
        <v>0.44993749899000002</v>
      </c>
      <c r="AI129">
        <v>8.7899999999999991</v>
      </c>
      <c r="AJ129" t="s">
        <v>171</v>
      </c>
      <c r="AK129">
        <v>1.2211344123399999</v>
      </c>
      <c r="AL129">
        <v>2548.79</v>
      </c>
    </row>
    <row r="130" spans="1:51" x14ac:dyDescent="0.15">
      <c r="A130" t="s">
        <v>207</v>
      </c>
      <c r="B130" t="s">
        <v>206</v>
      </c>
      <c r="C130" t="s">
        <v>409</v>
      </c>
      <c r="D130" t="s">
        <v>346</v>
      </c>
      <c r="E130" t="s">
        <v>405</v>
      </c>
      <c r="F130" t="s">
        <v>405</v>
      </c>
      <c r="G130" t="s">
        <v>177</v>
      </c>
      <c r="H130">
        <v>3.75</v>
      </c>
      <c r="I130">
        <v>7.5</v>
      </c>
      <c r="J130">
        <v>5.3</v>
      </c>
      <c r="K130" t="s">
        <v>171</v>
      </c>
      <c r="L130">
        <v>0.2</v>
      </c>
      <c r="M130">
        <v>43</v>
      </c>
      <c r="N130" t="s">
        <v>171</v>
      </c>
      <c r="O130">
        <v>5.2979375339999999</v>
      </c>
      <c r="P130">
        <v>316</v>
      </c>
      <c r="Q130" t="s">
        <v>171</v>
      </c>
      <c r="R130">
        <v>27.579387605999997</v>
      </c>
      <c r="S130">
        <v>4.21</v>
      </c>
      <c r="T130" t="s">
        <v>171</v>
      </c>
      <c r="U130">
        <v>0.45143007029999993</v>
      </c>
      <c r="V130">
        <v>3.91</v>
      </c>
      <c r="W130" t="s">
        <v>171</v>
      </c>
      <c r="X130">
        <v>0.4288469613</v>
      </c>
      <c r="Y130">
        <v>0.29999999999999982</v>
      </c>
      <c r="Z130">
        <v>4080</v>
      </c>
      <c r="AA130" t="s">
        <v>171</v>
      </c>
      <c r="AB130">
        <v>224.4</v>
      </c>
      <c r="AC130">
        <v>18.52</v>
      </c>
      <c r="AD130" t="s">
        <v>171</v>
      </c>
      <c r="AE130">
        <v>1.5319095898400001</v>
      </c>
      <c r="AF130">
        <v>2.48</v>
      </c>
      <c r="AG130" t="s">
        <v>171</v>
      </c>
      <c r="AH130">
        <v>0.42049999908000002</v>
      </c>
      <c r="AI130">
        <v>21</v>
      </c>
      <c r="AJ130" t="s">
        <v>171</v>
      </c>
      <c r="AK130">
        <v>1.64232625</v>
      </c>
      <c r="AL130">
        <v>4101</v>
      </c>
      <c r="AT130">
        <v>30</v>
      </c>
      <c r="AU130">
        <v>491.12356966371823</v>
      </c>
      <c r="AV130">
        <v>16.370785655457276</v>
      </c>
      <c r="AW130">
        <v>207.78304870388078</v>
      </c>
      <c r="AX130">
        <v>6.9261016234626931</v>
      </c>
    </row>
    <row r="131" spans="1:51" x14ac:dyDescent="0.15">
      <c r="A131" t="s">
        <v>207</v>
      </c>
      <c r="B131" t="s">
        <v>208</v>
      </c>
      <c r="C131" t="s">
        <v>409</v>
      </c>
      <c r="D131" t="s">
        <v>346</v>
      </c>
      <c r="E131" t="s">
        <v>405</v>
      </c>
      <c r="F131" t="s">
        <v>405</v>
      </c>
      <c r="G131" t="s">
        <v>175</v>
      </c>
      <c r="H131">
        <v>16.25</v>
      </c>
      <c r="I131">
        <v>17.5</v>
      </c>
      <c r="J131">
        <v>4.5</v>
      </c>
      <c r="K131" t="s">
        <v>171</v>
      </c>
      <c r="L131">
        <v>0.2</v>
      </c>
      <c r="M131">
        <v>39</v>
      </c>
      <c r="N131" t="s">
        <v>171</v>
      </c>
      <c r="O131">
        <v>4.9666415659999998</v>
      </c>
      <c r="P131">
        <v>181</v>
      </c>
      <c r="Q131" t="s">
        <v>171</v>
      </c>
      <c r="R131">
        <v>15.659974220999999</v>
      </c>
      <c r="S131">
        <v>2.8</v>
      </c>
      <c r="T131" t="s">
        <v>171</v>
      </c>
      <c r="U131">
        <v>0.34528945799999999</v>
      </c>
      <c r="V131">
        <v>2.77</v>
      </c>
      <c r="W131" t="s">
        <v>171</v>
      </c>
      <c r="X131">
        <v>0.34303114709999999</v>
      </c>
      <c r="Y131">
        <v>2.9999999999999805E-2</v>
      </c>
      <c r="Z131">
        <v>2960</v>
      </c>
      <c r="AA131" t="s">
        <v>171</v>
      </c>
      <c r="AB131">
        <v>162.80000000000001</v>
      </c>
      <c r="AC131">
        <v>11.16</v>
      </c>
      <c r="AD131" t="s">
        <v>171</v>
      </c>
      <c r="AE131">
        <v>1.0015436327200002</v>
      </c>
      <c r="AF131">
        <v>3.2</v>
      </c>
      <c r="AG131" t="s">
        <v>171</v>
      </c>
      <c r="AH131">
        <v>0.5214285702</v>
      </c>
      <c r="AI131">
        <v>14.36</v>
      </c>
      <c r="AJ131" t="s">
        <v>171</v>
      </c>
      <c r="AK131">
        <v>1.41327516056</v>
      </c>
      <c r="AL131">
        <v>2794.36</v>
      </c>
      <c r="AM131" t="s">
        <v>510</v>
      </c>
      <c r="AN131">
        <f>AM131*I131*V131</f>
        <v>52.712321011912032</v>
      </c>
    </row>
    <row r="132" spans="1:51" x14ac:dyDescent="0.15">
      <c r="A132" t="s">
        <v>207</v>
      </c>
      <c r="B132" t="s">
        <v>208</v>
      </c>
      <c r="C132" t="s">
        <v>409</v>
      </c>
      <c r="D132" t="s">
        <v>346</v>
      </c>
      <c r="E132" t="s">
        <v>405</v>
      </c>
      <c r="F132" t="s">
        <v>405</v>
      </c>
      <c r="G132" t="s">
        <v>21</v>
      </c>
      <c r="H132">
        <v>52.5</v>
      </c>
      <c r="I132">
        <v>15</v>
      </c>
      <c r="J132">
        <v>5</v>
      </c>
      <c r="K132" t="s">
        <v>171</v>
      </c>
      <c r="L132">
        <v>0.2</v>
      </c>
      <c r="M132">
        <v>39</v>
      </c>
      <c r="N132" t="s">
        <v>171</v>
      </c>
      <c r="O132">
        <v>4.9666415659999998</v>
      </c>
      <c r="P132">
        <v>156</v>
      </c>
      <c r="Q132" t="s">
        <v>171</v>
      </c>
      <c r="R132">
        <v>13.452675445999999</v>
      </c>
      <c r="S132">
        <v>2.0299999999999998</v>
      </c>
      <c r="T132" t="s">
        <v>171</v>
      </c>
      <c r="U132">
        <v>0.28732614489999997</v>
      </c>
      <c r="V132">
        <v>1.92</v>
      </c>
      <c r="W132" t="s">
        <v>171</v>
      </c>
      <c r="X132">
        <v>0.27904567159999999</v>
      </c>
      <c r="Y132">
        <v>0.10999999999999988</v>
      </c>
      <c r="Z132">
        <v>1850</v>
      </c>
      <c r="AA132" t="s">
        <v>171</v>
      </c>
      <c r="AB132">
        <v>101.75</v>
      </c>
      <c r="AC132">
        <v>5.65</v>
      </c>
      <c r="AD132" t="s">
        <v>171</v>
      </c>
      <c r="AE132">
        <v>0.6044897708000001</v>
      </c>
      <c r="AF132">
        <v>2.4900000000000002</v>
      </c>
      <c r="AG132" t="s">
        <v>171</v>
      </c>
      <c r="AH132">
        <v>0.42190178479000007</v>
      </c>
      <c r="AI132">
        <v>8.14</v>
      </c>
      <c r="AJ132" t="s">
        <v>171</v>
      </c>
      <c r="AK132">
        <v>1.1987122424400001</v>
      </c>
      <c r="AL132">
        <v>1858.14</v>
      </c>
    </row>
    <row r="133" spans="1:51" x14ac:dyDescent="0.15">
      <c r="A133" t="s">
        <v>210</v>
      </c>
      <c r="B133" t="s">
        <v>209</v>
      </c>
      <c r="C133" t="s">
        <v>409</v>
      </c>
      <c r="D133" t="s">
        <v>346</v>
      </c>
      <c r="E133" t="s">
        <v>37</v>
      </c>
      <c r="F133" t="s">
        <v>37</v>
      </c>
      <c r="G133" t="s">
        <v>177</v>
      </c>
      <c r="H133">
        <v>3.75</v>
      </c>
      <c r="I133">
        <v>7.5</v>
      </c>
      <c r="J133">
        <v>5.5</v>
      </c>
      <c r="K133" t="s">
        <v>171</v>
      </c>
      <c r="L133">
        <v>0.2</v>
      </c>
      <c r="M133">
        <v>174</v>
      </c>
      <c r="N133" t="s">
        <v>171</v>
      </c>
      <c r="O133">
        <v>16.147880485999998</v>
      </c>
      <c r="P133">
        <v>700</v>
      </c>
      <c r="Q133" t="s">
        <v>171</v>
      </c>
      <c r="R133">
        <v>61.483496789999997</v>
      </c>
      <c r="S133">
        <v>4.08</v>
      </c>
      <c r="T133" t="s">
        <v>171</v>
      </c>
      <c r="U133">
        <v>0.44164405640000004</v>
      </c>
      <c r="V133">
        <v>3.75</v>
      </c>
      <c r="W133" t="s">
        <v>171</v>
      </c>
      <c r="X133">
        <v>0.41680263649999993</v>
      </c>
      <c r="Y133">
        <v>0.33000000000000007</v>
      </c>
      <c r="Z133">
        <v>3700</v>
      </c>
      <c r="AA133" t="s">
        <v>171</v>
      </c>
      <c r="AB133">
        <v>203.5</v>
      </c>
      <c r="AC133">
        <v>26.37</v>
      </c>
      <c r="AD133" t="s">
        <v>171</v>
      </c>
      <c r="AE133">
        <v>2.0975852370400001</v>
      </c>
      <c r="AF133">
        <v>3.87</v>
      </c>
      <c r="AG133" t="s">
        <v>171</v>
      </c>
      <c r="AH133">
        <v>0.61534821277000007</v>
      </c>
      <c r="AI133">
        <v>30.24</v>
      </c>
      <c r="AJ133" t="s">
        <v>171</v>
      </c>
      <c r="AK133">
        <v>1.96106601904</v>
      </c>
      <c r="AL133">
        <v>3730.24</v>
      </c>
      <c r="AM133" s="141">
        <f>AM134-((AM134-AM136)/(H134-H136))*H133</f>
        <v>0.96279252795164949</v>
      </c>
      <c r="AN133">
        <f>AM133*I133*V133</f>
        <v>27.078539848640144</v>
      </c>
      <c r="AT133">
        <v>34</v>
      </c>
      <c r="AU133">
        <v>842.69727383555335</v>
      </c>
      <c r="AV133">
        <v>24.785213936339805</v>
      </c>
      <c r="AW133">
        <v>356.52576969965719</v>
      </c>
      <c r="AX133">
        <v>10.486052049989917</v>
      </c>
      <c r="AY133">
        <v>53.607214428857702</v>
      </c>
    </row>
    <row r="134" spans="1:51" x14ac:dyDescent="0.15">
      <c r="A134" t="s">
        <v>210</v>
      </c>
      <c r="B134" t="s">
        <v>172</v>
      </c>
      <c r="C134" t="s">
        <v>409</v>
      </c>
      <c r="D134" t="s">
        <v>346</v>
      </c>
      <c r="E134" t="s">
        <v>37</v>
      </c>
      <c r="F134" t="s">
        <v>37</v>
      </c>
      <c r="G134" t="s">
        <v>175</v>
      </c>
      <c r="H134">
        <v>16.25</v>
      </c>
      <c r="I134">
        <v>17.5</v>
      </c>
      <c r="J134">
        <v>5.0999999999999996</v>
      </c>
      <c r="K134" t="s">
        <v>171</v>
      </c>
      <c r="L134">
        <v>0.2</v>
      </c>
      <c r="M134">
        <v>113</v>
      </c>
      <c r="N134" t="s">
        <v>171</v>
      </c>
      <c r="O134">
        <v>11.095616973999999</v>
      </c>
      <c r="P134">
        <v>560</v>
      </c>
      <c r="Q134" t="s">
        <v>171</v>
      </c>
      <c r="R134">
        <v>49.122623649999994</v>
      </c>
      <c r="S134">
        <v>2.7</v>
      </c>
      <c r="T134" t="s">
        <v>171</v>
      </c>
      <c r="U134">
        <v>0.337761755</v>
      </c>
      <c r="V134">
        <v>2.33</v>
      </c>
      <c r="W134" t="s">
        <v>171</v>
      </c>
      <c r="X134">
        <v>0.30990925390000001</v>
      </c>
      <c r="Y134">
        <v>0.37000000000000011</v>
      </c>
      <c r="Z134">
        <v>2290</v>
      </c>
      <c r="AA134" t="s">
        <v>171</v>
      </c>
      <c r="AB134">
        <v>125.95</v>
      </c>
      <c r="AC134">
        <v>11.2</v>
      </c>
      <c r="AD134" t="s">
        <v>171</v>
      </c>
      <c r="AE134">
        <v>1.0044260564</v>
      </c>
      <c r="AF134">
        <v>4.2300000000000004</v>
      </c>
      <c r="AG134" t="s">
        <v>171</v>
      </c>
      <c r="AH134">
        <v>0.66581249833000011</v>
      </c>
      <c r="AI134">
        <v>15.43</v>
      </c>
      <c r="AJ134" t="s">
        <v>171</v>
      </c>
      <c r="AK134">
        <v>1.4501855017800001</v>
      </c>
      <c r="AL134">
        <v>2305.4299999999998</v>
      </c>
      <c r="AM134" t="s">
        <v>511</v>
      </c>
      <c r="AN134">
        <f>AM134*I134*V134</f>
        <v>41.136531990666825</v>
      </c>
      <c r="AY134">
        <v>57.257257257257301</v>
      </c>
    </row>
    <row r="135" spans="1:51" x14ac:dyDescent="0.15">
      <c r="A135" t="s">
        <v>210</v>
      </c>
      <c r="B135" t="s">
        <v>172</v>
      </c>
      <c r="C135" t="s">
        <v>409</v>
      </c>
      <c r="D135" t="s">
        <v>346</v>
      </c>
      <c r="E135" t="s">
        <v>37</v>
      </c>
      <c r="F135" t="s">
        <v>37</v>
      </c>
      <c r="G135" t="s">
        <v>176</v>
      </c>
      <c r="H135">
        <v>35</v>
      </c>
      <c r="I135">
        <v>20</v>
      </c>
      <c r="J135">
        <v>4</v>
      </c>
      <c r="K135" t="s">
        <v>171</v>
      </c>
      <c r="L135">
        <v>0.2</v>
      </c>
      <c r="M135">
        <v>85</v>
      </c>
      <c r="N135" t="s">
        <v>171</v>
      </c>
      <c r="O135">
        <v>8.7765451980000009</v>
      </c>
      <c r="P135">
        <v>485</v>
      </c>
      <c r="Q135" t="s">
        <v>171</v>
      </c>
      <c r="R135">
        <v>42.500727324999993</v>
      </c>
      <c r="S135">
        <v>2.2000000000000002</v>
      </c>
      <c r="T135" t="s">
        <v>171</v>
      </c>
      <c r="U135">
        <v>0.30012324000000001</v>
      </c>
      <c r="V135">
        <v>2.0699999999999998</v>
      </c>
      <c r="W135" t="s">
        <v>171</v>
      </c>
      <c r="X135">
        <v>0.29033722610000001</v>
      </c>
      <c r="Y135">
        <v>0.13000000000000034</v>
      </c>
      <c r="Z135">
        <v>1760</v>
      </c>
      <c r="AA135" t="s">
        <v>171</v>
      </c>
      <c r="AB135">
        <v>96.8</v>
      </c>
      <c r="AC135">
        <v>2.9</v>
      </c>
      <c r="AD135" t="s">
        <v>171</v>
      </c>
      <c r="AE135">
        <v>0.40632314280000004</v>
      </c>
      <c r="AF135">
        <v>7.31</v>
      </c>
      <c r="AG135" t="s">
        <v>171</v>
      </c>
      <c r="AH135">
        <v>1.09756249701</v>
      </c>
      <c r="AI135">
        <v>10.210000000000001</v>
      </c>
      <c r="AJ135" t="s">
        <v>171</v>
      </c>
      <c r="AK135">
        <v>1.27011822966</v>
      </c>
      <c r="AL135">
        <v>1770.21</v>
      </c>
      <c r="AM135" s="140">
        <f>(((AM134-AM136)/(H134-H136))*(H135-H134))+AM134</f>
        <v>1.2392364269247924</v>
      </c>
      <c r="AN135">
        <f>AM135*I135*V135</f>
        <v>51.304388074686401</v>
      </c>
    </row>
    <row r="136" spans="1:51" x14ac:dyDescent="0.15">
      <c r="A136" t="s">
        <v>210</v>
      </c>
      <c r="B136" t="s">
        <v>209</v>
      </c>
      <c r="C136" t="s">
        <v>409</v>
      </c>
      <c r="D136" t="s">
        <v>346</v>
      </c>
      <c r="E136" t="s">
        <v>37</v>
      </c>
      <c r="F136" t="s">
        <v>37</v>
      </c>
      <c r="G136" t="s">
        <v>21</v>
      </c>
      <c r="H136">
        <v>52.5</v>
      </c>
      <c r="I136">
        <v>15</v>
      </c>
      <c r="J136">
        <v>3.9</v>
      </c>
      <c r="K136" t="s">
        <v>171</v>
      </c>
      <c r="L136">
        <v>0.2</v>
      </c>
      <c r="M136">
        <v>71</v>
      </c>
      <c r="N136" t="s">
        <v>171</v>
      </c>
      <c r="O136">
        <v>7.6170093100000003</v>
      </c>
      <c r="P136">
        <v>360</v>
      </c>
      <c r="Q136" t="s">
        <v>171</v>
      </c>
      <c r="R136">
        <v>31.464233449999995</v>
      </c>
      <c r="S136">
        <v>1.86</v>
      </c>
      <c r="T136" t="s">
        <v>171</v>
      </c>
      <c r="U136">
        <v>0.27452904980000004</v>
      </c>
      <c r="V136">
        <v>1.57</v>
      </c>
      <c r="W136" t="s">
        <v>171</v>
      </c>
      <c r="X136">
        <v>0.25269871109999997</v>
      </c>
      <c r="Y136">
        <v>0.29000000000000004</v>
      </c>
      <c r="Z136">
        <v>1500</v>
      </c>
      <c r="AA136" t="s">
        <v>171</v>
      </c>
      <c r="AB136">
        <v>82.5</v>
      </c>
      <c r="AC136">
        <v>1.31</v>
      </c>
      <c r="AD136" t="s">
        <v>171</v>
      </c>
      <c r="AE136">
        <v>0.29174680151999999</v>
      </c>
      <c r="AF136">
        <v>9.01</v>
      </c>
      <c r="AG136" t="s">
        <v>171</v>
      </c>
      <c r="AH136">
        <v>1.33586606771</v>
      </c>
      <c r="AI136">
        <v>10.32</v>
      </c>
      <c r="AJ136" t="s">
        <v>171</v>
      </c>
      <c r="AK136">
        <v>1.2739127507199999</v>
      </c>
      <c r="AL136">
        <v>1510.32</v>
      </c>
      <c r="AM136" s="139">
        <f>-0.0042*AY136+1.6859</f>
        <v>1.4542483483483482</v>
      </c>
      <c r="AN136">
        <f>AM136*I136*V136</f>
        <v>34.247548603603605</v>
      </c>
      <c r="AY136">
        <v>55.1551551551552</v>
      </c>
    </row>
    <row r="137" spans="1:51" x14ac:dyDescent="0.15">
      <c r="A137" t="s">
        <v>210</v>
      </c>
      <c r="B137" t="s">
        <v>98</v>
      </c>
      <c r="C137" t="s">
        <v>98</v>
      </c>
      <c r="D137" t="s">
        <v>350</v>
      </c>
      <c r="E137" t="s">
        <v>349</v>
      </c>
      <c r="G137" t="s">
        <v>177</v>
      </c>
      <c r="H137">
        <v>3.75</v>
      </c>
      <c r="I137">
        <v>7.5</v>
      </c>
      <c r="J137">
        <v>5.2</v>
      </c>
      <c r="K137" t="s">
        <v>171</v>
      </c>
      <c r="L137">
        <v>0.2</v>
      </c>
      <c r="M137">
        <v>157</v>
      </c>
      <c r="N137" t="s">
        <v>171</v>
      </c>
      <c r="O137">
        <v>14.739872622</v>
      </c>
      <c r="P137">
        <v>575</v>
      </c>
      <c r="Q137" t="s">
        <v>171</v>
      </c>
      <c r="R137">
        <v>50.447002914999992</v>
      </c>
      <c r="S137">
        <v>2.67</v>
      </c>
      <c r="T137" t="s">
        <v>171</v>
      </c>
      <c r="U137">
        <v>0.33550344409999999</v>
      </c>
      <c r="V137">
        <v>2.3199999999999998</v>
      </c>
      <c r="W137" t="s">
        <v>171</v>
      </c>
      <c r="X137">
        <v>0.30915648359999998</v>
      </c>
      <c r="Y137">
        <v>0.35000000000000009</v>
      </c>
      <c r="Z137">
        <v>2230</v>
      </c>
      <c r="AA137" t="s">
        <v>171</v>
      </c>
      <c r="AB137">
        <v>122.65</v>
      </c>
      <c r="AC137">
        <v>8.39</v>
      </c>
      <c r="AD137" t="s">
        <v>171</v>
      </c>
      <c r="AE137">
        <v>0.80193579288000005</v>
      </c>
      <c r="AF137">
        <v>4.58</v>
      </c>
      <c r="AG137" t="s">
        <v>171</v>
      </c>
      <c r="AH137">
        <v>0.71487499818</v>
      </c>
      <c r="AI137">
        <v>12.97</v>
      </c>
      <c r="AJ137" t="s">
        <v>171</v>
      </c>
      <c r="AK137">
        <v>1.3653262126199999</v>
      </c>
      <c r="AL137">
        <v>2242.9699999999998</v>
      </c>
    </row>
    <row r="138" spans="1:51" x14ac:dyDescent="0.15">
      <c r="A138" t="s">
        <v>210</v>
      </c>
      <c r="B138" t="s">
        <v>98</v>
      </c>
      <c r="C138" t="s">
        <v>98</v>
      </c>
      <c r="D138" t="s">
        <v>350</v>
      </c>
      <c r="E138" t="s">
        <v>349</v>
      </c>
      <c r="G138" t="s">
        <v>175</v>
      </c>
      <c r="H138">
        <v>16.25</v>
      </c>
      <c r="I138">
        <v>17.5</v>
      </c>
      <c r="J138">
        <v>5.2</v>
      </c>
      <c r="K138" t="s">
        <v>171</v>
      </c>
      <c r="L138">
        <v>0.2</v>
      </c>
      <c r="M138">
        <v>106</v>
      </c>
      <c r="N138" t="s">
        <v>171</v>
      </c>
      <c r="O138">
        <v>10.515849029999998</v>
      </c>
      <c r="P138">
        <v>459</v>
      </c>
      <c r="Q138" t="s">
        <v>171</v>
      </c>
      <c r="R138">
        <v>40.205136598999992</v>
      </c>
      <c r="S138">
        <v>2.56</v>
      </c>
      <c r="T138" t="s">
        <v>171</v>
      </c>
      <c r="U138">
        <v>0.32722297079999996</v>
      </c>
      <c r="V138">
        <v>1.61</v>
      </c>
      <c r="W138" t="s">
        <v>171</v>
      </c>
      <c r="X138">
        <v>0.25570979230000002</v>
      </c>
      <c r="Y138">
        <v>0.95</v>
      </c>
      <c r="Z138">
        <v>1730</v>
      </c>
      <c r="AA138" t="s">
        <v>171</v>
      </c>
      <c r="AB138">
        <v>95.15</v>
      </c>
      <c r="AC138">
        <v>5.92</v>
      </c>
      <c r="AD138" t="s">
        <v>171</v>
      </c>
      <c r="AE138">
        <v>0.62394613064000004</v>
      </c>
      <c r="AF138">
        <v>2.85</v>
      </c>
      <c r="AG138" t="s">
        <v>171</v>
      </c>
      <c r="AH138">
        <v>0.47236607035000006</v>
      </c>
      <c r="AI138">
        <v>8.77</v>
      </c>
      <c r="AJ138" t="s">
        <v>171</v>
      </c>
      <c r="AK138">
        <v>1.2204444994199999</v>
      </c>
      <c r="AL138">
        <v>1738.77</v>
      </c>
      <c r="AM138" t="s">
        <v>512</v>
      </c>
      <c r="AN138">
        <f>AM138*I138*V138</f>
        <v>33.039797986000131</v>
      </c>
    </row>
    <row r="139" spans="1:51" x14ac:dyDescent="0.15">
      <c r="A139" t="s">
        <v>210</v>
      </c>
      <c r="B139" t="s">
        <v>98</v>
      </c>
      <c r="C139" t="s">
        <v>98</v>
      </c>
      <c r="D139" t="s">
        <v>350</v>
      </c>
      <c r="E139" t="s">
        <v>349</v>
      </c>
      <c r="G139" t="s">
        <v>176</v>
      </c>
      <c r="H139">
        <v>35</v>
      </c>
      <c r="I139">
        <v>20</v>
      </c>
      <c r="J139">
        <v>5</v>
      </c>
      <c r="K139" t="s">
        <v>171</v>
      </c>
      <c r="L139">
        <v>0.2</v>
      </c>
      <c r="M139">
        <v>70</v>
      </c>
      <c r="N139" t="s">
        <v>171</v>
      </c>
      <c r="O139">
        <v>7.5341853179999996</v>
      </c>
      <c r="P139">
        <v>312</v>
      </c>
      <c r="Q139" t="s">
        <v>171</v>
      </c>
      <c r="R139">
        <v>27.226219801999996</v>
      </c>
      <c r="S139">
        <v>1.59</v>
      </c>
      <c r="T139" t="s">
        <v>171</v>
      </c>
      <c r="U139">
        <v>0.25420425169999999</v>
      </c>
      <c r="V139">
        <v>1.44</v>
      </c>
      <c r="W139" t="s">
        <v>171</v>
      </c>
      <c r="X139">
        <v>0.24291269719999997</v>
      </c>
      <c r="Y139">
        <v>0.15000000000000013</v>
      </c>
      <c r="Z139">
        <v>1480</v>
      </c>
      <c r="AA139" t="s">
        <v>171</v>
      </c>
      <c r="AB139">
        <v>81.400000000000006</v>
      </c>
      <c r="AC139">
        <v>3.85</v>
      </c>
      <c r="AD139" t="s">
        <v>171</v>
      </c>
      <c r="AE139">
        <v>0.47478070520000004</v>
      </c>
      <c r="AF139">
        <v>2.62</v>
      </c>
      <c r="AG139" t="s">
        <v>171</v>
      </c>
      <c r="AH139">
        <v>0.44012499902000002</v>
      </c>
      <c r="AI139">
        <v>6.47</v>
      </c>
      <c r="AJ139" t="s">
        <v>171</v>
      </c>
      <c r="AK139">
        <v>1.14110451362</v>
      </c>
      <c r="AL139">
        <v>1486.47</v>
      </c>
    </row>
    <row r="140" spans="1:51" x14ac:dyDescent="0.15">
      <c r="A140" t="s">
        <v>210</v>
      </c>
      <c r="B140" t="s">
        <v>98</v>
      </c>
      <c r="C140" t="s">
        <v>98</v>
      </c>
      <c r="D140" t="s">
        <v>350</v>
      </c>
      <c r="E140" t="s">
        <v>349</v>
      </c>
      <c r="G140" t="s">
        <v>21</v>
      </c>
      <c r="H140">
        <v>52.5</v>
      </c>
      <c r="I140">
        <v>15</v>
      </c>
      <c r="J140">
        <v>5.2</v>
      </c>
      <c r="K140" t="s">
        <v>171</v>
      </c>
      <c r="L140">
        <v>0.2</v>
      </c>
      <c r="M140">
        <v>125</v>
      </c>
      <c r="N140" t="s">
        <v>171</v>
      </c>
      <c r="O140">
        <v>12.089504878</v>
      </c>
      <c r="P140">
        <v>336</v>
      </c>
      <c r="Q140" t="s">
        <v>171</v>
      </c>
      <c r="R140">
        <v>29.345226625999995</v>
      </c>
      <c r="S140">
        <v>1.75</v>
      </c>
      <c r="T140" t="s">
        <v>171</v>
      </c>
      <c r="U140">
        <v>0.2662485765</v>
      </c>
      <c r="V140">
        <v>1.35</v>
      </c>
      <c r="W140" t="s">
        <v>171</v>
      </c>
      <c r="X140">
        <v>0.23613776450000001</v>
      </c>
      <c r="Y140">
        <v>0.39999999999999991</v>
      </c>
      <c r="Z140">
        <v>1090</v>
      </c>
      <c r="AA140" t="s">
        <v>171</v>
      </c>
      <c r="AB140">
        <v>59.95</v>
      </c>
      <c r="AC140">
        <v>1.1299999999999999</v>
      </c>
      <c r="AD140" t="s">
        <v>171</v>
      </c>
      <c r="AE140">
        <v>0.27877589495999999</v>
      </c>
      <c r="AF140">
        <v>3.01</v>
      </c>
      <c r="AG140" t="s">
        <v>171</v>
      </c>
      <c r="AH140">
        <v>0.49479464170999998</v>
      </c>
      <c r="AI140">
        <v>4.1399999999999997</v>
      </c>
      <c r="AJ140" t="s">
        <v>171</v>
      </c>
      <c r="AK140">
        <v>1.0607296584399999</v>
      </c>
      <c r="AL140">
        <v>1094.1400000000001</v>
      </c>
    </row>
    <row r="141" spans="1:51" x14ac:dyDescent="0.15">
      <c r="A141" t="s">
        <v>210</v>
      </c>
      <c r="B141" t="s">
        <v>197</v>
      </c>
      <c r="C141" t="s">
        <v>97</v>
      </c>
      <c r="D141" t="s">
        <v>346</v>
      </c>
      <c r="E141" t="s">
        <v>349</v>
      </c>
      <c r="G141" t="s">
        <v>177</v>
      </c>
      <c r="H141">
        <v>3.75</v>
      </c>
      <c r="I141">
        <v>7.5</v>
      </c>
      <c r="J141">
        <v>4.5999999999999996</v>
      </c>
      <c r="K141" t="s">
        <v>171</v>
      </c>
      <c r="L141">
        <v>0.2</v>
      </c>
      <c r="M141">
        <v>122</v>
      </c>
      <c r="N141" t="s">
        <v>171</v>
      </c>
      <c r="O141">
        <v>11.841032901999998</v>
      </c>
      <c r="P141">
        <v>605</v>
      </c>
      <c r="Q141" t="s">
        <v>171</v>
      </c>
      <c r="R141">
        <v>53.095761444999994</v>
      </c>
      <c r="S141">
        <v>2.77</v>
      </c>
      <c r="T141" t="s">
        <v>171</v>
      </c>
      <c r="U141">
        <v>0.34303114709999999</v>
      </c>
      <c r="V141">
        <v>2.62</v>
      </c>
      <c r="W141" t="s">
        <v>171</v>
      </c>
      <c r="X141">
        <v>0.33173959259999997</v>
      </c>
      <c r="Y141">
        <v>0.14999999999999991</v>
      </c>
      <c r="Z141">
        <v>2710</v>
      </c>
      <c r="AA141" t="s">
        <v>171</v>
      </c>
      <c r="AB141">
        <v>149.05000000000001</v>
      </c>
      <c r="AC141">
        <v>11.99</v>
      </c>
      <c r="AD141" t="s">
        <v>171</v>
      </c>
      <c r="AE141">
        <v>1.0613539240800001</v>
      </c>
      <c r="AF141">
        <v>3.23</v>
      </c>
      <c r="AG141" t="s">
        <v>171</v>
      </c>
      <c r="AH141">
        <v>0.52563392733000003</v>
      </c>
      <c r="AI141">
        <v>15.22</v>
      </c>
      <c r="AJ141" t="s">
        <v>171</v>
      </c>
      <c r="AK141">
        <v>1.44294141612</v>
      </c>
      <c r="AL141">
        <v>2725.22</v>
      </c>
      <c r="AT141">
        <v>34</v>
      </c>
      <c r="AU141">
        <v>356.11135119095059</v>
      </c>
      <c r="AV141">
        <v>10.473863270322076</v>
      </c>
      <c r="AW141">
        <v>183.50208449604278</v>
      </c>
      <c r="AX141">
        <v>5.3971201322365525</v>
      </c>
    </row>
    <row r="142" spans="1:51" x14ac:dyDescent="0.15">
      <c r="A142" t="s">
        <v>210</v>
      </c>
      <c r="B142" t="s">
        <v>197</v>
      </c>
      <c r="C142" t="s">
        <v>97</v>
      </c>
      <c r="D142" t="s">
        <v>346</v>
      </c>
      <c r="E142" t="s">
        <v>349</v>
      </c>
      <c r="G142" t="s">
        <v>175</v>
      </c>
      <c r="H142">
        <v>16.25</v>
      </c>
      <c r="I142">
        <v>17.5</v>
      </c>
      <c r="J142">
        <v>4.3</v>
      </c>
      <c r="K142" t="s">
        <v>171</v>
      </c>
      <c r="L142">
        <v>0.2</v>
      </c>
      <c r="M142">
        <v>99</v>
      </c>
      <c r="N142" t="s">
        <v>171</v>
      </c>
      <c r="O142">
        <v>9.9360810860000015</v>
      </c>
      <c r="P142">
        <v>540</v>
      </c>
      <c r="Q142" t="s">
        <v>171</v>
      </c>
      <c r="R142">
        <v>47.356784629999993</v>
      </c>
      <c r="S142">
        <v>2.68</v>
      </c>
      <c r="T142" t="s">
        <v>171</v>
      </c>
      <c r="U142">
        <v>0.33625621439999998</v>
      </c>
      <c r="V142">
        <v>2.38</v>
      </c>
      <c r="W142" t="s">
        <v>171</v>
      </c>
      <c r="X142">
        <v>0.31367310539999999</v>
      </c>
      <c r="Y142">
        <v>0.30000000000000027</v>
      </c>
      <c r="Z142">
        <v>2100</v>
      </c>
      <c r="AA142" t="s">
        <v>171</v>
      </c>
      <c r="AB142">
        <v>115.5</v>
      </c>
      <c r="AC142">
        <v>7.95</v>
      </c>
      <c r="AD142" t="s">
        <v>171</v>
      </c>
      <c r="AE142">
        <v>0.77022913240000002</v>
      </c>
      <c r="AF142">
        <v>3.75</v>
      </c>
      <c r="AG142" t="s">
        <v>171</v>
      </c>
      <c r="AH142">
        <v>0.59852678425000005</v>
      </c>
      <c r="AI142">
        <v>11.7</v>
      </c>
      <c r="AJ142" t="s">
        <v>171</v>
      </c>
      <c r="AK142">
        <v>1.3215167422</v>
      </c>
      <c r="AL142">
        <v>2111.6999999999998</v>
      </c>
      <c r="AM142" t="s">
        <v>513</v>
      </c>
      <c r="AN142">
        <f>AM142*I142*V142</f>
        <v>36.984258872651374</v>
      </c>
    </row>
    <row r="143" spans="1:51" x14ac:dyDescent="0.15">
      <c r="A143" t="s">
        <v>210</v>
      </c>
      <c r="B143" t="s">
        <v>197</v>
      </c>
      <c r="C143" t="s">
        <v>97</v>
      </c>
      <c r="D143" t="s">
        <v>346</v>
      </c>
      <c r="E143" t="s">
        <v>349</v>
      </c>
      <c r="G143" t="s">
        <v>176</v>
      </c>
      <c r="H143">
        <v>35</v>
      </c>
      <c r="I143">
        <v>20</v>
      </c>
      <c r="J143">
        <v>4</v>
      </c>
      <c r="K143" t="s">
        <v>171</v>
      </c>
      <c r="L143">
        <v>0.2</v>
      </c>
      <c r="M143">
        <v>87</v>
      </c>
      <c r="N143" t="s">
        <v>171</v>
      </c>
      <c r="O143">
        <v>8.9421931820000005</v>
      </c>
      <c r="P143">
        <v>438</v>
      </c>
      <c r="Q143" t="s">
        <v>171</v>
      </c>
      <c r="R143">
        <v>38.351005627999996</v>
      </c>
      <c r="S143">
        <v>2.23</v>
      </c>
      <c r="T143" t="s">
        <v>171</v>
      </c>
      <c r="U143">
        <v>0.30238155089999996</v>
      </c>
      <c r="V143">
        <v>1.87</v>
      </c>
      <c r="W143" t="s">
        <v>171</v>
      </c>
      <c r="X143">
        <v>0.27528182010000002</v>
      </c>
      <c r="Y143">
        <v>0.35999999999999988</v>
      </c>
      <c r="Z143">
        <v>1550</v>
      </c>
      <c r="AA143" t="s">
        <v>171</v>
      </c>
      <c r="AB143">
        <v>85.25</v>
      </c>
      <c r="AC143">
        <v>2.88</v>
      </c>
      <c r="AD143" t="s">
        <v>171</v>
      </c>
      <c r="AE143">
        <v>0.40488193096000002</v>
      </c>
      <c r="AF143">
        <v>7.15</v>
      </c>
      <c r="AG143" t="s">
        <v>171</v>
      </c>
      <c r="AH143">
        <v>1.0751339256500001</v>
      </c>
      <c r="AI143">
        <v>10.029999999999999</v>
      </c>
      <c r="AJ143" t="s">
        <v>171</v>
      </c>
      <c r="AK143">
        <v>1.2639090133799999</v>
      </c>
      <c r="AL143">
        <v>1560.03</v>
      </c>
    </row>
    <row r="144" spans="1:51" x14ac:dyDescent="0.15">
      <c r="A144" t="s">
        <v>210</v>
      </c>
      <c r="B144" t="s">
        <v>197</v>
      </c>
      <c r="C144" t="s">
        <v>97</v>
      </c>
      <c r="D144" t="s">
        <v>346</v>
      </c>
      <c r="E144" t="s">
        <v>349</v>
      </c>
      <c r="G144" t="s">
        <v>21</v>
      </c>
      <c r="H144">
        <v>52.5</v>
      </c>
      <c r="I144">
        <v>15</v>
      </c>
      <c r="J144">
        <v>4</v>
      </c>
      <c r="K144" t="s">
        <v>171</v>
      </c>
      <c r="L144">
        <v>0.2</v>
      </c>
      <c r="M144">
        <v>89</v>
      </c>
      <c r="N144" t="s">
        <v>171</v>
      </c>
      <c r="O144">
        <v>9.107841166</v>
      </c>
      <c r="P144">
        <v>465</v>
      </c>
      <c r="Q144" t="s">
        <v>171</v>
      </c>
      <c r="R144">
        <v>40.734888304999998</v>
      </c>
      <c r="S144">
        <v>2.97</v>
      </c>
      <c r="T144" t="s">
        <v>171</v>
      </c>
      <c r="U144">
        <v>0.35808655310000004</v>
      </c>
      <c r="V144">
        <v>2.23</v>
      </c>
      <c r="W144" t="s">
        <v>171</v>
      </c>
      <c r="X144">
        <v>0.30238155089999996</v>
      </c>
      <c r="Y144">
        <v>0.74000000000000021</v>
      </c>
      <c r="Z144">
        <v>1710</v>
      </c>
      <c r="AA144" t="s">
        <v>171</v>
      </c>
      <c r="AB144">
        <v>94.05</v>
      </c>
      <c r="AC144">
        <v>2.4900000000000002</v>
      </c>
      <c r="AD144" t="s">
        <v>171</v>
      </c>
      <c r="AE144">
        <v>0.37677830008000002</v>
      </c>
      <c r="AF144">
        <v>7.09</v>
      </c>
      <c r="AG144" t="s">
        <v>171</v>
      </c>
      <c r="AH144">
        <v>1.06672321139</v>
      </c>
      <c r="AI144">
        <v>9.58</v>
      </c>
      <c r="AJ144" t="s">
        <v>171</v>
      </c>
      <c r="AK144">
        <v>1.24838597268</v>
      </c>
      <c r="AL144">
        <v>1719.58</v>
      </c>
    </row>
    <row r="145" spans="1:51" x14ac:dyDescent="0.15">
      <c r="A145" t="s">
        <v>210</v>
      </c>
      <c r="B145" t="s">
        <v>198</v>
      </c>
      <c r="C145" t="s">
        <v>97</v>
      </c>
      <c r="D145" t="s">
        <v>346</v>
      </c>
      <c r="E145" t="s">
        <v>349</v>
      </c>
      <c r="G145" t="s">
        <v>177</v>
      </c>
      <c r="H145">
        <v>3.75</v>
      </c>
      <c r="I145">
        <v>7.5</v>
      </c>
      <c r="J145">
        <v>3.8</v>
      </c>
      <c r="K145" t="s">
        <v>171</v>
      </c>
      <c r="L145">
        <v>0.2</v>
      </c>
      <c r="M145">
        <v>133</v>
      </c>
      <c r="N145" t="s">
        <v>171</v>
      </c>
      <c r="O145">
        <v>12.752096814000002</v>
      </c>
      <c r="P145">
        <v>585</v>
      </c>
      <c r="Q145" t="s">
        <v>171</v>
      </c>
      <c r="R145">
        <v>51.329922424999992</v>
      </c>
      <c r="S145">
        <v>2.5</v>
      </c>
      <c r="T145" t="s">
        <v>171</v>
      </c>
      <c r="U145">
        <v>0.32270634899999995</v>
      </c>
      <c r="V145">
        <v>2.4700000000000002</v>
      </c>
      <c r="W145" t="s">
        <v>171</v>
      </c>
      <c r="X145">
        <v>0.3204480381</v>
      </c>
      <c r="Y145">
        <v>2.9999999999999805E-2</v>
      </c>
      <c r="Z145">
        <v>2530</v>
      </c>
      <c r="AA145" t="s">
        <v>171</v>
      </c>
      <c r="AB145">
        <v>139.15</v>
      </c>
      <c r="AC145">
        <v>19.34</v>
      </c>
      <c r="AD145" t="s">
        <v>171</v>
      </c>
      <c r="AE145">
        <v>1.5909992752800002</v>
      </c>
      <c r="AF145">
        <v>4.1100000000000003</v>
      </c>
      <c r="AG145" t="s">
        <v>171</v>
      </c>
      <c r="AH145">
        <v>0.6489910698100001</v>
      </c>
      <c r="AI145">
        <v>23.45</v>
      </c>
      <c r="AJ145" t="s">
        <v>171</v>
      </c>
      <c r="AK145">
        <v>1.7268405827</v>
      </c>
      <c r="AL145">
        <v>2553.4499999999998</v>
      </c>
      <c r="AT145">
        <v>34</v>
      </c>
      <c r="AU145">
        <v>423.9506300872734</v>
      </c>
      <c r="AV145">
        <v>12.469136179037452</v>
      </c>
      <c r="AW145">
        <v>218.45926585673618</v>
      </c>
      <c r="AX145">
        <v>6.4252725251981229</v>
      </c>
    </row>
    <row r="146" spans="1:51" x14ac:dyDescent="0.15">
      <c r="A146" t="s">
        <v>210</v>
      </c>
      <c r="B146" t="s">
        <v>198</v>
      </c>
      <c r="C146" t="s">
        <v>97</v>
      </c>
      <c r="D146" t="s">
        <v>346</v>
      </c>
      <c r="E146" t="s">
        <v>349</v>
      </c>
      <c r="G146" t="s">
        <v>175</v>
      </c>
      <c r="H146">
        <v>16.25</v>
      </c>
      <c r="I146">
        <v>17.5</v>
      </c>
      <c r="J146">
        <v>3.8</v>
      </c>
      <c r="K146" t="s">
        <v>171</v>
      </c>
      <c r="L146">
        <v>0.2</v>
      </c>
      <c r="M146">
        <v>108</v>
      </c>
      <c r="N146" t="s">
        <v>171</v>
      </c>
      <c r="O146">
        <v>10.681497014000001</v>
      </c>
      <c r="P146">
        <v>490</v>
      </c>
      <c r="Q146" t="s">
        <v>171</v>
      </c>
      <c r="R146">
        <v>42.942187079999997</v>
      </c>
      <c r="S146">
        <v>2.67</v>
      </c>
      <c r="T146" t="s">
        <v>171</v>
      </c>
      <c r="U146">
        <v>0.33550344409999999</v>
      </c>
      <c r="V146">
        <v>2.25</v>
      </c>
      <c r="W146" t="s">
        <v>171</v>
      </c>
      <c r="X146">
        <v>0.30388709149999998</v>
      </c>
      <c r="Y146">
        <v>0.41999999999999993</v>
      </c>
      <c r="Z146">
        <v>4040</v>
      </c>
      <c r="AA146" t="s">
        <v>171</v>
      </c>
      <c r="AB146">
        <v>222.2</v>
      </c>
      <c r="AC146">
        <v>11.41</v>
      </c>
      <c r="AD146" t="s">
        <v>171</v>
      </c>
      <c r="AE146">
        <v>1.0195587807200002</v>
      </c>
      <c r="AF146">
        <v>6.79</v>
      </c>
      <c r="AG146" t="s">
        <v>171</v>
      </c>
      <c r="AH146">
        <v>1.0246696400899999</v>
      </c>
      <c r="AI146">
        <v>18.2</v>
      </c>
      <c r="AJ146" t="s">
        <v>171</v>
      </c>
      <c r="AK146">
        <v>1.5457384411999999</v>
      </c>
      <c r="AL146">
        <v>4058.2</v>
      </c>
      <c r="AM146" t="s">
        <v>514</v>
      </c>
      <c r="AN146">
        <f>AM146*I146*V146</f>
        <v>39.040387449343015</v>
      </c>
    </row>
    <row r="147" spans="1:51" x14ac:dyDescent="0.15">
      <c r="A147" t="s">
        <v>210</v>
      </c>
      <c r="B147" t="s">
        <v>198</v>
      </c>
      <c r="C147" t="s">
        <v>97</v>
      </c>
      <c r="D147" t="s">
        <v>346</v>
      </c>
      <c r="E147" t="s">
        <v>349</v>
      </c>
      <c r="G147" t="s">
        <v>176</v>
      </c>
      <c r="H147">
        <v>35</v>
      </c>
      <c r="I147">
        <v>20</v>
      </c>
      <c r="J147">
        <v>3.8</v>
      </c>
      <c r="K147" t="s">
        <v>171</v>
      </c>
      <c r="L147">
        <v>0.2</v>
      </c>
      <c r="M147">
        <v>88</v>
      </c>
      <c r="N147" t="s">
        <v>171</v>
      </c>
      <c r="O147">
        <v>9.0250171740000003</v>
      </c>
      <c r="P147">
        <v>490</v>
      </c>
      <c r="Q147" t="s">
        <v>171</v>
      </c>
      <c r="R147">
        <v>42.942187079999997</v>
      </c>
      <c r="S147">
        <v>2.21</v>
      </c>
      <c r="T147" t="s">
        <v>171</v>
      </c>
      <c r="U147">
        <v>0.3008760103</v>
      </c>
      <c r="V147">
        <v>1.78</v>
      </c>
      <c r="W147" t="s">
        <v>171</v>
      </c>
      <c r="X147">
        <v>0.2685068874</v>
      </c>
      <c r="Y147">
        <v>0.42999999999999994</v>
      </c>
      <c r="Z147">
        <v>1660</v>
      </c>
      <c r="AA147" t="s">
        <v>171</v>
      </c>
      <c r="AB147">
        <v>91.3</v>
      </c>
      <c r="AC147">
        <v>7.96</v>
      </c>
      <c r="AD147" t="s">
        <v>171</v>
      </c>
      <c r="AE147">
        <v>0.77094973832000002</v>
      </c>
      <c r="AF147">
        <v>6.76</v>
      </c>
      <c r="AG147" t="s">
        <v>171</v>
      </c>
      <c r="AH147">
        <v>1.0204642829599999</v>
      </c>
      <c r="AI147">
        <v>14.72</v>
      </c>
      <c r="AJ147" t="s">
        <v>171</v>
      </c>
      <c r="AK147">
        <v>1.4256935931200001</v>
      </c>
      <c r="AL147">
        <v>1674.72</v>
      </c>
    </row>
    <row r="148" spans="1:51" x14ac:dyDescent="0.15">
      <c r="A148" t="s">
        <v>210</v>
      </c>
      <c r="B148" t="s">
        <v>198</v>
      </c>
      <c r="C148" t="s">
        <v>97</v>
      </c>
      <c r="D148" t="s">
        <v>346</v>
      </c>
      <c r="E148" t="s">
        <v>349</v>
      </c>
      <c r="G148" t="s">
        <v>21</v>
      </c>
      <c r="H148">
        <v>52.5</v>
      </c>
      <c r="I148">
        <v>15</v>
      </c>
      <c r="J148">
        <v>4</v>
      </c>
      <c r="K148" t="s">
        <v>171</v>
      </c>
      <c r="L148">
        <v>0.2</v>
      </c>
      <c r="M148">
        <v>75</v>
      </c>
      <c r="N148" t="s">
        <v>171</v>
      </c>
      <c r="O148">
        <v>7.9483052780000003</v>
      </c>
      <c r="P148">
        <v>435</v>
      </c>
      <c r="Q148" t="s">
        <v>171</v>
      </c>
      <c r="R148">
        <v>38.086129774999996</v>
      </c>
      <c r="S148">
        <v>1.84</v>
      </c>
      <c r="T148" t="s">
        <v>171</v>
      </c>
      <c r="U148">
        <v>0.27302350919999996</v>
      </c>
      <c r="V148">
        <v>1.66</v>
      </c>
      <c r="W148" t="s">
        <v>171</v>
      </c>
      <c r="X148">
        <v>0.25947364379999999</v>
      </c>
      <c r="Y148">
        <v>0.18000000000000016</v>
      </c>
      <c r="Z148">
        <v>1450</v>
      </c>
      <c r="AA148" t="s">
        <v>171</v>
      </c>
      <c r="AB148">
        <v>79.75</v>
      </c>
      <c r="AC148">
        <v>7.34</v>
      </c>
      <c r="AD148" t="s">
        <v>171</v>
      </c>
      <c r="AE148">
        <v>0.72627217127999999</v>
      </c>
      <c r="AF148">
        <v>7.26</v>
      </c>
      <c r="AG148" t="s">
        <v>171</v>
      </c>
      <c r="AH148">
        <v>1.0905535684600001</v>
      </c>
      <c r="AI148">
        <v>14.6</v>
      </c>
      <c r="AJ148" t="s">
        <v>171</v>
      </c>
      <c r="AK148">
        <v>1.4215541155999998</v>
      </c>
      <c r="AL148">
        <v>1464.6</v>
      </c>
    </row>
    <row r="149" spans="1:51" x14ac:dyDescent="0.15">
      <c r="A149" t="s">
        <v>210</v>
      </c>
      <c r="B149" t="s">
        <v>81</v>
      </c>
      <c r="C149" t="s">
        <v>81</v>
      </c>
      <c r="D149" t="s">
        <v>346</v>
      </c>
      <c r="E149" t="s">
        <v>36</v>
      </c>
      <c r="F149" t="s">
        <v>36</v>
      </c>
      <c r="G149" t="s">
        <v>177</v>
      </c>
      <c r="H149">
        <v>3.75</v>
      </c>
      <c r="I149">
        <v>7.5</v>
      </c>
      <c r="J149">
        <v>4.8</v>
      </c>
      <c r="K149" t="s">
        <v>171</v>
      </c>
      <c r="L149">
        <v>0.2</v>
      </c>
      <c r="M149">
        <v>122</v>
      </c>
      <c r="N149" t="s">
        <v>171</v>
      </c>
      <c r="O149">
        <v>11.841032901999998</v>
      </c>
      <c r="P149">
        <v>585</v>
      </c>
      <c r="Q149" t="s">
        <v>171</v>
      </c>
      <c r="R149">
        <v>51.329922424999992</v>
      </c>
      <c r="S149">
        <v>2.44</v>
      </c>
      <c r="T149" t="s">
        <v>171</v>
      </c>
      <c r="U149">
        <v>0.31818972719999999</v>
      </c>
      <c r="V149">
        <v>2.36</v>
      </c>
      <c r="W149" t="s">
        <v>171</v>
      </c>
      <c r="X149">
        <v>0.31216756479999996</v>
      </c>
      <c r="Y149">
        <v>8.0000000000000071E-2</v>
      </c>
      <c r="Z149">
        <v>2540</v>
      </c>
      <c r="AA149" t="s">
        <v>171</v>
      </c>
      <c r="AB149">
        <v>139.69999999999999</v>
      </c>
      <c r="AC149">
        <v>5.77</v>
      </c>
      <c r="AD149" t="s">
        <v>171</v>
      </c>
      <c r="AE149">
        <v>0.61313704183999995</v>
      </c>
      <c r="AF149">
        <v>10.81</v>
      </c>
      <c r="AG149" t="s">
        <v>171</v>
      </c>
      <c r="AH149">
        <v>1.5881874955100002</v>
      </c>
      <c r="AI149">
        <v>16.579999999999998</v>
      </c>
      <c r="AJ149" t="s">
        <v>171</v>
      </c>
      <c r="AK149">
        <v>1.48985549468</v>
      </c>
      <c r="AL149">
        <v>2556.58</v>
      </c>
      <c r="AM149" s="141">
        <f>AM150-((AM150-AM151)/(H150-H151))*3.5</f>
        <v>1.0064753412695209</v>
      </c>
      <c r="AN149">
        <f t="shared" ref="AN149:AN154" si="5">AM149*I149*V149</f>
        <v>17.814613540470518</v>
      </c>
      <c r="AP149">
        <v>257.38467874196721</v>
      </c>
      <c r="AQ149">
        <v>17.158978582797815</v>
      </c>
      <c r="AR149">
        <v>106.17117998106147</v>
      </c>
      <c r="AS149">
        <v>7.0780786654040977</v>
      </c>
      <c r="AT149">
        <v>34</v>
      </c>
      <c r="AU149">
        <v>481.47213043183473</v>
      </c>
      <c r="AV149">
        <v>14.160945012701021</v>
      </c>
      <c r="AW149">
        <v>198.60725380313184</v>
      </c>
      <c r="AX149">
        <v>5.8413898177391719</v>
      </c>
      <c r="AY149">
        <v>57.314629258517002</v>
      </c>
    </row>
    <row r="150" spans="1:51" x14ac:dyDescent="0.15">
      <c r="A150" t="s">
        <v>210</v>
      </c>
      <c r="B150" t="s">
        <v>81</v>
      </c>
      <c r="C150" t="s">
        <v>81</v>
      </c>
      <c r="D150" t="s">
        <v>346</v>
      </c>
      <c r="E150" t="s">
        <v>36</v>
      </c>
      <c r="F150" t="s">
        <v>36</v>
      </c>
      <c r="G150" t="s">
        <v>175</v>
      </c>
      <c r="H150">
        <v>16.25</v>
      </c>
      <c r="I150">
        <v>17.5</v>
      </c>
      <c r="J150">
        <v>4.3</v>
      </c>
      <c r="K150" t="s">
        <v>171</v>
      </c>
      <c r="L150">
        <v>0.2</v>
      </c>
      <c r="M150">
        <v>87</v>
      </c>
      <c r="N150" t="s">
        <v>171</v>
      </c>
      <c r="O150">
        <v>8.9421931820000005</v>
      </c>
      <c r="P150">
        <v>480</v>
      </c>
      <c r="Q150" t="s">
        <v>171</v>
      </c>
      <c r="R150">
        <v>42.059267569999996</v>
      </c>
      <c r="S150">
        <v>2.4700000000000002</v>
      </c>
      <c r="T150" t="s">
        <v>171</v>
      </c>
      <c r="U150">
        <v>0.3204480381</v>
      </c>
      <c r="V150">
        <v>1.84</v>
      </c>
      <c r="W150" t="s">
        <v>171</v>
      </c>
      <c r="X150">
        <v>0.27302350919999996</v>
      </c>
      <c r="Y150">
        <v>0.63000000000000012</v>
      </c>
      <c r="Z150">
        <v>1710</v>
      </c>
      <c r="AA150" t="s">
        <v>171</v>
      </c>
      <c r="AB150">
        <v>94.05</v>
      </c>
      <c r="AC150">
        <v>2.81</v>
      </c>
      <c r="AD150" t="s">
        <v>171</v>
      </c>
      <c r="AE150">
        <v>0.39983768951999998</v>
      </c>
      <c r="AF150">
        <v>4.9800000000000004</v>
      </c>
      <c r="AG150" t="s">
        <v>171</v>
      </c>
      <c r="AH150">
        <v>0.77094642658000012</v>
      </c>
      <c r="AI150">
        <v>7.79</v>
      </c>
      <c r="AJ150" t="s">
        <v>171</v>
      </c>
      <c r="AK150">
        <v>1.18663876634</v>
      </c>
      <c r="AL150">
        <v>1717.79</v>
      </c>
      <c r="AM150" t="s">
        <v>515</v>
      </c>
      <c r="AN150">
        <f t="shared" si="5"/>
        <v>33.612481886282545</v>
      </c>
      <c r="AY150">
        <v>58.517034068136297</v>
      </c>
    </row>
    <row r="151" spans="1:51" x14ac:dyDescent="0.15">
      <c r="A151" t="s">
        <v>210</v>
      </c>
      <c r="B151" t="s">
        <v>81</v>
      </c>
      <c r="C151" t="s">
        <v>81</v>
      </c>
      <c r="D151" t="s">
        <v>346</v>
      </c>
      <c r="E151" t="s">
        <v>36</v>
      </c>
      <c r="F151" t="s">
        <v>36</v>
      </c>
      <c r="G151" t="s">
        <v>21</v>
      </c>
      <c r="H151">
        <v>52.5</v>
      </c>
      <c r="I151">
        <v>15</v>
      </c>
      <c r="J151">
        <v>4</v>
      </c>
      <c r="K151" t="s">
        <v>171</v>
      </c>
      <c r="L151">
        <v>0.2</v>
      </c>
      <c r="M151">
        <v>51</v>
      </c>
      <c r="N151" t="s">
        <v>171</v>
      </c>
      <c r="O151">
        <v>5.96052947</v>
      </c>
      <c r="P151">
        <v>280</v>
      </c>
      <c r="Q151" t="s">
        <v>171</v>
      </c>
      <c r="R151">
        <v>24.400877369999996</v>
      </c>
      <c r="S151">
        <v>1.71</v>
      </c>
      <c r="T151" t="s">
        <v>171</v>
      </c>
      <c r="U151">
        <v>0.26323749529999996</v>
      </c>
      <c r="V151">
        <v>1.7</v>
      </c>
      <c r="W151" t="s">
        <v>171</v>
      </c>
      <c r="X151">
        <v>0.26248472499999997</v>
      </c>
      <c r="Y151">
        <v>1.0000000000000009E-2</v>
      </c>
      <c r="Z151">
        <v>1410</v>
      </c>
      <c r="AA151" t="s">
        <v>171</v>
      </c>
      <c r="AB151">
        <v>77.55</v>
      </c>
      <c r="AC151">
        <v>1.76</v>
      </c>
      <c r="AD151" t="s">
        <v>171</v>
      </c>
      <c r="AE151">
        <v>0.32417406792000003</v>
      </c>
      <c r="AF151">
        <v>4.9800000000000004</v>
      </c>
      <c r="AG151" t="s">
        <v>171</v>
      </c>
      <c r="AH151">
        <v>0.77094642658000012</v>
      </c>
      <c r="AI151">
        <v>6.74</v>
      </c>
      <c r="AJ151" t="s">
        <v>171</v>
      </c>
      <c r="AK151">
        <v>1.1504183380399999</v>
      </c>
      <c r="AL151">
        <v>1416.74</v>
      </c>
      <c r="AM151" s="139">
        <f>-0.0042*AY151+1.6859</f>
        <v>1.4311252252252249</v>
      </c>
      <c r="AN151">
        <f t="shared" si="5"/>
        <v>36.493693243243236</v>
      </c>
      <c r="AY151">
        <v>60.660660660660703</v>
      </c>
    </row>
    <row r="152" spans="1:51" x14ac:dyDescent="0.15">
      <c r="A152" t="s">
        <v>210</v>
      </c>
      <c r="B152" t="s">
        <v>178</v>
      </c>
      <c r="C152" t="s">
        <v>178</v>
      </c>
      <c r="D152" t="s">
        <v>348</v>
      </c>
      <c r="E152" t="s">
        <v>76</v>
      </c>
      <c r="F152" t="s">
        <v>76</v>
      </c>
      <c r="G152" t="s">
        <v>177</v>
      </c>
      <c r="H152">
        <v>3.75</v>
      </c>
      <c r="I152">
        <v>7.5</v>
      </c>
      <c r="J152">
        <v>5.2</v>
      </c>
      <c r="K152" t="s">
        <v>171</v>
      </c>
      <c r="L152">
        <v>0.2</v>
      </c>
      <c r="M152">
        <v>100</v>
      </c>
      <c r="N152" t="s">
        <v>171</v>
      </c>
      <c r="O152">
        <v>10.018905078</v>
      </c>
      <c r="P152">
        <v>450</v>
      </c>
      <c r="Q152" t="s">
        <v>171</v>
      </c>
      <c r="R152">
        <v>39.410509039999994</v>
      </c>
      <c r="S152">
        <v>2.31</v>
      </c>
      <c r="T152" t="s">
        <v>171</v>
      </c>
      <c r="U152">
        <v>0.30840371329999999</v>
      </c>
      <c r="V152">
        <v>2.1800000000000002</v>
      </c>
      <c r="W152" t="s">
        <v>171</v>
      </c>
      <c r="X152">
        <v>0.29861769939999999</v>
      </c>
      <c r="Y152">
        <v>0.12999999999999989</v>
      </c>
      <c r="Z152">
        <v>2130</v>
      </c>
      <c r="AA152" t="s">
        <v>171</v>
      </c>
      <c r="AB152">
        <v>117.15</v>
      </c>
      <c r="AC152">
        <v>13.93</v>
      </c>
      <c r="AD152" t="s">
        <v>171</v>
      </c>
      <c r="AE152">
        <v>1.2011514725599999</v>
      </c>
      <c r="AF152">
        <v>6.15</v>
      </c>
      <c r="AG152" t="s">
        <v>171</v>
      </c>
      <c r="AH152">
        <v>0.93495535465000013</v>
      </c>
      <c r="AI152">
        <v>20.079999999999998</v>
      </c>
      <c r="AJ152" t="s">
        <v>171</v>
      </c>
      <c r="AK152">
        <v>1.6105902556799998</v>
      </c>
      <c r="AL152">
        <v>2150.08</v>
      </c>
      <c r="AM152" s="141">
        <f>AM153-((AM153-AM154)/(H153-H154))*3.5</f>
        <v>1.1917016511594567</v>
      </c>
      <c r="AN152">
        <f t="shared" si="5"/>
        <v>19.484321996457119</v>
      </c>
      <c r="AY152">
        <v>42.242242242242199</v>
      </c>
    </row>
    <row r="153" spans="1:51" x14ac:dyDescent="0.15">
      <c r="A153" t="s">
        <v>210</v>
      </c>
      <c r="B153" t="s">
        <v>178</v>
      </c>
      <c r="C153" t="s">
        <v>178</v>
      </c>
      <c r="D153" t="s">
        <v>348</v>
      </c>
      <c r="E153" t="s">
        <v>76</v>
      </c>
      <c r="F153" t="s">
        <v>76</v>
      </c>
      <c r="G153" t="s">
        <v>175</v>
      </c>
      <c r="H153">
        <v>16.25</v>
      </c>
      <c r="I153">
        <v>17.5</v>
      </c>
      <c r="J153">
        <v>5</v>
      </c>
      <c r="K153" t="s">
        <v>171</v>
      </c>
      <c r="L153">
        <v>0.2</v>
      </c>
      <c r="M153">
        <v>97</v>
      </c>
      <c r="N153" t="s">
        <v>171</v>
      </c>
      <c r="O153">
        <v>9.7704331019999984</v>
      </c>
      <c r="P153">
        <v>450</v>
      </c>
      <c r="Q153" t="s">
        <v>171</v>
      </c>
      <c r="R153">
        <v>39.410509039999994</v>
      </c>
      <c r="S153">
        <v>1.96</v>
      </c>
      <c r="T153" t="s">
        <v>171</v>
      </c>
      <c r="U153">
        <v>0.28205675279999998</v>
      </c>
      <c r="V153">
        <v>1.91</v>
      </c>
      <c r="W153" t="s">
        <v>171</v>
      </c>
      <c r="X153">
        <v>0.27829290129999995</v>
      </c>
      <c r="Y153">
        <v>5.0000000000000044E-2</v>
      </c>
      <c r="Z153">
        <v>1950</v>
      </c>
      <c r="AA153" t="s">
        <v>171</v>
      </c>
      <c r="AB153">
        <v>107.25</v>
      </c>
      <c r="AC153">
        <v>13.14</v>
      </c>
      <c r="AD153" t="s">
        <v>171</v>
      </c>
      <c r="AE153">
        <v>1.1442236048800001</v>
      </c>
      <c r="AF153">
        <v>2.42</v>
      </c>
      <c r="AG153" t="s">
        <v>171</v>
      </c>
      <c r="AH153">
        <v>0.41208928482000001</v>
      </c>
      <c r="AI153">
        <v>15.56</v>
      </c>
      <c r="AJ153" t="s">
        <v>171</v>
      </c>
      <c r="AK153">
        <v>1.4546699357599999</v>
      </c>
      <c r="AL153">
        <v>1965.56</v>
      </c>
      <c r="AM153" t="s">
        <v>516</v>
      </c>
      <c r="AN153">
        <f t="shared" si="5"/>
        <v>40.530326660935707</v>
      </c>
      <c r="AY153">
        <v>42.542542542542499</v>
      </c>
    </row>
    <row r="154" spans="1:51" x14ac:dyDescent="0.15">
      <c r="A154" t="s">
        <v>210</v>
      </c>
      <c r="B154" t="s">
        <v>178</v>
      </c>
      <c r="C154" t="s">
        <v>178</v>
      </c>
      <c r="D154" t="s">
        <v>348</v>
      </c>
      <c r="E154" t="s">
        <v>76</v>
      </c>
      <c r="F154" t="s">
        <v>76</v>
      </c>
      <c r="G154" t="s">
        <v>21</v>
      </c>
      <c r="H154">
        <v>52.5</v>
      </c>
      <c r="I154">
        <v>15</v>
      </c>
      <c r="J154">
        <v>3.9</v>
      </c>
      <c r="K154" t="s">
        <v>171</v>
      </c>
      <c r="L154">
        <v>0.2</v>
      </c>
      <c r="M154">
        <v>87</v>
      </c>
      <c r="N154" t="s">
        <v>171</v>
      </c>
      <c r="O154">
        <v>8.9421931820000005</v>
      </c>
      <c r="P154">
        <v>306</v>
      </c>
      <c r="Q154" t="s">
        <v>171</v>
      </c>
      <c r="R154">
        <v>26.696468095999997</v>
      </c>
      <c r="S154">
        <v>2</v>
      </c>
      <c r="T154" t="s">
        <v>171</v>
      </c>
      <c r="U154">
        <v>0.28506783400000002</v>
      </c>
      <c r="V154">
        <v>1.87</v>
      </c>
      <c r="W154" t="s">
        <v>171</v>
      </c>
      <c r="X154">
        <v>0.27528182010000002</v>
      </c>
      <c r="Y154">
        <v>0.12999999999999989</v>
      </c>
      <c r="Z154">
        <v>1540</v>
      </c>
      <c r="AA154" t="s">
        <v>171</v>
      </c>
      <c r="AB154">
        <v>84.7</v>
      </c>
      <c r="AC154">
        <v>5.14</v>
      </c>
      <c r="AD154" t="s">
        <v>171</v>
      </c>
      <c r="AE154">
        <v>0.56773886888000002</v>
      </c>
      <c r="AF154">
        <v>5.46</v>
      </c>
      <c r="AG154" t="s">
        <v>171</v>
      </c>
      <c r="AH154">
        <v>0.83823214066000007</v>
      </c>
      <c r="AI154">
        <v>10.6</v>
      </c>
      <c r="AJ154" t="s">
        <v>171</v>
      </c>
      <c r="AK154">
        <v>1.2835715315999998</v>
      </c>
      <c r="AL154">
        <v>1550.6</v>
      </c>
      <c r="AM154" s="139">
        <f>-0.0042*AY154+1.6859</f>
        <v>1.4287657314629256</v>
      </c>
      <c r="AN154">
        <f t="shared" si="5"/>
        <v>40.076878767535071</v>
      </c>
      <c r="AY154">
        <v>61.222444889779602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workbookViewId="0">
      <pane ySplit="1" topLeftCell="A61" activePane="bottomLeft" state="frozen"/>
      <selection pane="bottomLeft" activeCell="N63" sqref="N63:O63"/>
    </sheetView>
  </sheetViews>
  <sheetFormatPr defaultRowHeight="10.5" x14ac:dyDescent="0.15"/>
  <cols>
    <col min="1" max="1" width="19.5" customWidth="1" collapsed="1"/>
    <col min="2" max="2" width="16.6640625" customWidth="1" collapsed="1"/>
    <col min="3" max="3" width="11.5" customWidth="1" collapsed="1"/>
    <col min="4" max="4" width="21" customWidth="1" collapsed="1"/>
    <col min="6" max="6" width="10.6640625" customWidth="1" collapsed="1"/>
  </cols>
  <sheetData>
    <row r="1" spans="1:15" ht="15" customHeight="1" x14ac:dyDescent="0.15">
      <c r="A1" t="s">
        <v>19</v>
      </c>
      <c r="B1" t="s">
        <v>43</v>
      </c>
      <c r="C1" t="s">
        <v>65</v>
      </c>
      <c r="D1" t="s">
        <v>82</v>
      </c>
      <c r="E1" t="s">
        <v>84</v>
      </c>
      <c r="F1" t="s">
        <v>85</v>
      </c>
      <c r="G1" t="s">
        <v>87</v>
      </c>
      <c r="H1" t="s">
        <v>88</v>
      </c>
      <c r="I1" t="s">
        <v>89</v>
      </c>
      <c r="J1" t="s">
        <v>90</v>
      </c>
      <c r="K1" t="s">
        <v>144</v>
      </c>
      <c r="L1" t="s">
        <v>331</v>
      </c>
      <c r="M1" t="s">
        <v>332</v>
      </c>
      <c r="N1" t="s">
        <v>333</v>
      </c>
      <c r="O1" t="s">
        <v>334</v>
      </c>
    </row>
    <row r="2" spans="1:15" x14ac:dyDescent="0.15">
      <c r="A2" t="s">
        <v>22</v>
      </c>
      <c r="B2" t="s">
        <v>44</v>
      </c>
      <c r="C2" t="s">
        <v>81</v>
      </c>
      <c r="D2" t="s">
        <v>83</v>
      </c>
      <c r="E2">
        <v>9.5</v>
      </c>
      <c r="F2" t="s">
        <v>86</v>
      </c>
      <c r="G2">
        <v>1000</v>
      </c>
      <c r="H2">
        <v>160</v>
      </c>
      <c r="I2">
        <v>146</v>
      </c>
      <c r="J2" s="2">
        <v>1</v>
      </c>
      <c r="K2">
        <f>EXP(-3.53769+1.70873*LN(I2/10)+1.35448*LN(H2/10))</f>
        <v>121.37293210899493</v>
      </c>
      <c r="L2">
        <f>AVERAGE(K$2:K$11)*G2/1000</f>
        <v>116.16799938733058</v>
      </c>
      <c r="M2">
        <f>L2/E2</f>
        <v>12.228210461824272</v>
      </c>
      <c r="N2">
        <f>L2*0.33/0.8</f>
        <v>47.919299747273861</v>
      </c>
      <c r="O2">
        <f>N2/E2</f>
        <v>5.0441368155025117</v>
      </c>
    </row>
    <row r="3" spans="1:15" x14ac:dyDescent="0.15">
      <c r="A3" t="s">
        <v>22</v>
      </c>
      <c r="B3" t="s">
        <v>44</v>
      </c>
      <c r="C3" t="s">
        <v>81</v>
      </c>
      <c r="D3" t="s">
        <v>83</v>
      </c>
      <c r="E3">
        <v>9.5</v>
      </c>
      <c r="F3" t="s">
        <v>86</v>
      </c>
      <c r="G3">
        <v>1000</v>
      </c>
      <c r="H3">
        <v>110</v>
      </c>
      <c r="I3">
        <v>68</v>
      </c>
      <c r="J3" s="2">
        <v>1</v>
      </c>
      <c r="K3">
        <f t="shared" ref="K3:K66" si="0">EXP(-3.53769+1.70873*LN(I3/10)+1.35448*LN(H3/10))</f>
        <v>19.8006420553731</v>
      </c>
      <c r="L3">
        <f t="shared" ref="L3:L11" si="1">AVERAGE(K$2:K$11)*G3/1000</f>
        <v>116.16799938733058</v>
      </c>
      <c r="M3">
        <f t="shared" ref="M3:M66" si="2">L3/E3</f>
        <v>12.228210461824272</v>
      </c>
      <c r="N3">
        <f t="shared" ref="N3:N66" si="3">L3*0.33/0.8</f>
        <v>47.919299747273861</v>
      </c>
      <c r="O3">
        <f t="shared" ref="O3:O66" si="4">N3/E3</f>
        <v>5.0441368155025117</v>
      </c>
    </row>
    <row r="4" spans="1:15" x14ac:dyDescent="0.15">
      <c r="A4" t="s">
        <v>22</v>
      </c>
      <c r="B4" t="s">
        <v>44</v>
      </c>
      <c r="C4" t="s">
        <v>81</v>
      </c>
      <c r="D4" t="s">
        <v>83</v>
      </c>
      <c r="E4">
        <v>9.5</v>
      </c>
      <c r="F4" t="s">
        <v>86</v>
      </c>
      <c r="G4">
        <v>1000</v>
      </c>
      <c r="H4">
        <v>167.5</v>
      </c>
      <c r="I4">
        <v>174</v>
      </c>
      <c r="J4" s="2">
        <v>1</v>
      </c>
      <c r="K4">
        <f t="shared" si="0"/>
        <v>174.28822744564724</v>
      </c>
      <c r="L4">
        <f t="shared" si="1"/>
        <v>116.16799938733058</v>
      </c>
      <c r="M4">
        <f t="shared" si="2"/>
        <v>12.228210461824272</v>
      </c>
      <c r="N4">
        <f t="shared" si="3"/>
        <v>47.919299747273861</v>
      </c>
      <c r="O4">
        <f t="shared" si="4"/>
        <v>5.0441368155025117</v>
      </c>
    </row>
    <row r="5" spans="1:15" x14ac:dyDescent="0.15">
      <c r="A5" t="s">
        <v>22</v>
      </c>
      <c r="B5" t="s">
        <v>44</v>
      </c>
      <c r="C5" t="s">
        <v>81</v>
      </c>
      <c r="D5" t="s">
        <v>83</v>
      </c>
      <c r="E5">
        <v>9.5</v>
      </c>
      <c r="F5" t="s">
        <v>86</v>
      </c>
      <c r="G5">
        <v>1000</v>
      </c>
      <c r="H5">
        <v>165</v>
      </c>
      <c r="I5">
        <v>169</v>
      </c>
      <c r="J5" s="2">
        <v>1</v>
      </c>
      <c r="K5">
        <f t="shared" si="0"/>
        <v>162.47451747411978</v>
      </c>
      <c r="L5">
        <f t="shared" si="1"/>
        <v>116.16799938733058</v>
      </c>
      <c r="M5">
        <f t="shared" si="2"/>
        <v>12.228210461824272</v>
      </c>
      <c r="N5">
        <f t="shared" si="3"/>
        <v>47.919299747273861</v>
      </c>
      <c r="O5">
        <f t="shared" si="4"/>
        <v>5.0441368155025117</v>
      </c>
    </row>
    <row r="6" spans="1:15" x14ac:dyDescent="0.15">
      <c r="A6" t="s">
        <v>22</v>
      </c>
      <c r="B6" t="s">
        <v>44</v>
      </c>
      <c r="C6" t="s">
        <v>81</v>
      </c>
      <c r="D6" t="s">
        <v>83</v>
      </c>
      <c r="E6">
        <v>9.5</v>
      </c>
      <c r="F6" t="s">
        <v>86</v>
      </c>
      <c r="G6">
        <v>1000</v>
      </c>
      <c r="H6">
        <v>130</v>
      </c>
      <c r="I6">
        <v>117</v>
      </c>
      <c r="J6" s="2">
        <v>1</v>
      </c>
      <c r="K6">
        <f t="shared" si="0"/>
        <v>62.756103947809613</v>
      </c>
      <c r="L6">
        <f t="shared" si="1"/>
        <v>116.16799938733058</v>
      </c>
      <c r="M6">
        <f t="shared" si="2"/>
        <v>12.228210461824272</v>
      </c>
      <c r="N6">
        <f t="shared" si="3"/>
        <v>47.919299747273861</v>
      </c>
      <c r="O6">
        <f t="shared" si="4"/>
        <v>5.0441368155025117</v>
      </c>
    </row>
    <row r="7" spans="1:15" x14ac:dyDescent="0.15">
      <c r="A7" t="s">
        <v>22</v>
      </c>
      <c r="B7" t="s">
        <v>44</v>
      </c>
      <c r="C7" t="s">
        <v>81</v>
      </c>
      <c r="D7" t="s">
        <v>83</v>
      </c>
      <c r="E7">
        <v>9.5</v>
      </c>
      <c r="F7" t="s">
        <v>86</v>
      </c>
      <c r="G7">
        <v>1000</v>
      </c>
      <c r="H7">
        <v>160</v>
      </c>
      <c r="I7">
        <v>150</v>
      </c>
      <c r="J7" s="2">
        <v>1</v>
      </c>
      <c r="K7">
        <f t="shared" si="0"/>
        <v>127.10996686524165</v>
      </c>
      <c r="L7">
        <f t="shared" si="1"/>
        <v>116.16799938733058</v>
      </c>
      <c r="M7">
        <f t="shared" si="2"/>
        <v>12.228210461824272</v>
      </c>
      <c r="N7">
        <f t="shared" si="3"/>
        <v>47.919299747273861</v>
      </c>
      <c r="O7">
        <f t="shared" si="4"/>
        <v>5.0441368155025117</v>
      </c>
    </row>
    <row r="8" spans="1:15" x14ac:dyDescent="0.15">
      <c r="A8" t="s">
        <v>22</v>
      </c>
      <c r="B8" t="s">
        <v>44</v>
      </c>
      <c r="C8" t="s">
        <v>81</v>
      </c>
      <c r="D8" t="s">
        <v>83</v>
      </c>
      <c r="E8">
        <v>9.5</v>
      </c>
      <c r="F8" t="s">
        <v>86</v>
      </c>
      <c r="G8">
        <v>1000</v>
      </c>
      <c r="H8">
        <v>162.5</v>
      </c>
      <c r="I8">
        <v>170</v>
      </c>
      <c r="J8" s="2">
        <v>1</v>
      </c>
      <c r="K8">
        <f t="shared" si="0"/>
        <v>160.76163186483646</v>
      </c>
      <c r="L8">
        <f t="shared" si="1"/>
        <v>116.16799938733058</v>
      </c>
      <c r="M8">
        <f t="shared" si="2"/>
        <v>12.228210461824272</v>
      </c>
      <c r="N8">
        <f t="shared" si="3"/>
        <v>47.919299747273861</v>
      </c>
      <c r="O8">
        <f t="shared" si="4"/>
        <v>5.0441368155025117</v>
      </c>
    </row>
    <row r="9" spans="1:15" x14ac:dyDescent="0.15">
      <c r="A9" t="s">
        <v>22</v>
      </c>
      <c r="B9" t="s">
        <v>44</v>
      </c>
      <c r="C9" t="s">
        <v>81</v>
      </c>
      <c r="D9" t="s">
        <v>83</v>
      </c>
      <c r="E9">
        <v>9.5</v>
      </c>
      <c r="F9" t="s">
        <v>86</v>
      </c>
      <c r="G9">
        <v>1000</v>
      </c>
      <c r="H9">
        <v>157.5</v>
      </c>
      <c r="I9">
        <v>148</v>
      </c>
      <c r="J9" s="2">
        <v>1</v>
      </c>
      <c r="K9">
        <f t="shared" si="0"/>
        <v>121.60589421867445</v>
      </c>
      <c r="L9">
        <f t="shared" si="1"/>
        <v>116.16799938733058</v>
      </c>
      <c r="M9">
        <f t="shared" si="2"/>
        <v>12.228210461824272</v>
      </c>
      <c r="N9">
        <f t="shared" si="3"/>
        <v>47.919299747273861</v>
      </c>
      <c r="O9">
        <f t="shared" si="4"/>
        <v>5.0441368155025117</v>
      </c>
    </row>
    <row r="10" spans="1:15" x14ac:dyDescent="0.15">
      <c r="A10" t="s">
        <v>22</v>
      </c>
      <c r="B10" t="s">
        <v>44</v>
      </c>
      <c r="C10" t="s">
        <v>81</v>
      </c>
      <c r="D10" t="s">
        <v>83</v>
      </c>
      <c r="E10">
        <v>9.5</v>
      </c>
      <c r="F10" t="s">
        <v>86</v>
      </c>
      <c r="G10">
        <v>1000</v>
      </c>
      <c r="H10">
        <v>152.5</v>
      </c>
      <c r="I10">
        <v>138</v>
      </c>
      <c r="J10" s="2">
        <v>1</v>
      </c>
      <c r="K10">
        <f t="shared" si="0"/>
        <v>103.29081008229183</v>
      </c>
      <c r="L10">
        <f t="shared" si="1"/>
        <v>116.16799938733058</v>
      </c>
      <c r="M10">
        <f t="shared" si="2"/>
        <v>12.228210461824272</v>
      </c>
      <c r="N10">
        <f t="shared" si="3"/>
        <v>47.919299747273861</v>
      </c>
      <c r="O10">
        <f t="shared" si="4"/>
        <v>5.0441368155025117</v>
      </c>
    </row>
    <row r="11" spans="1:15" x14ac:dyDescent="0.15">
      <c r="A11" t="s">
        <v>22</v>
      </c>
      <c r="B11" t="s">
        <v>44</v>
      </c>
      <c r="C11" t="s">
        <v>81</v>
      </c>
      <c r="D11" t="s">
        <v>83</v>
      </c>
      <c r="E11">
        <v>9.5</v>
      </c>
      <c r="F11" t="s">
        <v>86</v>
      </c>
      <c r="G11">
        <v>1000</v>
      </c>
      <c r="H11">
        <v>155</v>
      </c>
      <c r="I11">
        <v>140</v>
      </c>
      <c r="J11" s="2">
        <v>1</v>
      </c>
      <c r="K11">
        <f t="shared" si="0"/>
        <v>108.21926781031694</v>
      </c>
      <c r="L11">
        <f t="shared" si="1"/>
        <v>116.16799938733058</v>
      </c>
      <c r="M11">
        <f t="shared" si="2"/>
        <v>12.228210461824272</v>
      </c>
      <c r="N11">
        <f t="shared" si="3"/>
        <v>47.919299747273861</v>
      </c>
      <c r="O11">
        <f t="shared" si="4"/>
        <v>5.0441368155025117</v>
      </c>
    </row>
    <row r="12" spans="1:15" x14ac:dyDescent="0.15">
      <c r="A12" t="s">
        <v>23</v>
      </c>
      <c r="B12" t="s">
        <v>45</v>
      </c>
      <c r="C12" t="s">
        <v>81</v>
      </c>
      <c r="D12" t="s">
        <v>83</v>
      </c>
      <c r="E12">
        <v>9.5</v>
      </c>
      <c r="F12" t="s">
        <v>86</v>
      </c>
      <c r="G12">
        <v>1000</v>
      </c>
      <c r="H12">
        <v>150</v>
      </c>
      <c r="I12">
        <v>149</v>
      </c>
      <c r="J12" s="2">
        <v>1</v>
      </c>
      <c r="K12">
        <f t="shared" si="0"/>
        <v>115.14667860703148</v>
      </c>
      <c r="L12">
        <f>AVERAGE(K$12:K$21)*G12/1000</f>
        <v>131.88021361164436</v>
      </c>
      <c r="M12">
        <f t="shared" si="2"/>
        <v>13.882127748594144</v>
      </c>
      <c r="N12">
        <f t="shared" si="3"/>
        <v>54.400588114803305</v>
      </c>
      <c r="O12">
        <f t="shared" si="4"/>
        <v>5.726377696295085</v>
      </c>
    </row>
    <row r="13" spans="1:15" x14ac:dyDescent="0.15">
      <c r="A13" t="s">
        <v>23</v>
      </c>
      <c r="B13" t="s">
        <v>45</v>
      </c>
      <c r="C13" t="s">
        <v>81</v>
      </c>
      <c r="D13" t="s">
        <v>83</v>
      </c>
      <c r="E13">
        <v>9.5</v>
      </c>
      <c r="F13" t="s">
        <v>86</v>
      </c>
      <c r="G13">
        <v>1000</v>
      </c>
      <c r="H13">
        <v>165</v>
      </c>
      <c r="I13">
        <v>174</v>
      </c>
      <c r="J13" s="2">
        <v>1</v>
      </c>
      <c r="K13">
        <f t="shared" si="0"/>
        <v>170.77414673978618</v>
      </c>
      <c r="L13">
        <f t="shared" ref="L13:L21" si="5">AVERAGE(K$12:K$21)*G13/1000</f>
        <v>131.88021361164436</v>
      </c>
      <c r="M13">
        <f t="shared" si="2"/>
        <v>13.882127748594144</v>
      </c>
      <c r="N13">
        <f t="shared" si="3"/>
        <v>54.400588114803305</v>
      </c>
      <c r="O13">
        <f t="shared" si="4"/>
        <v>5.726377696295085</v>
      </c>
    </row>
    <row r="14" spans="1:15" x14ac:dyDescent="0.15">
      <c r="A14" t="s">
        <v>23</v>
      </c>
      <c r="B14" t="s">
        <v>45</v>
      </c>
      <c r="C14" t="s">
        <v>81</v>
      </c>
      <c r="D14" t="s">
        <v>83</v>
      </c>
      <c r="E14">
        <v>9.5</v>
      </c>
      <c r="F14" t="s">
        <v>86</v>
      </c>
      <c r="G14">
        <v>1000</v>
      </c>
      <c r="H14">
        <v>150</v>
      </c>
      <c r="I14">
        <v>153</v>
      </c>
      <c r="J14" s="2">
        <v>1</v>
      </c>
      <c r="K14">
        <f t="shared" si="0"/>
        <v>120.47879951995031</v>
      </c>
      <c r="L14">
        <f t="shared" si="5"/>
        <v>131.88021361164436</v>
      </c>
      <c r="M14">
        <f t="shared" si="2"/>
        <v>13.882127748594144</v>
      </c>
      <c r="N14">
        <f t="shared" si="3"/>
        <v>54.400588114803305</v>
      </c>
      <c r="O14">
        <f t="shared" si="4"/>
        <v>5.726377696295085</v>
      </c>
    </row>
    <row r="15" spans="1:15" x14ac:dyDescent="0.15">
      <c r="A15" t="s">
        <v>23</v>
      </c>
      <c r="B15" t="s">
        <v>45</v>
      </c>
      <c r="C15" t="s">
        <v>81</v>
      </c>
      <c r="D15" t="s">
        <v>83</v>
      </c>
      <c r="E15">
        <v>9.5</v>
      </c>
      <c r="F15" t="s">
        <v>86</v>
      </c>
      <c r="G15">
        <v>1000</v>
      </c>
      <c r="H15">
        <v>150</v>
      </c>
      <c r="I15">
        <v>151</v>
      </c>
      <c r="J15" s="2">
        <v>1</v>
      </c>
      <c r="K15">
        <f t="shared" si="0"/>
        <v>117.80022556135708</v>
      </c>
      <c r="L15">
        <f t="shared" si="5"/>
        <v>131.88021361164436</v>
      </c>
      <c r="M15">
        <f t="shared" si="2"/>
        <v>13.882127748594144</v>
      </c>
      <c r="N15">
        <f t="shared" si="3"/>
        <v>54.400588114803305</v>
      </c>
      <c r="O15">
        <f t="shared" si="4"/>
        <v>5.726377696295085</v>
      </c>
    </row>
    <row r="16" spans="1:15" x14ac:dyDescent="0.15">
      <c r="A16" t="s">
        <v>23</v>
      </c>
      <c r="B16" t="s">
        <v>45</v>
      </c>
      <c r="C16" t="s">
        <v>81</v>
      </c>
      <c r="D16" t="s">
        <v>83</v>
      </c>
      <c r="E16">
        <v>9.5</v>
      </c>
      <c r="F16" t="s">
        <v>86</v>
      </c>
      <c r="G16">
        <v>1000</v>
      </c>
      <c r="H16">
        <v>152.5</v>
      </c>
      <c r="I16">
        <v>155</v>
      </c>
      <c r="J16" s="2">
        <v>1</v>
      </c>
      <c r="K16">
        <f t="shared" si="0"/>
        <v>125.97128943719399</v>
      </c>
      <c r="L16">
        <f t="shared" si="5"/>
        <v>131.88021361164436</v>
      </c>
      <c r="M16">
        <f t="shared" si="2"/>
        <v>13.882127748594144</v>
      </c>
      <c r="N16">
        <f t="shared" si="3"/>
        <v>54.400588114803305</v>
      </c>
      <c r="O16">
        <f t="shared" si="4"/>
        <v>5.726377696295085</v>
      </c>
    </row>
    <row r="17" spans="1:15" x14ac:dyDescent="0.15">
      <c r="A17" t="s">
        <v>23</v>
      </c>
      <c r="B17" t="s">
        <v>45</v>
      </c>
      <c r="C17" t="s">
        <v>81</v>
      </c>
      <c r="D17" t="s">
        <v>83</v>
      </c>
      <c r="E17">
        <v>9.5</v>
      </c>
      <c r="F17" t="s">
        <v>86</v>
      </c>
      <c r="G17">
        <v>1000</v>
      </c>
      <c r="H17">
        <v>150</v>
      </c>
      <c r="I17">
        <v>153</v>
      </c>
      <c r="J17" s="2">
        <v>1</v>
      </c>
      <c r="K17">
        <f t="shared" si="0"/>
        <v>120.47879951995031</v>
      </c>
      <c r="L17">
        <f t="shared" si="5"/>
        <v>131.88021361164436</v>
      </c>
      <c r="M17">
        <f t="shared" si="2"/>
        <v>13.882127748594144</v>
      </c>
      <c r="N17">
        <f t="shared" si="3"/>
        <v>54.400588114803305</v>
      </c>
      <c r="O17">
        <f t="shared" si="4"/>
        <v>5.726377696295085</v>
      </c>
    </row>
    <row r="18" spans="1:15" x14ac:dyDescent="0.15">
      <c r="A18" t="s">
        <v>23</v>
      </c>
      <c r="B18" t="s">
        <v>45</v>
      </c>
      <c r="C18" t="s">
        <v>81</v>
      </c>
      <c r="D18" t="s">
        <v>83</v>
      </c>
      <c r="E18">
        <v>9.5</v>
      </c>
      <c r="F18" t="s">
        <v>86</v>
      </c>
      <c r="G18">
        <v>1000</v>
      </c>
      <c r="H18">
        <v>157.5</v>
      </c>
      <c r="I18">
        <v>178</v>
      </c>
      <c r="J18" s="2">
        <v>1</v>
      </c>
      <c r="K18">
        <f t="shared" si="0"/>
        <v>166.69535382489784</v>
      </c>
      <c r="L18">
        <f t="shared" si="5"/>
        <v>131.88021361164436</v>
      </c>
      <c r="M18">
        <f t="shared" si="2"/>
        <v>13.882127748594144</v>
      </c>
      <c r="N18">
        <f t="shared" si="3"/>
        <v>54.400588114803305</v>
      </c>
      <c r="O18">
        <f t="shared" si="4"/>
        <v>5.726377696295085</v>
      </c>
    </row>
    <row r="19" spans="1:15" x14ac:dyDescent="0.15">
      <c r="A19" t="s">
        <v>23</v>
      </c>
      <c r="B19" t="s">
        <v>45</v>
      </c>
      <c r="C19" t="s">
        <v>81</v>
      </c>
      <c r="D19" t="s">
        <v>83</v>
      </c>
      <c r="E19">
        <v>9.5</v>
      </c>
      <c r="F19" t="s">
        <v>86</v>
      </c>
      <c r="G19">
        <v>1000</v>
      </c>
      <c r="H19">
        <v>140</v>
      </c>
      <c r="I19">
        <v>140</v>
      </c>
      <c r="J19" s="2">
        <v>1</v>
      </c>
      <c r="K19">
        <f t="shared" si="0"/>
        <v>94.282613909903461</v>
      </c>
      <c r="L19">
        <f t="shared" si="5"/>
        <v>131.88021361164436</v>
      </c>
      <c r="M19">
        <f t="shared" si="2"/>
        <v>13.882127748594144</v>
      </c>
      <c r="N19">
        <f t="shared" si="3"/>
        <v>54.400588114803305</v>
      </c>
      <c r="O19">
        <f t="shared" si="4"/>
        <v>5.726377696295085</v>
      </c>
    </row>
    <row r="20" spans="1:15" x14ac:dyDescent="0.15">
      <c r="A20" t="s">
        <v>23</v>
      </c>
      <c r="B20" t="s">
        <v>45</v>
      </c>
      <c r="C20" t="s">
        <v>81</v>
      </c>
      <c r="D20" t="s">
        <v>83</v>
      </c>
      <c r="E20">
        <v>9.5</v>
      </c>
      <c r="F20" t="s">
        <v>86</v>
      </c>
      <c r="G20">
        <v>1000</v>
      </c>
      <c r="H20">
        <v>160</v>
      </c>
      <c r="I20">
        <v>175</v>
      </c>
      <c r="J20" s="2">
        <v>1</v>
      </c>
      <c r="K20">
        <f t="shared" si="0"/>
        <v>165.4145064113367</v>
      </c>
      <c r="L20">
        <f t="shared" si="5"/>
        <v>131.88021361164436</v>
      </c>
      <c r="M20">
        <f t="shared" si="2"/>
        <v>13.882127748594144</v>
      </c>
      <c r="N20">
        <f t="shared" si="3"/>
        <v>54.400588114803305</v>
      </c>
      <c r="O20">
        <f t="shared" si="4"/>
        <v>5.726377696295085</v>
      </c>
    </row>
    <row r="21" spans="1:15" x14ac:dyDescent="0.15">
      <c r="A21" t="s">
        <v>23</v>
      </c>
      <c r="B21" t="s">
        <v>45</v>
      </c>
      <c r="C21" t="s">
        <v>81</v>
      </c>
      <c r="D21" t="s">
        <v>83</v>
      </c>
      <c r="E21">
        <v>9.5</v>
      </c>
      <c r="F21" t="s">
        <v>86</v>
      </c>
      <c r="G21">
        <v>1000</v>
      </c>
      <c r="H21">
        <v>155</v>
      </c>
      <c r="I21">
        <v>150</v>
      </c>
      <c r="J21" s="2">
        <v>1</v>
      </c>
      <c r="K21">
        <f t="shared" si="0"/>
        <v>121.75972258503629</v>
      </c>
      <c r="L21">
        <f t="shared" si="5"/>
        <v>131.88021361164436</v>
      </c>
      <c r="M21">
        <f t="shared" si="2"/>
        <v>13.882127748594144</v>
      </c>
      <c r="N21">
        <f t="shared" si="3"/>
        <v>54.400588114803305</v>
      </c>
      <c r="O21">
        <f t="shared" si="4"/>
        <v>5.726377696295085</v>
      </c>
    </row>
    <row r="22" spans="1:15" x14ac:dyDescent="0.15">
      <c r="A22" t="s">
        <v>24</v>
      </c>
      <c r="B22" t="s">
        <v>46</v>
      </c>
      <c r="C22" t="s">
        <v>81</v>
      </c>
      <c r="D22" t="s">
        <v>83</v>
      </c>
      <c r="E22">
        <v>9.5</v>
      </c>
      <c r="F22" t="s">
        <v>86</v>
      </c>
      <c r="G22">
        <v>1000</v>
      </c>
      <c r="H22">
        <v>157.5</v>
      </c>
      <c r="I22">
        <v>158</v>
      </c>
      <c r="J22" s="2">
        <v>1</v>
      </c>
      <c r="K22">
        <f t="shared" si="0"/>
        <v>135.9798785273897</v>
      </c>
      <c r="L22">
        <f>AVERAGE(K$22:K$31)*G22/1000</f>
        <v>139.9067355154495</v>
      </c>
      <c r="M22">
        <f t="shared" si="2"/>
        <v>14.727024791099947</v>
      </c>
      <c r="N22">
        <f t="shared" si="3"/>
        <v>57.711528400122923</v>
      </c>
      <c r="O22">
        <f t="shared" si="4"/>
        <v>6.0748977263287287</v>
      </c>
    </row>
    <row r="23" spans="1:15" x14ac:dyDescent="0.15">
      <c r="A23" t="s">
        <v>24</v>
      </c>
      <c r="B23" t="s">
        <v>46</v>
      </c>
      <c r="C23" t="s">
        <v>81</v>
      </c>
      <c r="D23" t="s">
        <v>83</v>
      </c>
      <c r="E23">
        <v>9.5</v>
      </c>
      <c r="F23" t="s">
        <v>86</v>
      </c>
      <c r="G23">
        <v>1000</v>
      </c>
      <c r="H23">
        <v>147.5</v>
      </c>
      <c r="I23">
        <v>131</v>
      </c>
      <c r="J23" s="2">
        <v>1</v>
      </c>
      <c r="K23">
        <f t="shared" si="0"/>
        <v>90.32774139268966</v>
      </c>
      <c r="L23">
        <f t="shared" ref="L23:L31" si="6">AVERAGE(K$22:K$31)*G23/1000</f>
        <v>139.9067355154495</v>
      </c>
      <c r="M23">
        <f t="shared" si="2"/>
        <v>14.727024791099947</v>
      </c>
      <c r="N23">
        <f t="shared" si="3"/>
        <v>57.711528400122923</v>
      </c>
      <c r="O23">
        <f t="shared" si="4"/>
        <v>6.0748977263287287</v>
      </c>
    </row>
    <row r="24" spans="1:15" x14ac:dyDescent="0.15">
      <c r="A24" t="s">
        <v>24</v>
      </c>
      <c r="B24" t="s">
        <v>46</v>
      </c>
      <c r="C24" t="s">
        <v>81</v>
      </c>
      <c r="D24" t="s">
        <v>83</v>
      </c>
      <c r="E24">
        <v>9.5</v>
      </c>
      <c r="F24" t="s">
        <v>86</v>
      </c>
      <c r="G24">
        <v>1000</v>
      </c>
      <c r="H24">
        <v>155</v>
      </c>
      <c r="I24">
        <v>154</v>
      </c>
      <c r="J24" s="2">
        <v>1</v>
      </c>
      <c r="K24">
        <f t="shared" si="0"/>
        <v>127.36013600535328</v>
      </c>
      <c r="L24">
        <f t="shared" si="6"/>
        <v>139.9067355154495</v>
      </c>
      <c r="M24">
        <f t="shared" si="2"/>
        <v>14.727024791099947</v>
      </c>
      <c r="N24">
        <f t="shared" si="3"/>
        <v>57.711528400122923</v>
      </c>
      <c r="O24">
        <f t="shared" si="4"/>
        <v>6.0748977263287287</v>
      </c>
    </row>
    <row r="25" spans="1:15" x14ac:dyDescent="0.15">
      <c r="A25" t="s">
        <v>24</v>
      </c>
      <c r="B25" t="s">
        <v>46</v>
      </c>
      <c r="C25" t="s">
        <v>81</v>
      </c>
      <c r="D25" t="s">
        <v>83</v>
      </c>
      <c r="E25">
        <v>9.5</v>
      </c>
      <c r="F25" t="s">
        <v>86</v>
      </c>
      <c r="G25">
        <v>1000</v>
      </c>
      <c r="H25">
        <v>172.5</v>
      </c>
      <c r="I25">
        <v>180</v>
      </c>
      <c r="J25" s="2">
        <v>1</v>
      </c>
      <c r="K25">
        <f t="shared" si="0"/>
        <v>192.18905056852873</v>
      </c>
      <c r="L25">
        <f t="shared" si="6"/>
        <v>139.9067355154495</v>
      </c>
      <c r="M25">
        <f t="shared" si="2"/>
        <v>14.727024791099947</v>
      </c>
      <c r="N25">
        <f t="shared" si="3"/>
        <v>57.711528400122923</v>
      </c>
      <c r="O25">
        <f t="shared" si="4"/>
        <v>6.0748977263287287</v>
      </c>
    </row>
    <row r="26" spans="1:15" x14ac:dyDescent="0.15">
      <c r="A26" t="s">
        <v>24</v>
      </c>
      <c r="B26" t="s">
        <v>46</v>
      </c>
      <c r="C26" t="s">
        <v>81</v>
      </c>
      <c r="D26" t="s">
        <v>83</v>
      </c>
      <c r="E26">
        <v>9.5</v>
      </c>
      <c r="F26" t="s">
        <v>86</v>
      </c>
      <c r="G26">
        <v>1000</v>
      </c>
      <c r="H26">
        <v>155</v>
      </c>
      <c r="I26">
        <v>148</v>
      </c>
      <c r="J26" s="2">
        <v>1</v>
      </c>
      <c r="K26">
        <f t="shared" si="0"/>
        <v>118.99878681212232</v>
      </c>
      <c r="L26">
        <f t="shared" si="6"/>
        <v>139.9067355154495</v>
      </c>
      <c r="M26">
        <f t="shared" si="2"/>
        <v>14.727024791099947</v>
      </c>
      <c r="N26">
        <f t="shared" si="3"/>
        <v>57.711528400122923</v>
      </c>
      <c r="O26">
        <f t="shared" si="4"/>
        <v>6.0748977263287287</v>
      </c>
    </row>
    <row r="27" spans="1:15" x14ac:dyDescent="0.15">
      <c r="A27" t="s">
        <v>24</v>
      </c>
      <c r="B27" t="s">
        <v>46</v>
      </c>
      <c r="C27" t="s">
        <v>81</v>
      </c>
      <c r="D27" t="s">
        <v>83</v>
      </c>
      <c r="E27">
        <v>9.5</v>
      </c>
      <c r="F27" t="s">
        <v>86</v>
      </c>
      <c r="G27">
        <v>1000</v>
      </c>
      <c r="H27">
        <v>160</v>
      </c>
      <c r="I27">
        <v>167</v>
      </c>
      <c r="J27" s="2">
        <v>1</v>
      </c>
      <c r="K27">
        <f t="shared" si="0"/>
        <v>152.70368033025579</v>
      </c>
      <c r="L27">
        <f t="shared" si="6"/>
        <v>139.9067355154495</v>
      </c>
      <c r="M27">
        <f t="shared" si="2"/>
        <v>14.727024791099947</v>
      </c>
      <c r="N27">
        <f t="shared" si="3"/>
        <v>57.711528400122923</v>
      </c>
      <c r="O27">
        <f t="shared" si="4"/>
        <v>6.0748977263287287</v>
      </c>
    </row>
    <row r="28" spans="1:15" x14ac:dyDescent="0.15">
      <c r="A28" t="s">
        <v>24</v>
      </c>
      <c r="B28" t="s">
        <v>46</v>
      </c>
      <c r="C28" t="s">
        <v>81</v>
      </c>
      <c r="D28" t="s">
        <v>83</v>
      </c>
      <c r="E28">
        <v>9.5</v>
      </c>
      <c r="F28" t="s">
        <v>86</v>
      </c>
      <c r="G28">
        <v>1000</v>
      </c>
      <c r="H28">
        <v>150</v>
      </c>
      <c r="I28">
        <v>140</v>
      </c>
      <c r="J28" s="2">
        <v>1</v>
      </c>
      <c r="K28">
        <f t="shared" si="0"/>
        <v>103.51807832119154</v>
      </c>
      <c r="L28">
        <f t="shared" si="6"/>
        <v>139.9067355154495</v>
      </c>
      <c r="M28">
        <f t="shared" si="2"/>
        <v>14.727024791099947</v>
      </c>
      <c r="N28">
        <f t="shared" si="3"/>
        <v>57.711528400122923</v>
      </c>
      <c r="O28">
        <f t="shared" si="4"/>
        <v>6.0748977263287287</v>
      </c>
    </row>
    <row r="29" spans="1:15" x14ac:dyDescent="0.15">
      <c r="A29" t="s">
        <v>24</v>
      </c>
      <c r="B29" t="s">
        <v>46</v>
      </c>
      <c r="C29" t="s">
        <v>81</v>
      </c>
      <c r="D29" t="s">
        <v>83</v>
      </c>
      <c r="E29">
        <v>9.5</v>
      </c>
      <c r="F29" t="s">
        <v>86</v>
      </c>
      <c r="G29">
        <v>1000</v>
      </c>
      <c r="H29">
        <v>165</v>
      </c>
      <c r="I29">
        <v>167</v>
      </c>
      <c r="J29" s="2">
        <v>1</v>
      </c>
      <c r="K29">
        <f t="shared" si="0"/>
        <v>159.20280774905865</v>
      </c>
      <c r="L29">
        <f t="shared" si="6"/>
        <v>139.9067355154495</v>
      </c>
      <c r="M29">
        <f t="shared" si="2"/>
        <v>14.727024791099947</v>
      </c>
      <c r="N29">
        <f t="shared" si="3"/>
        <v>57.711528400122923</v>
      </c>
      <c r="O29">
        <f t="shared" si="4"/>
        <v>6.0748977263287287</v>
      </c>
    </row>
    <row r="30" spans="1:15" x14ac:dyDescent="0.15">
      <c r="A30" t="s">
        <v>24</v>
      </c>
      <c r="B30" t="s">
        <v>46</v>
      </c>
      <c r="C30" t="s">
        <v>81</v>
      </c>
      <c r="D30" t="s">
        <v>83</v>
      </c>
      <c r="E30">
        <v>9.5</v>
      </c>
      <c r="F30" t="s">
        <v>86</v>
      </c>
      <c r="G30">
        <v>1000</v>
      </c>
      <c r="H30">
        <v>170</v>
      </c>
      <c r="I30">
        <v>184</v>
      </c>
      <c r="J30" s="2">
        <v>1</v>
      </c>
      <c r="K30">
        <f t="shared" si="0"/>
        <v>195.63716827501383</v>
      </c>
      <c r="L30">
        <f t="shared" si="6"/>
        <v>139.9067355154495</v>
      </c>
      <c r="M30">
        <f t="shared" si="2"/>
        <v>14.727024791099947</v>
      </c>
      <c r="N30">
        <f t="shared" si="3"/>
        <v>57.711528400122923</v>
      </c>
      <c r="O30">
        <f t="shared" si="4"/>
        <v>6.0748977263287287</v>
      </c>
    </row>
    <row r="31" spans="1:15" x14ac:dyDescent="0.15">
      <c r="A31" t="s">
        <v>24</v>
      </c>
      <c r="B31" t="s">
        <v>46</v>
      </c>
      <c r="C31" t="s">
        <v>81</v>
      </c>
      <c r="D31" t="s">
        <v>83</v>
      </c>
      <c r="E31">
        <v>9.5</v>
      </c>
      <c r="F31" t="s">
        <v>86</v>
      </c>
      <c r="G31">
        <v>1000</v>
      </c>
      <c r="H31">
        <v>155</v>
      </c>
      <c r="I31">
        <v>151</v>
      </c>
      <c r="J31" s="2">
        <v>1</v>
      </c>
      <c r="K31">
        <f t="shared" si="0"/>
        <v>123.15002717289158</v>
      </c>
      <c r="L31">
        <f t="shared" si="6"/>
        <v>139.9067355154495</v>
      </c>
      <c r="M31">
        <f t="shared" si="2"/>
        <v>14.727024791099947</v>
      </c>
      <c r="N31">
        <f t="shared" si="3"/>
        <v>57.711528400122923</v>
      </c>
      <c r="O31">
        <f t="shared" si="4"/>
        <v>6.0748977263287287</v>
      </c>
    </row>
    <row r="32" spans="1:15" x14ac:dyDescent="0.15">
      <c r="A32" t="s">
        <v>25</v>
      </c>
      <c r="B32" t="s">
        <v>47</v>
      </c>
      <c r="C32" t="s">
        <v>81</v>
      </c>
      <c r="D32" t="s">
        <v>83</v>
      </c>
      <c r="E32">
        <v>9.5</v>
      </c>
      <c r="F32" t="s">
        <v>86</v>
      </c>
      <c r="G32">
        <v>1000</v>
      </c>
      <c r="H32">
        <v>147.5</v>
      </c>
      <c r="I32">
        <v>136</v>
      </c>
      <c r="J32" s="2">
        <v>1</v>
      </c>
      <c r="K32">
        <f t="shared" si="0"/>
        <v>96.298186584043208</v>
      </c>
      <c r="L32">
        <f>AVERAGE(K$32:K$41)*G32/1000</f>
        <v>150.82516060107167</v>
      </c>
      <c r="M32">
        <f t="shared" si="2"/>
        <v>15.876332694849649</v>
      </c>
      <c r="N32">
        <f t="shared" si="3"/>
        <v>62.215378747942061</v>
      </c>
      <c r="O32">
        <f t="shared" si="4"/>
        <v>6.5489872366254804</v>
      </c>
    </row>
    <row r="33" spans="1:15" x14ac:dyDescent="0.15">
      <c r="A33" t="s">
        <v>25</v>
      </c>
      <c r="B33" t="s">
        <v>47</v>
      </c>
      <c r="C33" t="s">
        <v>81</v>
      </c>
      <c r="D33" t="s">
        <v>83</v>
      </c>
      <c r="E33">
        <v>9.5</v>
      </c>
      <c r="F33" t="s">
        <v>86</v>
      </c>
      <c r="G33">
        <v>1000</v>
      </c>
      <c r="H33">
        <v>155</v>
      </c>
      <c r="I33">
        <v>152</v>
      </c>
      <c r="J33" s="2">
        <v>1</v>
      </c>
      <c r="K33">
        <f t="shared" si="0"/>
        <v>124.54687263010931</v>
      </c>
      <c r="L33">
        <f t="shared" ref="L33:L41" si="7">AVERAGE(K$32:K$41)*G33/1000</f>
        <v>150.82516060107167</v>
      </c>
      <c r="M33">
        <f t="shared" si="2"/>
        <v>15.876332694849649</v>
      </c>
      <c r="N33">
        <f t="shared" si="3"/>
        <v>62.215378747942061</v>
      </c>
      <c r="O33">
        <f t="shared" si="4"/>
        <v>6.5489872366254804</v>
      </c>
    </row>
    <row r="34" spans="1:15" x14ac:dyDescent="0.15">
      <c r="A34" t="s">
        <v>25</v>
      </c>
      <c r="B34" t="s">
        <v>47</v>
      </c>
      <c r="C34" t="s">
        <v>81</v>
      </c>
      <c r="D34" t="s">
        <v>83</v>
      </c>
      <c r="E34">
        <v>9.5</v>
      </c>
      <c r="F34" t="s">
        <v>86</v>
      </c>
      <c r="G34">
        <v>1000</v>
      </c>
      <c r="H34">
        <v>155</v>
      </c>
      <c r="I34">
        <v>147</v>
      </c>
      <c r="J34" s="2">
        <v>1</v>
      </c>
      <c r="K34">
        <f t="shared" si="0"/>
        <v>117.62818129999634</v>
      </c>
      <c r="L34">
        <f t="shared" si="7"/>
        <v>150.82516060107167</v>
      </c>
      <c r="M34">
        <f t="shared" si="2"/>
        <v>15.876332694849649</v>
      </c>
      <c r="N34">
        <f t="shared" si="3"/>
        <v>62.215378747942061</v>
      </c>
      <c r="O34">
        <f t="shared" si="4"/>
        <v>6.5489872366254804</v>
      </c>
    </row>
    <row r="35" spans="1:15" x14ac:dyDescent="0.15">
      <c r="A35" t="s">
        <v>25</v>
      </c>
      <c r="B35" t="s">
        <v>47</v>
      </c>
      <c r="C35" t="s">
        <v>81</v>
      </c>
      <c r="D35" t="s">
        <v>83</v>
      </c>
      <c r="E35">
        <v>9.5</v>
      </c>
      <c r="F35" t="s">
        <v>86</v>
      </c>
      <c r="G35">
        <v>1000</v>
      </c>
      <c r="H35">
        <v>160</v>
      </c>
      <c r="I35">
        <v>162</v>
      </c>
      <c r="J35" s="2">
        <v>1</v>
      </c>
      <c r="K35">
        <f t="shared" si="0"/>
        <v>144.97455328729981</v>
      </c>
      <c r="L35">
        <f t="shared" si="7"/>
        <v>150.82516060107167</v>
      </c>
      <c r="M35">
        <f t="shared" si="2"/>
        <v>15.876332694849649</v>
      </c>
      <c r="N35">
        <f t="shared" si="3"/>
        <v>62.215378747942061</v>
      </c>
      <c r="O35">
        <f t="shared" si="4"/>
        <v>6.5489872366254804</v>
      </c>
    </row>
    <row r="36" spans="1:15" x14ac:dyDescent="0.15">
      <c r="A36" t="s">
        <v>25</v>
      </c>
      <c r="B36" t="s">
        <v>47</v>
      </c>
      <c r="C36" t="s">
        <v>81</v>
      </c>
      <c r="D36" t="s">
        <v>83</v>
      </c>
      <c r="E36">
        <v>9.5</v>
      </c>
      <c r="F36" t="s">
        <v>86</v>
      </c>
      <c r="G36">
        <v>1000</v>
      </c>
      <c r="H36">
        <v>165</v>
      </c>
      <c r="I36">
        <v>180</v>
      </c>
      <c r="J36" s="2">
        <v>1</v>
      </c>
      <c r="K36">
        <f t="shared" si="0"/>
        <v>180.95900295519942</v>
      </c>
      <c r="L36">
        <f t="shared" si="7"/>
        <v>150.82516060107167</v>
      </c>
      <c r="M36">
        <f t="shared" si="2"/>
        <v>15.876332694849649</v>
      </c>
      <c r="N36">
        <f t="shared" si="3"/>
        <v>62.215378747942061</v>
      </c>
      <c r="O36">
        <f t="shared" si="4"/>
        <v>6.5489872366254804</v>
      </c>
    </row>
    <row r="37" spans="1:15" x14ac:dyDescent="0.15">
      <c r="A37" t="s">
        <v>25</v>
      </c>
      <c r="B37" t="s">
        <v>47</v>
      </c>
      <c r="C37" t="s">
        <v>81</v>
      </c>
      <c r="D37" t="s">
        <v>83</v>
      </c>
      <c r="E37">
        <v>9.5</v>
      </c>
      <c r="F37" t="s">
        <v>86</v>
      </c>
      <c r="G37">
        <v>1000</v>
      </c>
      <c r="H37">
        <v>165</v>
      </c>
      <c r="I37">
        <v>176</v>
      </c>
      <c r="J37" s="2">
        <v>1</v>
      </c>
      <c r="K37">
        <f t="shared" si="0"/>
        <v>174.14189573660667</v>
      </c>
      <c r="L37">
        <f t="shared" si="7"/>
        <v>150.82516060107167</v>
      </c>
      <c r="M37">
        <f t="shared" si="2"/>
        <v>15.876332694849649</v>
      </c>
      <c r="N37">
        <f t="shared" si="3"/>
        <v>62.215378747942061</v>
      </c>
      <c r="O37">
        <f t="shared" si="4"/>
        <v>6.5489872366254804</v>
      </c>
    </row>
    <row r="38" spans="1:15" x14ac:dyDescent="0.15">
      <c r="A38" t="s">
        <v>25</v>
      </c>
      <c r="B38" t="s">
        <v>47</v>
      </c>
      <c r="C38" t="s">
        <v>81</v>
      </c>
      <c r="D38" t="s">
        <v>83</v>
      </c>
      <c r="E38">
        <v>9.5</v>
      </c>
      <c r="F38" t="s">
        <v>86</v>
      </c>
      <c r="G38">
        <v>1000</v>
      </c>
      <c r="H38">
        <v>170</v>
      </c>
      <c r="I38">
        <v>184</v>
      </c>
      <c r="J38" s="2">
        <v>1</v>
      </c>
      <c r="K38">
        <f t="shared" si="0"/>
        <v>195.63716827501383</v>
      </c>
      <c r="L38">
        <f t="shared" si="7"/>
        <v>150.82516060107167</v>
      </c>
      <c r="M38">
        <f t="shared" si="2"/>
        <v>15.876332694849649</v>
      </c>
      <c r="N38">
        <f t="shared" si="3"/>
        <v>62.215378747942061</v>
      </c>
      <c r="O38">
        <f t="shared" si="4"/>
        <v>6.5489872366254804</v>
      </c>
    </row>
    <row r="39" spans="1:15" x14ac:dyDescent="0.15">
      <c r="A39" t="s">
        <v>25</v>
      </c>
      <c r="B39" t="s">
        <v>47</v>
      </c>
      <c r="C39" t="s">
        <v>81</v>
      </c>
      <c r="D39" t="s">
        <v>83</v>
      </c>
      <c r="E39">
        <v>9.5</v>
      </c>
      <c r="F39" t="s">
        <v>86</v>
      </c>
      <c r="G39">
        <v>1000</v>
      </c>
      <c r="H39">
        <v>147.5</v>
      </c>
      <c r="I39">
        <v>148</v>
      </c>
      <c r="J39" s="2">
        <v>1</v>
      </c>
      <c r="K39">
        <f t="shared" si="0"/>
        <v>111.26727983774491</v>
      </c>
      <c r="L39">
        <f t="shared" si="7"/>
        <v>150.82516060107167</v>
      </c>
      <c r="M39">
        <f t="shared" si="2"/>
        <v>15.876332694849649</v>
      </c>
      <c r="N39">
        <f t="shared" si="3"/>
        <v>62.215378747942061</v>
      </c>
      <c r="O39">
        <f t="shared" si="4"/>
        <v>6.5489872366254804</v>
      </c>
    </row>
    <row r="40" spans="1:15" x14ac:dyDescent="0.15">
      <c r="A40" t="s">
        <v>25</v>
      </c>
      <c r="B40" t="s">
        <v>47</v>
      </c>
      <c r="C40" t="s">
        <v>81</v>
      </c>
      <c r="D40" t="s">
        <v>83</v>
      </c>
      <c r="E40">
        <v>9.5</v>
      </c>
      <c r="F40" t="s">
        <v>86</v>
      </c>
      <c r="G40">
        <v>1000</v>
      </c>
      <c r="H40">
        <v>170</v>
      </c>
      <c r="I40">
        <v>181</v>
      </c>
      <c r="J40" s="2">
        <v>1</v>
      </c>
      <c r="K40">
        <f t="shared" si="0"/>
        <v>190.21831075615862</v>
      </c>
      <c r="L40">
        <f t="shared" si="7"/>
        <v>150.82516060107167</v>
      </c>
      <c r="M40">
        <f t="shared" si="2"/>
        <v>15.876332694849649</v>
      </c>
      <c r="N40">
        <f t="shared" si="3"/>
        <v>62.215378747942061</v>
      </c>
      <c r="O40">
        <f t="shared" si="4"/>
        <v>6.5489872366254804</v>
      </c>
    </row>
    <row r="41" spans="1:15" x14ac:dyDescent="0.15">
      <c r="A41" t="s">
        <v>25</v>
      </c>
      <c r="B41" t="s">
        <v>47</v>
      </c>
      <c r="C41" t="s">
        <v>81</v>
      </c>
      <c r="D41" t="s">
        <v>83</v>
      </c>
      <c r="E41">
        <v>9.5</v>
      </c>
      <c r="F41" t="s">
        <v>86</v>
      </c>
      <c r="G41">
        <v>1000</v>
      </c>
      <c r="H41">
        <v>167.5</v>
      </c>
      <c r="I41">
        <v>173</v>
      </c>
      <c r="J41" s="2">
        <v>1</v>
      </c>
      <c r="K41">
        <f t="shared" si="0"/>
        <v>172.58015464854469</v>
      </c>
      <c r="L41">
        <f t="shared" si="7"/>
        <v>150.82516060107167</v>
      </c>
      <c r="M41">
        <f t="shared" si="2"/>
        <v>15.876332694849649</v>
      </c>
      <c r="N41">
        <f t="shared" si="3"/>
        <v>62.215378747942061</v>
      </c>
      <c r="O41">
        <f t="shared" si="4"/>
        <v>6.5489872366254804</v>
      </c>
    </row>
    <row r="42" spans="1:15" x14ac:dyDescent="0.15">
      <c r="A42" t="s">
        <v>26</v>
      </c>
      <c r="B42" t="s">
        <v>48</v>
      </c>
      <c r="C42" t="s">
        <v>81</v>
      </c>
      <c r="D42" t="s">
        <v>83</v>
      </c>
      <c r="E42">
        <v>9.5</v>
      </c>
      <c r="F42" t="s">
        <v>86</v>
      </c>
      <c r="G42">
        <v>1000</v>
      </c>
      <c r="H42">
        <v>160</v>
      </c>
      <c r="I42">
        <v>180</v>
      </c>
      <c r="J42" s="2">
        <v>1</v>
      </c>
      <c r="K42">
        <f t="shared" si="0"/>
        <v>173.57172358234337</v>
      </c>
      <c r="L42">
        <f>AVERAGE(K$42:K$51)*G42/1000</f>
        <v>149.24399851836134</v>
      </c>
      <c r="M42">
        <f t="shared" si="2"/>
        <v>15.709894580880141</v>
      </c>
      <c r="N42">
        <f t="shared" si="3"/>
        <v>61.563149388824051</v>
      </c>
      <c r="O42">
        <f t="shared" si="4"/>
        <v>6.4803315146130585</v>
      </c>
    </row>
    <row r="43" spans="1:15" x14ac:dyDescent="0.15">
      <c r="A43" t="s">
        <v>26</v>
      </c>
      <c r="B43" t="s">
        <v>48</v>
      </c>
      <c r="C43" t="s">
        <v>81</v>
      </c>
      <c r="D43" t="s">
        <v>83</v>
      </c>
      <c r="E43">
        <v>9.5</v>
      </c>
      <c r="F43" t="s">
        <v>86</v>
      </c>
      <c r="G43">
        <v>1000</v>
      </c>
      <c r="H43">
        <v>155</v>
      </c>
      <c r="I43">
        <v>155</v>
      </c>
      <c r="J43" s="2">
        <v>1</v>
      </c>
      <c r="K43">
        <f t="shared" si="0"/>
        <v>128.77652911385374</v>
      </c>
      <c r="L43">
        <f t="shared" ref="L43:L51" si="8">AVERAGE(K$42:K$51)*G43/1000</f>
        <v>149.24399851836134</v>
      </c>
      <c r="M43">
        <f t="shared" si="2"/>
        <v>15.709894580880141</v>
      </c>
      <c r="N43">
        <f t="shared" si="3"/>
        <v>61.563149388824051</v>
      </c>
      <c r="O43">
        <f t="shared" si="4"/>
        <v>6.4803315146130585</v>
      </c>
    </row>
    <row r="44" spans="1:15" x14ac:dyDescent="0.15">
      <c r="A44" t="s">
        <v>26</v>
      </c>
      <c r="B44" t="s">
        <v>48</v>
      </c>
      <c r="C44" t="s">
        <v>81</v>
      </c>
      <c r="D44" t="s">
        <v>83</v>
      </c>
      <c r="E44">
        <v>9.5</v>
      </c>
      <c r="F44" t="s">
        <v>86</v>
      </c>
      <c r="G44">
        <v>1000</v>
      </c>
      <c r="H44">
        <v>155</v>
      </c>
      <c r="I44">
        <v>146</v>
      </c>
      <c r="J44" s="2">
        <v>1</v>
      </c>
      <c r="K44">
        <f t="shared" si="0"/>
        <v>116.26416800652017</v>
      </c>
      <c r="L44">
        <f t="shared" si="8"/>
        <v>149.24399851836134</v>
      </c>
      <c r="M44">
        <f t="shared" si="2"/>
        <v>15.709894580880141</v>
      </c>
      <c r="N44">
        <f t="shared" si="3"/>
        <v>61.563149388824051</v>
      </c>
      <c r="O44">
        <f t="shared" si="4"/>
        <v>6.4803315146130585</v>
      </c>
    </row>
    <row r="45" spans="1:15" x14ac:dyDescent="0.15">
      <c r="A45" t="s">
        <v>26</v>
      </c>
      <c r="B45" t="s">
        <v>48</v>
      </c>
      <c r="C45" t="s">
        <v>81</v>
      </c>
      <c r="D45" t="s">
        <v>83</v>
      </c>
      <c r="E45">
        <v>9.5</v>
      </c>
      <c r="F45" t="s">
        <v>86</v>
      </c>
      <c r="G45">
        <v>1000</v>
      </c>
      <c r="H45">
        <v>152.5</v>
      </c>
      <c r="I45">
        <v>144</v>
      </c>
      <c r="J45" s="2">
        <v>1</v>
      </c>
      <c r="K45">
        <f t="shared" si="0"/>
        <v>111.08229230274337</v>
      </c>
      <c r="L45">
        <f t="shared" si="8"/>
        <v>149.24399851836134</v>
      </c>
      <c r="M45">
        <f t="shared" si="2"/>
        <v>15.709894580880141</v>
      </c>
      <c r="N45">
        <f t="shared" si="3"/>
        <v>61.563149388824051</v>
      </c>
      <c r="O45">
        <f t="shared" si="4"/>
        <v>6.4803315146130585</v>
      </c>
    </row>
    <row r="46" spans="1:15" x14ac:dyDescent="0.15">
      <c r="A46" t="s">
        <v>26</v>
      </c>
      <c r="B46" t="s">
        <v>48</v>
      </c>
      <c r="C46" t="s">
        <v>81</v>
      </c>
      <c r="D46" t="s">
        <v>83</v>
      </c>
      <c r="E46">
        <v>9.5</v>
      </c>
      <c r="F46" t="s">
        <v>86</v>
      </c>
      <c r="G46">
        <v>1000</v>
      </c>
      <c r="H46">
        <v>155</v>
      </c>
      <c r="I46">
        <v>174</v>
      </c>
      <c r="J46" s="2">
        <v>1</v>
      </c>
      <c r="K46">
        <f t="shared" si="0"/>
        <v>156.90795053504431</v>
      </c>
      <c r="L46">
        <f t="shared" si="8"/>
        <v>149.24399851836134</v>
      </c>
      <c r="M46">
        <f t="shared" si="2"/>
        <v>15.709894580880141</v>
      </c>
      <c r="N46">
        <f t="shared" si="3"/>
        <v>61.563149388824051</v>
      </c>
      <c r="O46">
        <f t="shared" si="4"/>
        <v>6.4803315146130585</v>
      </c>
    </row>
    <row r="47" spans="1:15" x14ac:dyDescent="0.15">
      <c r="A47" t="s">
        <v>26</v>
      </c>
      <c r="B47" t="s">
        <v>48</v>
      </c>
      <c r="C47" t="s">
        <v>81</v>
      </c>
      <c r="D47" t="s">
        <v>83</v>
      </c>
      <c r="E47">
        <v>9.5</v>
      </c>
      <c r="F47" t="s">
        <v>86</v>
      </c>
      <c r="G47">
        <v>1000</v>
      </c>
      <c r="H47">
        <v>157.5</v>
      </c>
      <c r="I47">
        <v>151</v>
      </c>
      <c r="J47" s="2">
        <v>1</v>
      </c>
      <c r="K47">
        <f t="shared" si="0"/>
        <v>125.84808281329441</v>
      </c>
      <c r="L47">
        <f t="shared" si="8"/>
        <v>149.24399851836134</v>
      </c>
      <c r="M47">
        <f t="shared" si="2"/>
        <v>15.709894580880141</v>
      </c>
      <c r="N47">
        <f t="shared" si="3"/>
        <v>61.563149388824051</v>
      </c>
      <c r="O47">
        <f t="shared" si="4"/>
        <v>6.4803315146130585</v>
      </c>
    </row>
    <row r="48" spans="1:15" x14ac:dyDescent="0.15">
      <c r="A48" t="s">
        <v>26</v>
      </c>
      <c r="B48" t="s">
        <v>48</v>
      </c>
      <c r="C48" t="s">
        <v>81</v>
      </c>
      <c r="D48" t="s">
        <v>83</v>
      </c>
      <c r="E48">
        <v>9.5</v>
      </c>
      <c r="F48" t="s">
        <v>86</v>
      </c>
      <c r="G48">
        <v>1000</v>
      </c>
      <c r="H48">
        <v>160</v>
      </c>
      <c r="I48">
        <v>187</v>
      </c>
      <c r="J48" s="2">
        <v>1</v>
      </c>
      <c r="K48">
        <f t="shared" si="0"/>
        <v>185.26402566937449</v>
      </c>
      <c r="L48">
        <f t="shared" si="8"/>
        <v>149.24399851836134</v>
      </c>
      <c r="M48">
        <f t="shared" si="2"/>
        <v>15.709894580880141</v>
      </c>
      <c r="N48">
        <f t="shared" si="3"/>
        <v>61.563149388824051</v>
      </c>
      <c r="O48">
        <f t="shared" si="4"/>
        <v>6.4803315146130585</v>
      </c>
    </row>
    <row r="49" spans="1:15" x14ac:dyDescent="0.15">
      <c r="A49" t="s">
        <v>26</v>
      </c>
      <c r="B49" t="s">
        <v>48</v>
      </c>
      <c r="C49" t="s">
        <v>81</v>
      </c>
      <c r="D49" t="s">
        <v>83</v>
      </c>
      <c r="E49">
        <v>9.5</v>
      </c>
      <c r="F49" t="s">
        <v>86</v>
      </c>
      <c r="G49">
        <v>1000</v>
      </c>
      <c r="H49">
        <v>160</v>
      </c>
      <c r="I49">
        <v>165</v>
      </c>
      <c r="J49" s="2">
        <v>1</v>
      </c>
      <c r="K49">
        <f t="shared" si="0"/>
        <v>149.59205504853514</v>
      </c>
      <c r="L49">
        <f t="shared" si="8"/>
        <v>149.24399851836134</v>
      </c>
      <c r="M49">
        <f t="shared" si="2"/>
        <v>15.709894580880141</v>
      </c>
      <c r="N49">
        <f t="shared" si="3"/>
        <v>61.563149388824051</v>
      </c>
      <c r="O49">
        <f t="shared" si="4"/>
        <v>6.4803315146130585</v>
      </c>
    </row>
    <row r="50" spans="1:15" x14ac:dyDescent="0.15">
      <c r="A50" t="s">
        <v>26</v>
      </c>
      <c r="B50" t="s">
        <v>48</v>
      </c>
      <c r="C50" t="s">
        <v>81</v>
      </c>
      <c r="D50" t="s">
        <v>83</v>
      </c>
      <c r="E50">
        <v>9.5</v>
      </c>
      <c r="F50" t="s">
        <v>86</v>
      </c>
      <c r="G50">
        <v>1000</v>
      </c>
      <c r="H50">
        <v>160</v>
      </c>
      <c r="I50">
        <v>186</v>
      </c>
      <c r="J50" s="2">
        <v>1</v>
      </c>
      <c r="K50">
        <f t="shared" si="0"/>
        <v>183.57436794940898</v>
      </c>
      <c r="L50">
        <f t="shared" si="8"/>
        <v>149.24399851836134</v>
      </c>
      <c r="M50">
        <f t="shared" si="2"/>
        <v>15.709894580880141</v>
      </c>
      <c r="N50">
        <f t="shared" si="3"/>
        <v>61.563149388824051</v>
      </c>
      <c r="O50">
        <f t="shared" si="4"/>
        <v>6.4803315146130585</v>
      </c>
    </row>
    <row r="51" spans="1:15" x14ac:dyDescent="0.15">
      <c r="A51" t="s">
        <v>26</v>
      </c>
      <c r="B51" t="s">
        <v>48</v>
      </c>
      <c r="C51" t="s">
        <v>81</v>
      </c>
      <c r="D51" t="s">
        <v>83</v>
      </c>
      <c r="E51">
        <v>9.5</v>
      </c>
      <c r="F51" t="s">
        <v>86</v>
      </c>
      <c r="G51">
        <v>1000</v>
      </c>
      <c r="H51">
        <v>155</v>
      </c>
      <c r="I51">
        <v>177</v>
      </c>
      <c r="J51" s="2">
        <v>1</v>
      </c>
      <c r="K51">
        <f t="shared" si="0"/>
        <v>161.55879016249543</v>
      </c>
      <c r="L51">
        <f t="shared" si="8"/>
        <v>149.24399851836134</v>
      </c>
      <c r="M51">
        <f t="shared" si="2"/>
        <v>15.709894580880141</v>
      </c>
      <c r="N51">
        <f t="shared" si="3"/>
        <v>61.563149388824051</v>
      </c>
      <c r="O51">
        <f t="shared" si="4"/>
        <v>6.4803315146130585</v>
      </c>
    </row>
    <row r="52" spans="1:15" x14ac:dyDescent="0.15">
      <c r="A52" t="s">
        <v>27</v>
      </c>
      <c r="B52" t="s">
        <v>49</v>
      </c>
      <c r="C52" t="s">
        <v>81</v>
      </c>
      <c r="D52" t="s">
        <v>83</v>
      </c>
      <c r="E52">
        <v>9.5</v>
      </c>
      <c r="F52" t="s">
        <v>86</v>
      </c>
      <c r="G52">
        <v>1000</v>
      </c>
      <c r="H52">
        <v>170</v>
      </c>
      <c r="I52">
        <v>202</v>
      </c>
      <c r="J52" s="2">
        <v>1</v>
      </c>
      <c r="K52">
        <f t="shared" si="0"/>
        <v>229.46278210805752</v>
      </c>
      <c r="L52">
        <f>AVERAGE(K$52:K$61)*G52/1000</f>
        <v>134.8988560235253</v>
      </c>
      <c r="M52">
        <f t="shared" si="2"/>
        <v>14.199879581423716</v>
      </c>
      <c r="N52">
        <f t="shared" si="3"/>
        <v>55.645778109704182</v>
      </c>
      <c r="O52">
        <f t="shared" si="4"/>
        <v>5.8574503273372827</v>
      </c>
    </row>
    <row r="53" spans="1:15" x14ac:dyDescent="0.15">
      <c r="A53" t="s">
        <v>27</v>
      </c>
      <c r="B53" t="s">
        <v>49</v>
      </c>
      <c r="C53" t="s">
        <v>81</v>
      </c>
      <c r="D53" t="s">
        <v>83</v>
      </c>
      <c r="E53">
        <v>9.5</v>
      </c>
      <c r="F53" t="s">
        <v>86</v>
      </c>
      <c r="G53">
        <v>1000</v>
      </c>
      <c r="H53">
        <v>170</v>
      </c>
      <c r="I53">
        <v>186</v>
      </c>
      <c r="J53" s="2">
        <v>1</v>
      </c>
      <c r="K53">
        <f t="shared" si="0"/>
        <v>199.28474832615527</v>
      </c>
      <c r="L53">
        <f t="shared" ref="L53:L61" si="9">AVERAGE(K$52:K$61)*G53/1000</f>
        <v>134.8988560235253</v>
      </c>
      <c r="M53">
        <f t="shared" si="2"/>
        <v>14.199879581423716</v>
      </c>
      <c r="N53">
        <f t="shared" si="3"/>
        <v>55.645778109704182</v>
      </c>
      <c r="O53">
        <f t="shared" si="4"/>
        <v>5.8574503273372827</v>
      </c>
    </row>
    <row r="54" spans="1:15" x14ac:dyDescent="0.15">
      <c r="A54" t="s">
        <v>27</v>
      </c>
      <c r="B54" t="s">
        <v>49</v>
      </c>
      <c r="C54" t="s">
        <v>81</v>
      </c>
      <c r="D54" t="s">
        <v>83</v>
      </c>
      <c r="E54">
        <v>9.5</v>
      </c>
      <c r="F54" t="s">
        <v>86</v>
      </c>
      <c r="G54">
        <v>1000</v>
      </c>
      <c r="H54">
        <v>160</v>
      </c>
      <c r="I54">
        <v>168</v>
      </c>
      <c r="J54" s="2">
        <v>1</v>
      </c>
      <c r="K54">
        <f t="shared" si="0"/>
        <v>154.26944509944525</v>
      </c>
      <c r="L54">
        <f t="shared" si="9"/>
        <v>134.8988560235253</v>
      </c>
      <c r="M54">
        <f t="shared" si="2"/>
        <v>14.199879581423716</v>
      </c>
      <c r="N54">
        <f t="shared" si="3"/>
        <v>55.645778109704182</v>
      </c>
      <c r="O54">
        <f t="shared" si="4"/>
        <v>5.8574503273372827</v>
      </c>
    </row>
    <row r="55" spans="1:15" x14ac:dyDescent="0.15">
      <c r="A55" t="s">
        <v>27</v>
      </c>
      <c r="B55" t="s">
        <v>49</v>
      </c>
      <c r="C55" t="s">
        <v>81</v>
      </c>
      <c r="D55" t="s">
        <v>83</v>
      </c>
      <c r="E55">
        <v>9.5</v>
      </c>
      <c r="F55" t="s">
        <v>86</v>
      </c>
      <c r="G55">
        <v>1000</v>
      </c>
      <c r="H55">
        <v>142.5</v>
      </c>
      <c r="I55">
        <v>134</v>
      </c>
      <c r="J55" s="2">
        <v>1</v>
      </c>
      <c r="K55">
        <f t="shared" si="0"/>
        <v>89.606124409118181</v>
      </c>
      <c r="L55">
        <f t="shared" si="9"/>
        <v>134.8988560235253</v>
      </c>
      <c r="M55">
        <f t="shared" si="2"/>
        <v>14.199879581423716</v>
      </c>
      <c r="N55">
        <f t="shared" si="3"/>
        <v>55.645778109704182</v>
      </c>
      <c r="O55">
        <f t="shared" si="4"/>
        <v>5.8574503273372827</v>
      </c>
    </row>
    <row r="56" spans="1:15" x14ac:dyDescent="0.15">
      <c r="A56" t="s">
        <v>27</v>
      </c>
      <c r="B56" t="s">
        <v>49</v>
      </c>
      <c r="C56" t="s">
        <v>81</v>
      </c>
      <c r="D56" t="s">
        <v>83</v>
      </c>
      <c r="E56">
        <v>9.5</v>
      </c>
      <c r="F56" t="s">
        <v>86</v>
      </c>
      <c r="G56">
        <v>1000</v>
      </c>
      <c r="H56">
        <v>142.5</v>
      </c>
      <c r="I56">
        <v>132</v>
      </c>
      <c r="J56" s="2">
        <v>1</v>
      </c>
      <c r="K56">
        <f t="shared" si="0"/>
        <v>87.332965061947377</v>
      </c>
      <c r="L56">
        <f t="shared" si="9"/>
        <v>134.8988560235253</v>
      </c>
      <c r="M56">
        <f t="shared" si="2"/>
        <v>14.199879581423716</v>
      </c>
      <c r="N56">
        <f t="shared" si="3"/>
        <v>55.645778109704182</v>
      </c>
      <c r="O56">
        <f t="shared" si="4"/>
        <v>5.8574503273372827</v>
      </c>
    </row>
    <row r="57" spans="1:15" x14ac:dyDescent="0.15">
      <c r="A57" t="s">
        <v>27</v>
      </c>
      <c r="B57" t="s">
        <v>49</v>
      </c>
      <c r="C57" t="s">
        <v>81</v>
      </c>
      <c r="D57" t="s">
        <v>83</v>
      </c>
      <c r="E57">
        <v>9.5</v>
      </c>
      <c r="F57" t="s">
        <v>86</v>
      </c>
      <c r="G57">
        <v>1000</v>
      </c>
      <c r="H57">
        <v>145</v>
      </c>
      <c r="I57">
        <v>136</v>
      </c>
      <c r="J57" s="2">
        <v>1</v>
      </c>
      <c r="K57">
        <f t="shared" si="0"/>
        <v>94.094106987216406</v>
      </c>
      <c r="L57">
        <f t="shared" si="9"/>
        <v>134.8988560235253</v>
      </c>
      <c r="M57">
        <f t="shared" si="2"/>
        <v>14.199879581423716</v>
      </c>
      <c r="N57">
        <f t="shared" si="3"/>
        <v>55.645778109704182</v>
      </c>
      <c r="O57">
        <f t="shared" si="4"/>
        <v>5.8574503273372827</v>
      </c>
    </row>
    <row r="58" spans="1:15" x14ac:dyDescent="0.15">
      <c r="A58" t="s">
        <v>27</v>
      </c>
      <c r="B58" t="s">
        <v>49</v>
      </c>
      <c r="C58" t="s">
        <v>81</v>
      </c>
      <c r="D58" t="s">
        <v>83</v>
      </c>
      <c r="E58">
        <v>9.5</v>
      </c>
      <c r="F58" t="s">
        <v>86</v>
      </c>
      <c r="G58">
        <v>1000</v>
      </c>
      <c r="H58">
        <v>130</v>
      </c>
      <c r="I58">
        <v>117</v>
      </c>
      <c r="J58" s="2">
        <v>1</v>
      </c>
      <c r="K58">
        <f t="shared" si="0"/>
        <v>62.756103947809613</v>
      </c>
      <c r="L58">
        <f t="shared" si="9"/>
        <v>134.8988560235253</v>
      </c>
      <c r="M58">
        <f t="shared" si="2"/>
        <v>14.199879581423716</v>
      </c>
      <c r="N58">
        <f t="shared" si="3"/>
        <v>55.645778109704182</v>
      </c>
      <c r="O58">
        <f t="shared" si="4"/>
        <v>5.8574503273372827</v>
      </c>
    </row>
    <row r="59" spans="1:15" x14ac:dyDescent="0.15">
      <c r="A59" t="s">
        <v>27</v>
      </c>
      <c r="B59" t="s">
        <v>49</v>
      </c>
      <c r="C59" t="s">
        <v>81</v>
      </c>
      <c r="D59" t="s">
        <v>83</v>
      </c>
      <c r="E59">
        <v>9.5</v>
      </c>
      <c r="F59" t="s">
        <v>86</v>
      </c>
      <c r="G59">
        <v>1000</v>
      </c>
      <c r="H59">
        <v>150</v>
      </c>
      <c r="I59">
        <v>148</v>
      </c>
      <c r="J59" s="2">
        <v>1</v>
      </c>
      <c r="K59">
        <f t="shared" si="0"/>
        <v>113.82932062463726</v>
      </c>
      <c r="L59">
        <f t="shared" si="9"/>
        <v>134.8988560235253</v>
      </c>
      <c r="M59">
        <f t="shared" si="2"/>
        <v>14.199879581423716</v>
      </c>
      <c r="N59">
        <f t="shared" si="3"/>
        <v>55.645778109704182</v>
      </c>
      <c r="O59">
        <f t="shared" si="4"/>
        <v>5.8574503273372827</v>
      </c>
    </row>
    <row r="60" spans="1:15" x14ac:dyDescent="0.15">
      <c r="A60" t="s">
        <v>27</v>
      </c>
      <c r="B60" t="s">
        <v>49</v>
      </c>
      <c r="C60" t="s">
        <v>81</v>
      </c>
      <c r="D60" t="s">
        <v>83</v>
      </c>
      <c r="E60">
        <v>9.5</v>
      </c>
      <c r="F60" t="s">
        <v>86</v>
      </c>
      <c r="G60">
        <v>1000</v>
      </c>
      <c r="H60">
        <v>165</v>
      </c>
      <c r="I60">
        <v>165</v>
      </c>
      <c r="J60" s="2">
        <v>1</v>
      </c>
      <c r="K60">
        <f t="shared" si="0"/>
        <v>155.95875049751427</v>
      </c>
      <c r="L60">
        <f t="shared" si="9"/>
        <v>134.8988560235253</v>
      </c>
      <c r="M60">
        <f t="shared" si="2"/>
        <v>14.199879581423716</v>
      </c>
      <c r="N60">
        <f t="shared" si="3"/>
        <v>55.645778109704182</v>
      </c>
      <c r="O60">
        <f t="shared" si="4"/>
        <v>5.8574503273372827</v>
      </c>
    </row>
    <row r="61" spans="1:15" x14ac:dyDescent="0.15">
      <c r="A61" t="s">
        <v>27</v>
      </c>
      <c r="B61" t="s">
        <v>49</v>
      </c>
      <c r="C61" t="s">
        <v>81</v>
      </c>
      <c r="D61" t="s">
        <v>83</v>
      </c>
      <c r="E61">
        <v>9.5</v>
      </c>
      <c r="F61" t="s">
        <v>86</v>
      </c>
      <c r="G61">
        <v>1000</v>
      </c>
      <c r="H61">
        <v>170</v>
      </c>
      <c r="I61">
        <v>165</v>
      </c>
      <c r="J61" s="2">
        <v>1</v>
      </c>
      <c r="K61">
        <f t="shared" si="0"/>
        <v>162.39421317335206</v>
      </c>
      <c r="L61">
        <f t="shared" si="9"/>
        <v>134.8988560235253</v>
      </c>
      <c r="M61">
        <f t="shared" si="2"/>
        <v>14.199879581423716</v>
      </c>
      <c r="N61">
        <f t="shared" si="3"/>
        <v>55.645778109704182</v>
      </c>
      <c r="O61">
        <f t="shared" si="4"/>
        <v>5.8574503273372827</v>
      </c>
    </row>
    <row r="62" spans="1:15" x14ac:dyDescent="0.15">
      <c r="A62" t="s">
        <v>28</v>
      </c>
      <c r="B62" t="s">
        <v>50</v>
      </c>
      <c r="C62" t="s">
        <v>119</v>
      </c>
      <c r="D62" t="s">
        <v>120</v>
      </c>
      <c r="E62">
        <v>6</v>
      </c>
      <c r="F62" t="s">
        <v>86</v>
      </c>
      <c r="G62">
        <v>1000</v>
      </c>
      <c r="H62">
        <v>133.5</v>
      </c>
      <c r="I62">
        <v>139</v>
      </c>
      <c r="J62" s="2">
        <v>0.7</v>
      </c>
      <c r="K62">
        <f t="shared" si="0"/>
        <v>87.326549164511661</v>
      </c>
      <c r="L62">
        <f>AVERAGE(K$62:K$71)*G62/1000</f>
        <v>75.672867060802588</v>
      </c>
      <c r="M62">
        <f t="shared" si="2"/>
        <v>12.612144510133765</v>
      </c>
      <c r="N62">
        <f t="shared" si="3"/>
        <v>31.215057662581067</v>
      </c>
      <c r="O62">
        <f t="shared" si="4"/>
        <v>5.2025096104301776</v>
      </c>
    </row>
    <row r="63" spans="1:15" x14ac:dyDescent="0.15">
      <c r="A63" t="s">
        <v>28</v>
      </c>
      <c r="B63" t="s">
        <v>50</v>
      </c>
      <c r="C63" t="s">
        <v>119</v>
      </c>
      <c r="D63" t="s">
        <v>120</v>
      </c>
      <c r="E63">
        <v>6</v>
      </c>
      <c r="F63" t="s">
        <v>86</v>
      </c>
      <c r="G63">
        <v>1000</v>
      </c>
      <c r="H63">
        <v>124</v>
      </c>
      <c r="I63">
        <v>124</v>
      </c>
      <c r="J63" s="2">
        <v>0.7</v>
      </c>
      <c r="K63">
        <f t="shared" si="0"/>
        <v>65.010124016466662</v>
      </c>
      <c r="L63">
        <f t="shared" ref="L63:L71" si="10">AVERAGE(K$62:K$71)*G63/1000</f>
        <v>75.672867060802588</v>
      </c>
      <c r="M63">
        <f t="shared" si="2"/>
        <v>12.612144510133765</v>
      </c>
      <c r="N63">
        <f t="shared" si="3"/>
        <v>31.215057662581067</v>
      </c>
      <c r="O63">
        <f t="shared" si="4"/>
        <v>5.2025096104301776</v>
      </c>
    </row>
    <row r="64" spans="1:15" x14ac:dyDescent="0.15">
      <c r="A64" t="s">
        <v>28</v>
      </c>
      <c r="B64" t="s">
        <v>50</v>
      </c>
      <c r="C64" t="s">
        <v>119</v>
      </c>
      <c r="D64" t="s">
        <v>120</v>
      </c>
      <c r="E64">
        <v>6</v>
      </c>
      <c r="F64" t="s">
        <v>86</v>
      </c>
      <c r="G64">
        <v>1000</v>
      </c>
      <c r="H64">
        <v>135</v>
      </c>
      <c r="I64">
        <v>114</v>
      </c>
      <c r="J64" s="2">
        <v>0.7</v>
      </c>
      <c r="K64">
        <f t="shared" si="0"/>
        <v>63.180093414237682</v>
      </c>
      <c r="L64">
        <f t="shared" si="10"/>
        <v>75.672867060802588</v>
      </c>
      <c r="M64">
        <f t="shared" si="2"/>
        <v>12.612144510133765</v>
      </c>
      <c r="N64">
        <f t="shared" si="3"/>
        <v>31.215057662581067</v>
      </c>
      <c r="O64">
        <f t="shared" si="4"/>
        <v>5.2025096104301776</v>
      </c>
    </row>
    <row r="65" spans="1:15" x14ac:dyDescent="0.15">
      <c r="A65" t="s">
        <v>28</v>
      </c>
      <c r="B65" t="s">
        <v>50</v>
      </c>
      <c r="C65" t="s">
        <v>119</v>
      </c>
      <c r="D65" t="s">
        <v>120</v>
      </c>
      <c r="E65">
        <v>6</v>
      </c>
      <c r="F65" t="s">
        <v>86</v>
      </c>
      <c r="G65">
        <v>1000</v>
      </c>
      <c r="H65">
        <v>98</v>
      </c>
      <c r="I65">
        <v>105</v>
      </c>
      <c r="J65" s="2">
        <v>0.7</v>
      </c>
      <c r="K65">
        <f t="shared" si="0"/>
        <v>35.574060581535008</v>
      </c>
      <c r="L65">
        <f t="shared" si="10"/>
        <v>75.672867060802588</v>
      </c>
      <c r="M65">
        <f t="shared" si="2"/>
        <v>12.612144510133765</v>
      </c>
      <c r="N65">
        <f t="shared" si="3"/>
        <v>31.215057662581067</v>
      </c>
      <c r="O65">
        <f t="shared" si="4"/>
        <v>5.2025096104301776</v>
      </c>
    </row>
    <row r="66" spans="1:15" x14ac:dyDescent="0.15">
      <c r="A66" t="s">
        <v>28</v>
      </c>
      <c r="B66" t="s">
        <v>50</v>
      </c>
      <c r="C66" t="s">
        <v>119</v>
      </c>
      <c r="D66" t="s">
        <v>120</v>
      </c>
      <c r="E66">
        <v>6</v>
      </c>
      <c r="F66" t="s">
        <v>86</v>
      </c>
      <c r="G66">
        <v>1000</v>
      </c>
      <c r="H66">
        <v>140</v>
      </c>
      <c r="I66">
        <v>138</v>
      </c>
      <c r="J66" s="2">
        <v>0.7</v>
      </c>
      <c r="K66">
        <f t="shared" si="0"/>
        <v>91.992802041071499</v>
      </c>
      <c r="L66">
        <f t="shared" si="10"/>
        <v>75.672867060802588</v>
      </c>
      <c r="M66">
        <f t="shared" si="2"/>
        <v>12.612144510133765</v>
      </c>
      <c r="N66">
        <f t="shared" si="3"/>
        <v>31.215057662581067</v>
      </c>
      <c r="O66">
        <f t="shared" si="4"/>
        <v>5.2025096104301776</v>
      </c>
    </row>
    <row r="67" spans="1:15" x14ac:dyDescent="0.15">
      <c r="A67" t="s">
        <v>28</v>
      </c>
      <c r="B67" t="s">
        <v>50</v>
      </c>
      <c r="C67" t="s">
        <v>119</v>
      </c>
      <c r="D67" t="s">
        <v>120</v>
      </c>
      <c r="E67">
        <v>6</v>
      </c>
      <c r="F67" t="s">
        <v>86</v>
      </c>
      <c r="G67">
        <v>1000</v>
      </c>
      <c r="H67">
        <v>141</v>
      </c>
      <c r="I67">
        <v>142</v>
      </c>
      <c r="J67" s="2">
        <v>0.7</v>
      </c>
      <c r="K67">
        <f t="shared" ref="K67:K130" si="11">EXP(-3.53769+1.70873*LN(I67/10)+1.35448*LN(H67/10))</f>
        <v>97.531458938795112</v>
      </c>
      <c r="L67">
        <f t="shared" si="10"/>
        <v>75.672867060802588</v>
      </c>
      <c r="M67">
        <f t="shared" ref="M67:M130" si="12">L67/E67</f>
        <v>12.612144510133765</v>
      </c>
      <c r="N67">
        <f t="shared" ref="N67:N130" si="13">L67*0.33/0.8</f>
        <v>31.215057662581067</v>
      </c>
      <c r="O67">
        <f t="shared" ref="O67:O130" si="14">N67/E67</f>
        <v>5.2025096104301776</v>
      </c>
    </row>
    <row r="68" spans="1:15" x14ac:dyDescent="0.15">
      <c r="A68" t="s">
        <v>28</v>
      </c>
      <c r="B68" t="s">
        <v>50</v>
      </c>
      <c r="C68" t="s">
        <v>119</v>
      </c>
      <c r="D68" t="s">
        <v>120</v>
      </c>
      <c r="E68">
        <v>6</v>
      </c>
      <c r="F68" t="s">
        <v>86</v>
      </c>
      <c r="G68">
        <v>1000</v>
      </c>
      <c r="H68">
        <v>136</v>
      </c>
      <c r="I68">
        <v>132</v>
      </c>
      <c r="J68" s="2">
        <v>0.7</v>
      </c>
      <c r="K68">
        <f t="shared" si="11"/>
        <v>81.981305216125847</v>
      </c>
      <c r="L68">
        <f t="shared" si="10"/>
        <v>75.672867060802588</v>
      </c>
      <c r="M68">
        <f t="shared" si="12"/>
        <v>12.612144510133765</v>
      </c>
      <c r="N68">
        <f t="shared" si="13"/>
        <v>31.215057662581067</v>
      </c>
      <c r="O68">
        <f t="shared" si="14"/>
        <v>5.2025096104301776</v>
      </c>
    </row>
    <row r="69" spans="1:15" x14ac:dyDescent="0.15">
      <c r="A69" t="s">
        <v>28</v>
      </c>
      <c r="B69" t="s">
        <v>50</v>
      </c>
      <c r="C69" t="s">
        <v>119</v>
      </c>
      <c r="D69" t="s">
        <v>120</v>
      </c>
      <c r="E69">
        <v>6</v>
      </c>
      <c r="F69" t="s">
        <v>86</v>
      </c>
      <c r="G69">
        <v>1000</v>
      </c>
      <c r="H69">
        <v>145</v>
      </c>
      <c r="I69">
        <v>143</v>
      </c>
      <c r="J69" s="2">
        <v>0.7</v>
      </c>
      <c r="K69">
        <f t="shared" si="11"/>
        <v>102.51981959486066</v>
      </c>
      <c r="L69">
        <f t="shared" si="10"/>
        <v>75.672867060802588</v>
      </c>
      <c r="M69">
        <f t="shared" si="12"/>
        <v>12.612144510133765</v>
      </c>
      <c r="N69">
        <f t="shared" si="13"/>
        <v>31.215057662581067</v>
      </c>
      <c r="O69">
        <f t="shared" si="14"/>
        <v>5.2025096104301776</v>
      </c>
    </row>
    <row r="70" spans="1:15" x14ac:dyDescent="0.15">
      <c r="A70" t="s">
        <v>28</v>
      </c>
      <c r="B70" t="s">
        <v>50</v>
      </c>
      <c r="C70" t="s">
        <v>119</v>
      </c>
      <c r="D70" t="s">
        <v>120</v>
      </c>
      <c r="E70">
        <v>6</v>
      </c>
      <c r="F70" t="s">
        <v>86</v>
      </c>
      <c r="G70">
        <v>1000</v>
      </c>
      <c r="H70">
        <v>130</v>
      </c>
      <c r="I70">
        <v>123</v>
      </c>
      <c r="J70" s="2">
        <v>0.7</v>
      </c>
      <c r="K70">
        <f t="shared" si="11"/>
        <v>68.354688296055613</v>
      </c>
      <c r="L70">
        <f t="shared" si="10"/>
        <v>75.672867060802588</v>
      </c>
      <c r="M70">
        <f t="shared" si="12"/>
        <v>12.612144510133765</v>
      </c>
      <c r="N70">
        <f t="shared" si="13"/>
        <v>31.215057662581067</v>
      </c>
      <c r="O70">
        <f t="shared" si="14"/>
        <v>5.2025096104301776</v>
      </c>
    </row>
    <row r="71" spans="1:15" x14ac:dyDescent="0.15">
      <c r="A71" t="s">
        <v>28</v>
      </c>
      <c r="B71" t="s">
        <v>50</v>
      </c>
      <c r="C71" t="s">
        <v>119</v>
      </c>
      <c r="D71" t="s">
        <v>120</v>
      </c>
      <c r="E71">
        <v>6</v>
      </c>
      <c r="F71" t="s">
        <v>86</v>
      </c>
      <c r="G71">
        <v>1000</v>
      </c>
      <c r="H71">
        <v>128</v>
      </c>
      <c r="I71">
        <v>119</v>
      </c>
      <c r="J71" s="2">
        <v>0.7</v>
      </c>
      <c r="K71">
        <f t="shared" si="11"/>
        <v>63.257769344365968</v>
      </c>
      <c r="L71">
        <f t="shared" si="10"/>
        <v>75.672867060802588</v>
      </c>
      <c r="M71">
        <f t="shared" si="12"/>
        <v>12.612144510133765</v>
      </c>
      <c r="N71">
        <f t="shared" si="13"/>
        <v>31.215057662581067</v>
      </c>
      <c r="O71">
        <f t="shared" si="14"/>
        <v>5.2025096104301776</v>
      </c>
    </row>
    <row r="72" spans="1:15" x14ac:dyDescent="0.15">
      <c r="A72" t="s">
        <v>29</v>
      </c>
      <c r="B72" t="s">
        <v>51</v>
      </c>
      <c r="C72" t="s">
        <v>81</v>
      </c>
      <c r="D72" t="s">
        <v>121</v>
      </c>
      <c r="E72">
        <v>9.5</v>
      </c>
      <c r="F72" t="s">
        <v>86</v>
      </c>
      <c r="G72">
        <v>2500</v>
      </c>
      <c r="H72">
        <v>135</v>
      </c>
      <c r="I72">
        <v>154</v>
      </c>
      <c r="J72" s="2">
        <v>0.9</v>
      </c>
      <c r="K72">
        <f t="shared" si="11"/>
        <v>105.6251936988828</v>
      </c>
      <c r="L72">
        <f>AVERAGE(K$72:K$81)*G72/1000</f>
        <v>250.3151903159673</v>
      </c>
      <c r="M72">
        <f t="shared" si="12"/>
        <v>26.348967401680767</v>
      </c>
      <c r="N72">
        <f t="shared" si="13"/>
        <v>103.25501600533651</v>
      </c>
      <c r="O72">
        <f t="shared" si="14"/>
        <v>10.868949053193317</v>
      </c>
    </row>
    <row r="73" spans="1:15" x14ac:dyDescent="0.15">
      <c r="A73" t="s">
        <v>29</v>
      </c>
      <c r="B73" t="s">
        <v>51</v>
      </c>
      <c r="C73" t="s">
        <v>81</v>
      </c>
      <c r="D73" t="s">
        <v>121</v>
      </c>
      <c r="E73">
        <v>9.5</v>
      </c>
      <c r="F73" t="s">
        <v>86</v>
      </c>
      <c r="G73">
        <v>2500</v>
      </c>
      <c r="H73">
        <v>152</v>
      </c>
      <c r="I73">
        <v>165</v>
      </c>
      <c r="J73" s="2">
        <v>0.9</v>
      </c>
      <c r="K73">
        <f t="shared" si="11"/>
        <v>139.55184971979151</v>
      </c>
      <c r="L73">
        <f t="shared" ref="L73:L81" si="15">AVERAGE(K$72:K$81)*G73/1000</f>
        <v>250.3151903159673</v>
      </c>
      <c r="M73">
        <f t="shared" si="12"/>
        <v>26.348967401680767</v>
      </c>
      <c r="N73">
        <f t="shared" si="13"/>
        <v>103.25501600533651</v>
      </c>
      <c r="O73">
        <f t="shared" si="14"/>
        <v>10.868949053193317</v>
      </c>
    </row>
    <row r="74" spans="1:15" x14ac:dyDescent="0.15">
      <c r="A74" t="s">
        <v>29</v>
      </c>
      <c r="B74" t="s">
        <v>51</v>
      </c>
      <c r="C74" t="s">
        <v>81</v>
      </c>
      <c r="D74" t="s">
        <v>121</v>
      </c>
      <c r="E74">
        <v>9.5</v>
      </c>
      <c r="F74" t="s">
        <v>86</v>
      </c>
      <c r="G74">
        <v>2500</v>
      </c>
      <c r="H74">
        <v>138</v>
      </c>
      <c r="I74">
        <v>125</v>
      </c>
      <c r="J74" s="2">
        <v>0.9</v>
      </c>
      <c r="K74">
        <f t="shared" si="11"/>
        <v>76.184605985964254</v>
      </c>
      <c r="L74">
        <f t="shared" si="15"/>
        <v>250.3151903159673</v>
      </c>
      <c r="M74">
        <f t="shared" si="12"/>
        <v>26.348967401680767</v>
      </c>
      <c r="N74">
        <f t="shared" si="13"/>
        <v>103.25501600533651</v>
      </c>
      <c r="O74">
        <f t="shared" si="14"/>
        <v>10.868949053193317</v>
      </c>
    </row>
    <row r="75" spans="1:15" x14ac:dyDescent="0.15">
      <c r="A75" t="s">
        <v>29</v>
      </c>
      <c r="B75" t="s">
        <v>51</v>
      </c>
      <c r="C75" t="s">
        <v>81</v>
      </c>
      <c r="D75" t="s">
        <v>121</v>
      </c>
      <c r="E75">
        <v>9.5</v>
      </c>
      <c r="F75" t="s">
        <v>86</v>
      </c>
      <c r="G75">
        <v>2500</v>
      </c>
      <c r="H75">
        <v>150</v>
      </c>
      <c r="I75">
        <v>173</v>
      </c>
      <c r="J75" s="2">
        <v>0.9</v>
      </c>
      <c r="K75">
        <f t="shared" si="11"/>
        <v>148.62071991317035</v>
      </c>
      <c r="L75">
        <f t="shared" si="15"/>
        <v>250.3151903159673</v>
      </c>
      <c r="M75">
        <f t="shared" si="12"/>
        <v>26.348967401680767</v>
      </c>
      <c r="N75">
        <f t="shared" si="13"/>
        <v>103.25501600533651</v>
      </c>
      <c r="O75">
        <f t="shared" si="14"/>
        <v>10.868949053193317</v>
      </c>
    </row>
    <row r="76" spans="1:15" x14ac:dyDescent="0.15">
      <c r="A76" t="s">
        <v>29</v>
      </c>
      <c r="B76" t="s">
        <v>51</v>
      </c>
      <c r="C76" t="s">
        <v>81</v>
      </c>
      <c r="D76" t="s">
        <v>121</v>
      </c>
      <c r="E76">
        <v>9.5</v>
      </c>
      <c r="F76" t="s">
        <v>86</v>
      </c>
      <c r="G76">
        <v>2500</v>
      </c>
      <c r="H76">
        <v>164</v>
      </c>
      <c r="I76">
        <v>154</v>
      </c>
      <c r="J76" s="2">
        <v>0.9</v>
      </c>
      <c r="K76">
        <f t="shared" si="11"/>
        <v>137.47848288765019</v>
      </c>
      <c r="L76">
        <f t="shared" si="15"/>
        <v>250.3151903159673</v>
      </c>
      <c r="M76">
        <f t="shared" si="12"/>
        <v>26.348967401680767</v>
      </c>
      <c r="N76">
        <f t="shared" si="13"/>
        <v>103.25501600533651</v>
      </c>
      <c r="O76">
        <f t="shared" si="14"/>
        <v>10.868949053193317</v>
      </c>
    </row>
    <row r="77" spans="1:15" x14ac:dyDescent="0.15">
      <c r="A77" t="s">
        <v>29</v>
      </c>
      <c r="B77" t="s">
        <v>51</v>
      </c>
      <c r="C77" t="s">
        <v>81</v>
      </c>
      <c r="D77" t="s">
        <v>121</v>
      </c>
      <c r="E77">
        <v>9.5</v>
      </c>
      <c r="F77" t="s">
        <v>86</v>
      </c>
      <c r="G77">
        <v>2500</v>
      </c>
      <c r="H77">
        <v>132</v>
      </c>
      <c r="I77">
        <v>95</v>
      </c>
      <c r="J77" s="2">
        <v>0.9</v>
      </c>
      <c r="K77">
        <f t="shared" si="11"/>
        <v>44.880882581267436</v>
      </c>
      <c r="L77">
        <f t="shared" si="15"/>
        <v>250.3151903159673</v>
      </c>
      <c r="M77">
        <f t="shared" si="12"/>
        <v>26.348967401680767</v>
      </c>
      <c r="N77">
        <f t="shared" si="13"/>
        <v>103.25501600533651</v>
      </c>
      <c r="O77">
        <f t="shared" si="14"/>
        <v>10.868949053193317</v>
      </c>
    </row>
    <row r="78" spans="1:15" x14ac:dyDescent="0.15">
      <c r="A78" t="s">
        <v>29</v>
      </c>
      <c r="B78" t="s">
        <v>51</v>
      </c>
      <c r="C78" t="s">
        <v>81</v>
      </c>
      <c r="D78" t="s">
        <v>121</v>
      </c>
      <c r="E78">
        <v>9.5</v>
      </c>
      <c r="F78" t="s">
        <v>86</v>
      </c>
      <c r="G78">
        <v>2500</v>
      </c>
      <c r="H78">
        <v>147</v>
      </c>
      <c r="I78">
        <v>128</v>
      </c>
      <c r="J78" s="2">
        <v>0.9</v>
      </c>
      <c r="K78">
        <f t="shared" si="11"/>
        <v>86.42345598704317</v>
      </c>
      <c r="L78">
        <f t="shared" si="15"/>
        <v>250.3151903159673</v>
      </c>
      <c r="M78">
        <f t="shared" si="12"/>
        <v>26.348967401680767</v>
      </c>
      <c r="N78">
        <f t="shared" si="13"/>
        <v>103.25501600533651</v>
      </c>
      <c r="O78">
        <f t="shared" si="14"/>
        <v>10.868949053193317</v>
      </c>
    </row>
    <row r="79" spans="1:15" x14ac:dyDescent="0.15">
      <c r="A79" t="s">
        <v>29</v>
      </c>
      <c r="B79" t="s">
        <v>51</v>
      </c>
      <c r="C79" t="s">
        <v>81</v>
      </c>
      <c r="D79" t="s">
        <v>121</v>
      </c>
      <c r="E79">
        <v>9.5</v>
      </c>
      <c r="F79" t="s">
        <v>86</v>
      </c>
      <c r="G79">
        <v>2500</v>
      </c>
      <c r="H79">
        <v>101</v>
      </c>
      <c r="I79">
        <v>76</v>
      </c>
      <c r="J79" s="2">
        <v>0.9</v>
      </c>
      <c r="K79">
        <f t="shared" si="11"/>
        <v>21.330772224076291</v>
      </c>
      <c r="L79">
        <f t="shared" si="15"/>
        <v>250.3151903159673</v>
      </c>
      <c r="M79">
        <f t="shared" si="12"/>
        <v>26.348967401680767</v>
      </c>
      <c r="N79">
        <f t="shared" si="13"/>
        <v>103.25501600533651</v>
      </c>
      <c r="O79">
        <f t="shared" si="14"/>
        <v>10.868949053193317</v>
      </c>
    </row>
    <row r="80" spans="1:15" x14ac:dyDescent="0.15">
      <c r="A80" t="s">
        <v>29</v>
      </c>
      <c r="B80" t="s">
        <v>51</v>
      </c>
      <c r="C80" t="s">
        <v>81</v>
      </c>
      <c r="D80" t="s">
        <v>121</v>
      </c>
      <c r="E80">
        <v>9.5</v>
      </c>
      <c r="F80" t="s">
        <v>86</v>
      </c>
      <c r="G80">
        <v>2500</v>
      </c>
      <c r="H80">
        <v>148</v>
      </c>
      <c r="I80">
        <v>174</v>
      </c>
      <c r="J80" s="2">
        <v>0.9</v>
      </c>
      <c r="K80">
        <f t="shared" si="11"/>
        <v>147.38746851534751</v>
      </c>
      <c r="L80">
        <f t="shared" si="15"/>
        <v>250.3151903159673</v>
      </c>
      <c r="M80">
        <f t="shared" si="12"/>
        <v>26.348967401680767</v>
      </c>
      <c r="N80">
        <f t="shared" si="13"/>
        <v>103.25501600533651</v>
      </c>
      <c r="O80">
        <f t="shared" si="14"/>
        <v>10.868949053193317</v>
      </c>
    </row>
    <row r="81" spans="1:15" x14ac:dyDescent="0.15">
      <c r="A81" t="s">
        <v>29</v>
      </c>
      <c r="B81" t="s">
        <v>51</v>
      </c>
      <c r="C81" t="s">
        <v>81</v>
      </c>
      <c r="D81" t="s">
        <v>121</v>
      </c>
      <c r="E81">
        <v>9.5</v>
      </c>
      <c r="F81" t="s">
        <v>86</v>
      </c>
      <c r="G81">
        <v>2500</v>
      </c>
      <c r="H81">
        <v>142</v>
      </c>
      <c r="I81">
        <v>138</v>
      </c>
      <c r="J81" s="2">
        <v>0.9</v>
      </c>
      <c r="K81">
        <f t="shared" si="11"/>
        <v>93.777329750675506</v>
      </c>
      <c r="L81">
        <f t="shared" si="15"/>
        <v>250.3151903159673</v>
      </c>
      <c r="M81">
        <f t="shared" si="12"/>
        <v>26.348967401680767</v>
      </c>
      <c r="N81">
        <f t="shared" si="13"/>
        <v>103.25501600533651</v>
      </c>
      <c r="O81">
        <f t="shared" si="14"/>
        <v>10.868949053193317</v>
      </c>
    </row>
    <row r="82" spans="1:15" x14ac:dyDescent="0.15">
      <c r="A82" t="s">
        <v>30</v>
      </c>
      <c r="B82" t="s">
        <v>53</v>
      </c>
      <c r="C82" t="s">
        <v>81</v>
      </c>
      <c r="D82" t="s">
        <v>121</v>
      </c>
      <c r="E82">
        <v>9.5</v>
      </c>
      <c r="F82" t="s">
        <v>86</v>
      </c>
      <c r="G82">
        <v>2500</v>
      </c>
      <c r="H82">
        <v>140</v>
      </c>
      <c r="I82">
        <v>127</v>
      </c>
      <c r="J82" s="2">
        <v>1</v>
      </c>
      <c r="K82">
        <f t="shared" si="11"/>
        <v>79.819828106965929</v>
      </c>
      <c r="L82">
        <f>AVERAGE(K$82:K$91)*G82/1000</f>
        <v>189.17998035142728</v>
      </c>
      <c r="M82">
        <f t="shared" si="12"/>
        <v>19.913682142255503</v>
      </c>
      <c r="N82">
        <f t="shared" si="13"/>
        <v>78.03674189496374</v>
      </c>
      <c r="O82">
        <f t="shared" si="14"/>
        <v>8.214393883680394</v>
      </c>
    </row>
    <row r="83" spans="1:15" x14ac:dyDescent="0.15">
      <c r="A83" t="s">
        <v>30</v>
      </c>
      <c r="B83" t="s">
        <v>53</v>
      </c>
      <c r="C83" t="s">
        <v>81</v>
      </c>
      <c r="D83" t="s">
        <v>121</v>
      </c>
      <c r="E83">
        <v>9.5</v>
      </c>
      <c r="F83" t="s">
        <v>86</v>
      </c>
      <c r="G83">
        <v>2500</v>
      </c>
      <c r="H83">
        <v>133</v>
      </c>
      <c r="I83">
        <v>103</v>
      </c>
      <c r="J83" s="2">
        <v>1</v>
      </c>
      <c r="K83">
        <f t="shared" si="11"/>
        <v>52.059581906502586</v>
      </c>
      <c r="L83">
        <f t="shared" ref="L83:L91" si="16">AVERAGE(K$82:K$91)*G83/1000</f>
        <v>189.17998035142728</v>
      </c>
      <c r="M83">
        <f t="shared" si="12"/>
        <v>19.913682142255503</v>
      </c>
      <c r="N83">
        <f t="shared" si="13"/>
        <v>78.03674189496374</v>
      </c>
      <c r="O83">
        <f t="shared" si="14"/>
        <v>8.214393883680394</v>
      </c>
    </row>
    <row r="84" spans="1:15" x14ac:dyDescent="0.15">
      <c r="A84" t="s">
        <v>30</v>
      </c>
      <c r="B84" t="s">
        <v>53</v>
      </c>
      <c r="C84" t="s">
        <v>81</v>
      </c>
      <c r="D84" t="s">
        <v>121</v>
      </c>
      <c r="E84">
        <v>9.5</v>
      </c>
      <c r="F84" t="s">
        <v>86</v>
      </c>
      <c r="G84">
        <v>2500</v>
      </c>
      <c r="H84">
        <v>139</v>
      </c>
      <c r="I84">
        <v>117</v>
      </c>
      <c r="J84" s="2">
        <v>1</v>
      </c>
      <c r="K84">
        <f t="shared" si="11"/>
        <v>68.712012462957233</v>
      </c>
      <c r="L84">
        <f t="shared" si="16"/>
        <v>189.17998035142728</v>
      </c>
      <c r="M84">
        <f t="shared" si="12"/>
        <v>19.913682142255503</v>
      </c>
      <c r="N84">
        <f t="shared" si="13"/>
        <v>78.03674189496374</v>
      </c>
      <c r="O84">
        <f t="shared" si="14"/>
        <v>8.214393883680394</v>
      </c>
    </row>
    <row r="85" spans="1:15" x14ac:dyDescent="0.15">
      <c r="A85" t="s">
        <v>30</v>
      </c>
      <c r="B85" t="s">
        <v>53</v>
      </c>
      <c r="C85" t="s">
        <v>81</v>
      </c>
      <c r="D85" t="s">
        <v>121</v>
      </c>
      <c r="E85">
        <v>9.5</v>
      </c>
      <c r="F85" t="s">
        <v>86</v>
      </c>
      <c r="G85">
        <v>2500</v>
      </c>
      <c r="H85">
        <v>148</v>
      </c>
      <c r="I85">
        <v>134</v>
      </c>
      <c r="J85" s="2">
        <v>1</v>
      </c>
      <c r="K85">
        <f t="shared" si="11"/>
        <v>94.322352652981508</v>
      </c>
      <c r="L85">
        <f t="shared" si="16"/>
        <v>189.17998035142728</v>
      </c>
      <c r="M85">
        <f t="shared" si="12"/>
        <v>19.913682142255503</v>
      </c>
      <c r="N85">
        <f t="shared" si="13"/>
        <v>78.03674189496374</v>
      </c>
      <c r="O85">
        <f t="shared" si="14"/>
        <v>8.214393883680394</v>
      </c>
    </row>
    <row r="86" spans="1:15" x14ac:dyDescent="0.15">
      <c r="A86" t="s">
        <v>30</v>
      </c>
      <c r="B86" t="s">
        <v>53</v>
      </c>
      <c r="C86" t="s">
        <v>81</v>
      </c>
      <c r="D86" t="s">
        <v>121</v>
      </c>
      <c r="E86">
        <v>9.5</v>
      </c>
      <c r="F86" t="s">
        <v>86</v>
      </c>
      <c r="G86">
        <v>2500</v>
      </c>
      <c r="H86">
        <v>134</v>
      </c>
      <c r="I86">
        <v>97</v>
      </c>
      <c r="J86" s="2">
        <v>1</v>
      </c>
      <c r="K86">
        <f t="shared" si="11"/>
        <v>47.464414403773482</v>
      </c>
      <c r="L86">
        <f t="shared" si="16"/>
        <v>189.17998035142728</v>
      </c>
      <c r="M86">
        <f t="shared" si="12"/>
        <v>19.913682142255503</v>
      </c>
      <c r="N86">
        <f t="shared" si="13"/>
        <v>78.03674189496374</v>
      </c>
      <c r="O86">
        <f t="shared" si="14"/>
        <v>8.214393883680394</v>
      </c>
    </row>
    <row r="87" spans="1:15" x14ac:dyDescent="0.15">
      <c r="A87" t="s">
        <v>30</v>
      </c>
      <c r="B87" t="s">
        <v>53</v>
      </c>
      <c r="C87" t="s">
        <v>81</v>
      </c>
      <c r="D87" t="s">
        <v>121</v>
      </c>
      <c r="E87">
        <v>9.5</v>
      </c>
      <c r="F87" t="s">
        <v>86</v>
      </c>
      <c r="G87">
        <v>2500</v>
      </c>
      <c r="H87">
        <v>142</v>
      </c>
      <c r="I87">
        <v>126</v>
      </c>
      <c r="J87" s="2">
        <v>1</v>
      </c>
      <c r="K87">
        <f t="shared" si="11"/>
        <v>80.276500607371119</v>
      </c>
      <c r="L87">
        <f t="shared" si="16"/>
        <v>189.17998035142728</v>
      </c>
      <c r="M87">
        <f t="shared" si="12"/>
        <v>19.913682142255503</v>
      </c>
      <c r="N87">
        <f t="shared" si="13"/>
        <v>78.03674189496374</v>
      </c>
      <c r="O87">
        <f t="shared" si="14"/>
        <v>8.214393883680394</v>
      </c>
    </row>
    <row r="88" spans="1:15" x14ac:dyDescent="0.15">
      <c r="A88" t="s">
        <v>30</v>
      </c>
      <c r="B88" t="s">
        <v>53</v>
      </c>
      <c r="C88" t="s">
        <v>81</v>
      </c>
      <c r="D88" t="s">
        <v>121</v>
      </c>
      <c r="E88">
        <v>9.5</v>
      </c>
      <c r="F88" t="s">
        <v>86</v>
      </c>
      <c r="G88">
        <v>2500</v>
      </c>
      <c r="H88">
        <v>150</v>
      </c>
      <c r="I88">
        <v>133</v>
      </c>
      <c r="J88" s="2">
        <v>1</v>
      </c>
      <c r="K88">
        <f t="shared" si="11"/>
        <v>94.831333452688824</v>
      </c>
      <c r="L88">
        <f t="shared" si="16"/>
        <v>189.17998035142728</v>
      </c>
      <c r="M88">
        <f t="shared" si="12"/>
        <v>19.913682142255503</v>
      </c>
      <c r="N88">
        <f t="shared" si="13"/>
        <v>78.03674189496374</v>
      </c>
      <c r="O88">
        <f t="shared" si="14"/>
        <v>8.214393883680394</v>
      </c>
    </row>
    <row r="89" spans="1:15" x14ac:dyDescent="0.15">
      <c r="A89" t="s">
        <v>30</v>
      </c>
      <c r="B89" t="s">
        <v>53</v>
      </c>
      <c r="C89" t="s">
        <v>81</v>
      </c>
      <c r="D89" t="s">
        <v>121</v>
      </c>
      <c r="E89">
        <v>9.5</v>
      </c>
      <c r="F89" t="s">
        <v>86</v>
      </c>
      <c r="G89">
        <v>2500</v>
      </c>
      <c r="H89">
        <v>138</v>
      </c>
      <c r="I89">
        <v>118</v>
      </c>
      <c r="J89" s="2">
        <v>1</v>
      </c>
      <c r="K89">
        <f t="shared" si="11"/>
        <v>69.040053875349287</v>
      </c>
      <c r="L89">
        <f t="shared" si="16"/>
        <v>189.17998035142728</v>
      </c>
      <c r="M89">
        <f t="shared" si="12"/>
        <v>19.913682142255503</v>
      </c>
      <c r="N89">
        <f t="shared" si="13"/>
        <v>78.03674189496374</v>
      </c>
      <c r="O89">
        <f t="shared" si="14"/>
        <v>8.214393883680394</v>
      </c>
    </row>
    <row r="90" spans="1:15" x14ac:dyDescent="0.15">
      <c r="A90" t="s">
        <v>30</v>
      </c>
      <c r="B90" t="s">
        <v>53</v>
      </c>
      <c r="C90" t="s">
        <v>81</v>
      </c>
      <c r="D90" t="s">
        <v>121</v>
      </c>
      <c r="E90">
        <v>9.5</v>
      </c>
      <c r="F90" t="s">
        <v>86</v>
      </c>
      <c r="G90">
        <v>2500</v>
      </c>
      <c r="H90">
        <v>154</v>
      </c>
      <c r="I90">
        <v>142</v>
      </c>
      <c r="J90" s="2">
        <v>1</v>
      </c>
      <c r="K90">
        <f t="shared" si="11"/>
        <v>109.90652659785391</v>
      </c>
      <c r="L90">
        <f t="shared" si="16"/>
        <v>189.17998035142728</v>
      </c>
      <c r="M90">
        <f t="shared" si="12"/>
        <v>19.913682142255503</v>
      </c>
      <c r="N90">
        <f t="shared" si="13"/>
        <v>78.03674189496374</v>
      </c>
      <c r="O90">
        <f t="shared" si="14"/>
        <v>8.214393883680394</v>
      </c>
    </row>
    <row r="91" spans="1:15" x14ac:dyDescent="0.15">
      <c r="A91" t="s">
        <v>30</v>
      </c>
      <c r="B91" t="s">
        <v>53</v>
      </c>
      <c r="C91" t="s">
        <v>81</v>
      </c>
      <c r="D91" t="s">
        <v>121</v>
      </c>
      <c r="E91">
        <v>9.5</v>
      </c>
      <c r="F91" t="s">
        <v>86</v>
      </c>
      <c r="G91">
        <v>2500</v>
      </c>
      <c r="H91">
        <v>138</v>
      </c>
      <c r="I91">
        <v>109</v>
      </c>
      <c r="J91" s="2">
        <v>1</v>
      </c>
      <c r="K91">
        <f t="shared" si="11"/>
        <v>60.287317339265201</v>
      </c>
      <c r="L91">
        <f t="shared" si="16"/>
        <v>189.17998035142728</v>
      </c>
      <c r="M91">
        <f t="shared" si="12"/>
        <v>19.913682142255503</v>
      </c>
      <c r="N91">
        <f t="shared" si="13"/>
        <v>78.03674189496374</v>
      </c>
      <c r="O91">
        <f t="shared" si="14"/>
        <v>8.214393883680394</v>
      </c>
    </row>
    <row r="92" spans="1:15" x14ac:dyDescent="0.15">
      <c r="A92" t="s">
        <v>31</v>
      </c>
      <c r="B92" t="s">
        <v>52</v>
      </c>
      <c r="C92" t="s">
        <v>81</v>
      </c>
      <c r="D92" t="s">
        <v>121</v>
      </c>
      <c r="E92">
        <v>9.5</v>
      </c>
      <c r="F92" t="s">
        <v>86</v>
      </c>
      <c r="G92">
        <v>2500</v>
      </c>
      <c r="H92">
        <v>174</v>
      </c>
      <c r="I92">
        <v>160</v>
      </c>
      <c r="J92" s="2">
        <v>1</v>
      </c>
      <c r="K92">
        <f t="shared" si="11"/>
        <v>159.00685146621106</v>
      </c>
      <c r="L92">
        <f>AVERAGE(K$92:K$101)*G92/1000</f>
        <v>309.44603172987883</v>
      </c>
      <c r="M92">
        <f t="shared" si="12"/>
        <v>32.573266497881981</v>
      </c>
      <c r="N92">
        <f t="shared" si="13"/>
        <v>127.64648808857503</v>
      </c>
      <c r="O92">
        <f t="shared" si="14"/>
        <v>13.436472430376318</v>
      </c>
    </row>
    <row r="93" spans="1:15" x14ac:dyDescent="0.15">
      <c r="A93" t="s">
        <v>31</v>
      </c>
      <c r="B93" t="s">
        <v>52</v>
      </c>
      <c r="C93" t="s">
        <v>81</v>
      </c>
      <c r="D93" t="s">
        <v>121</v>
      </c>
      <c r="E93">
        <v>9.5</v>
      </c>
      <c r="F93" t="s">
        <v>86</v>
      </c>
      <c r="G93">
        <v>2500</v>
      </c>
      <c r="H93">
        <v>160</v>
      </c>
      <c r="I93">
        <v>143</v>
      </c>
      <c r="J93" s="2">
        <v>1</v>
      </c>
      <c r="K93">
        <f t="shared" si="11"/>
        <v>117.14251279123354</v>
      </c>
      <c r="L93">
        <f t="shared" ref="L93:L101" si="17">AVERAGE(K$92:K$101)*G93/1000</f>
        <v>309.44603172987883</v>
      </c>
      <c r="M93">
        <f t="shared" si="12"/>
        <v>32.573266497881981</v>
      </c>
      <c r="N93">
        <f t="shared" si="13"/>
        <v>127.64648808857503</v>
      </c>
      <c r="O93">
        <f t="shared" si="14"/>
        <v>13.436472430376318</v>
      </c>
    </row>
    <row r="94" spans="1:15" x14ac:dyDescent="0.15">
      <c r="A94" t="s">
        <v>31</v>
      </c>
      <c r="B94" t="s">
        <v>52</v>
      </c>
      <c r="C94" t="s">
        <v>81</v>
      </c>
      <c r="D94" t="s">
        <v>121</v>
      </c>
      <c r="E94">
        <v>9.5</v>
      </c>
      <c r="F94" t="s">
        <v>86</v>
      </c>
      <c r="G94">
        <v>2500</v>
      </c>
      <c r="H94">
        <v>175</v>
      </c>
      <c r="I94">
        <v>168</v>
      </c>
      <c r="J94" s="2">
        <v>1</v>
      </c>
      <c r="K94">
        <f t="shared" si="11"/>
        <v>174.17814438513</v>
      </c>
      <c r="L94">
        <f t="shared" si="17"/>
        <v>309.44603172987883</v>
      </c>
      <c r="M94">
        <f t="shared" si="12"/>
        <v>32.573266497881981</v>
      </c>
      <c r="N94">
        <f t="shared" si="13"/>
        <v>127.64648808857503</v>
      </c>
      <c r="O94">
        <f t="shared" si="14"/>
        <v>13.436472430376318</v>
      </c>
    </row>
    <row r="95" spans="1:15" x14ac:dyDescent="0.15">
      <c r="A95" t="s">
        <v>31</v>
      </c>
      <c r="B95" t="s">
        <v>52</v>
      </c>
      <c r="C95" t="s">
        <v>81</v>
      </c>
      <c r="D95" t="s">
        <v>121</v>
      </c>
      <c r="E95">
        <v>9.5</v>
      </c>
      <c r="F95" t="s">
        <v>86</v>
      </c>
      <c r="G95">
        <v>2500</v>
      </c>
      <c r="H95">
        <v>157</v>
      </c>
      <c r="I95">
        <v>150</v>
      </c>
      <c r="J95" s="2">
        <v>1</v>
      </c>
      <c r="K95">
        <f t="shared" si="11"/>
        <v>123.89259015458715</v>
      </c>
      <c r="L95">
        <f t="shared" si="17"/>
        <v>309.44603172987883</v>
      </c>
      <c r="M95">
        <f t="shared" si="12"/>
        <v>32.573266497881981</v>
      </c>
      <c r="N95">
        <f t="shared" si="13"/>
        <v>127.64648808857503</v>
      </c>
      <c r="O95">
        <f t="shared" si="14"/>
        <v>13.436472430376318</v>
      </c>
    </row>
    <row r="96" spans="1:15" x14ac:dyDescent="0.15">
      <c r="A96" t="s">
        <v>31</v>
      </c>
      <c r="B96" t="s">
        <v>52</v>
      </c>
      <c r="C96" t="s">
        <v>81</v>
      </c>
      <c r="D96" t="s">
        <v>121</v>
      </c>
      <c r="E96">
        <v>9.5</v>
      </c>
      <c r="F96" t="s">
        <v>86</v>
      </c>
      <c r="G96">
        <v>2500</v>
      </c>
      <c r="H96">
        <v>137</v>
      </c>
      <c r="I96">
        <v>113</v>
      </c>
      <c r="J96" s="2">
        <v>1</v>
      </c>
      <c r="K96">
        <f t="shared" si="11"/>
        <v>63.488162371486176</v>
      </c>
      <c r="L96">
        <f t="shared" si="17"/>
        <v>309.44603172987883</v>
      </c>
      <c r="M96">
        <f t="shared" si="12"/>
        <v>32.573266497881981</v>
      </c>
      <c r="N96">
        <f t="shared" si="13"/>
        <v>127.64648808857503</v>
      </c>
      <c r="O96">
        <f t="shared" si="14"/>
        <v>13.436472430376318</v>
      </c>
    </row>
    <row r="97" spans="1:15" x14ac:dyDescent="0.15">
      <c r="A97" t="s">
        <v>31</v>
      </c>
      <c r="B97" t="s">
        <v>52</v>
      </c>
      <c r="C97" t="s">
        <v>81</v>
      </c>
      <c r="D97" t="s">
        <v>121</v>
      </c>
      <c r="E97">
        <v>9.5</v>
      </c>
      <c r="F97" t="s">
        <v>86</v>
      </c>
      <c r="G97">
        <v>2500</v>
      </c>
      <c r="H97">
        <v>178</v>
      </c>
      <c r="I97">
        <v>171</v>
      </c>
      <c r="J97" s="2">
        <v>1</v>
      </c>
      <c r="K97">
        <f t="shared" si="11"/>
        <v>183.70758277281726</v>
      </c>
      <c r="L97">
        <f t="shared" si="17"/>
        <v>309.44603172987883</v>
      </c>
      <c r="M97">
        <f t="shared" si="12"/>
        <v>32.573266497881981</v>
      </c>
      <c r="N97">
        <f t="shared" si="13"/>
        <v>127.64648808857503</v>
      </c>
      <c r="O97">
        <f t="shared" si="14"/>
        <v>13.436472430376318</v>
      </c>
    </row>
    <row r="98" spans="1:15" x14ac:dyDescent="0.15">
      <c r="A98" t="s">
        <v>31</v>
      </c>
      <c r="B98" t="s">
        <v>52</v>
      </c>
      <c r="C98" t="s">
        <v>81</v>
      </c>
      <c r="D98" t="s">
        <v>121</v>
      </c>
      <c r="E98">
        <v>9.5</v>
      </c>
      <c r="F98" t="s">
        <v>86</v>
      </c>
      <c r="G98">
        <v>2500</v>
      </c>
      <c r="H98">
        <v>158</v>
      </c>
      <c r="I98">
        <v>159</v>
      </c>
      <c r="J98" s="2">
        <v>1</v>
      </c>
      <c r="K98">
        <f t="shared" si="11"/>
        <v>138.04513751013343</v>
      </c>
      <c r="L98">
        <f t="shared" si="17"/>
        <v>309.44603172987883</v>
      </c>
      <c r="M98">
        <f t="shared" si="12"/>
        <v>32.573266497881981</v>
      </c>
      <c r="N98">
        <f t="shared" si="13"/>
        <v>127.64648808857503</v>
      </c>
      <c r="O98">
        <f t="shared" si="14"/>
        <v>13.436472430376318</v>
      </c>
    </row>
    <row r="99" spans="1:15" x14ac:dyDescent="0.15">
      <c r="A99" t="s">
        <v>31</v>
      </c>
      <c r="B99" t="s">
        <v>52</v>
      </c>
      <c r="C99" t="s">
        <v>81</v>
      </c>
      <c r="D99" t="s">
        <v>121</v>
      </c>
      <c r="E99">
        <v>9.5</v>
      </c>
      <c r="F99" t="s">
        <v>86</v>
      </c>
      <c r="G99">
        <v>2500</v>
      </c>
      <c r="H99">
        <v>132</v>
      </c>
      <c r="I99">
        <v>99</v>
      </c>
      <c r="J99" s="2">
        <v>1</v>
      </c>
      <c r="K99">
        <f t="shared" si="11"/>
        <v>48.15789092302083</v>
      </c>
      <c r="L99">
        <f t="shared" si="17"/>
        <v>309.44603172987883</v>
      </c>
      <c r="M99">
        <f t="shared" si="12"/>
        <v>32.573266497881981</v>
      </c>
      <c r="N99">
        <f t="shared" si="13"/>
        <v>127.64648808857503</v>
      </c>
      <c r="O99">
        <f t="shared" si="14"/>
        <v>13.436472430376318</v>
      </c>
    </row>
    <row r="100" spans="1:15" x14ac:dyDescent="0.15">
      <c r="A100" t="s">
        <v>31</v>
      </c>
      <c r="B100" t="s">
        <v>52</v>
      </c>
      <c r="C100" t="s">
        <v>81</v>
      </c>
      <c r="D100" t="s">
        <v>121</v>
      </c>
      <c r="E100">
        <v>9.5</v>
      </c>
      <c r="F100" t="s">
        <v>86</v>
      </c>
      <c r="G100">
        <v>2500</v>
      </c>
      <c r="H100">
        <v>142</v>
      </c>
      <c r="I100">
        <v>117</v>
      </c>
      <c r="J100" s="2">
        <v>1</v>
      </c>
      <c r="K100">
        <f t="shared" si="11"/>
        <v>70.728345420335387</v>
      </c>
      <c r="L100">
        <f t="shared" si="17"/>
        <v>309.44603172987883</v>
      </c>
      <c r="M100">
        <f t="shared" si="12"/>
        <v>32.573266497881981</v>
      </c>
      <c r="N100">
        <f t="shared" si="13"/>
        <v>127.64648808857503</v>
      </c>
      <c r="O100">
        <f t="shared" si="14"/>
        <v>13.436472430376318</v>
      </c>
    </row>
    <row r="101" spans="1:15" x14ac:dyDescent="0.15">
      <c r="A101" t="s">
        <v>31</v>
      </c>
      <c r="B101" t="s">
        <v>52</v>
      </c>
      <c r="C101" t="s">
        <v>81</v>
      </c>
      <c r="D101" t="s">
        <v>121</v>
      </c>
      <c r="E101">
        <v>9.5</v>
      </c>
      <c r="F101" t="s">
        <v>86</v>
      </c>
      <c r="G101">
        <v>2500</v>
      </c>
      <c r="H101">
        <v>169</v>
      </c>
      <c r="I101">
        <v>164</v>
      </c>
      <c r="J101" s="2">
        <v>1</v>
      </c>
      <c r="K101">
        <f t="shared" si="11"/>
        <v>159.43690912456026</v>
      </c>
      <c r="L101">
        <f t="shared" si="17"/>
        <v>309.44603172987883</v>
      </c>
      <c r="M101">
        <f t="shared" si="12"/>
        <v>32.573266497881981</v>
      </c>
      <c r="N101">
        <f t="shared" si="13"/>
        <v>127.64648808857503</v>
      </c>
      <c r="O101">
        <f t="shared" si="14"/>
        <v>13.436472430376318</v>
      </c>
    </row>
    <row r="102" spans="1:15" x14ac:dyDescent="0.15">
      <c r="A102" t="s">
        <v>32</v>
      </c>
      <c r="B102" t="s">
        <v>55</v>
      </c>
      <c r="C102" t="s">
        <v>119</v>
      </c>
      <c r="D102" t="s">
        <v>120</v>
      </c>
      <c r="E102">
        <v>9.5</v>
      </c>
      <c r="F102" t="s">
        <v>86</v>
      </c>
      <c r="G102">
        <v>3750</v>
      </c>
      <c r="H102">
        <v>127.5</v>
      </c>
      <c r="I102">
        <v>101</v>
      </c>
      <c r="J102" s="2">
        <v>1</v>
      </c>
      <c r="K102">
        <f t="shared" si="11"/>
        <v>47.545153121858199</v>
      </c>
      <c r="L102">
        <f>AVERAGE(K$102:K$111)*G102/1000</f>
        <v>134.31230234114039</v>
      </c>
      <c r="M102">
        <f t="shared" si="12"/>
        <v>14.138137088541095</v>
      </c>
      <c r="N102">
        <f t="shared" si="13"/>
        <v>55.403824715720411</v>
      </c>
      <c r="O102">
        <f t="shared" si="14"/>
        <v>5.831981549023201</v>
      </c>
    </row>
    <row r="103" spans="1:15" x14ac:dyDescent="0.15">
      <c r="A103" t="s">
        <v>32</v>
      </c>
      <c r="B103" t="s">
        <v>55</v>
      </c>
      <c r="C103" t="s">
        <v>119</v>
      </c>
      <c r="D103" t="s">
        <v>120</v>
      </c>
      <c r="E103">
        <v>9.5</v>
      </c>
      <c r="F103" t="s">
        <v>86</v>
      </c>
      <c r="G103">
        <v>3750</v>
      </c>
      <c r="H103">
        <v>122</v>
      </c>
      <c r="I103">
        <v>98</v>
      </c>
      <c r="J103" s="2">
        <v>1</v>
      </c>
      <c r="K103">
        <f t="shared" si="11"/>
        <v>42.539379431716256</v>
      </c>
      <c r="L103">
        <f t="shared" ref="L103:L111" si="18">AVERAGE(K$102:K$111)*G103/1000</f>
        <v>134.31230234114039</v>
      </c>
      <c r="M103">
        <f t="shared" si="12"/>
        <v>14.138137088541095</v>
      </c>
      <c r="N103">
        <f t="shared" si="13"/>
        <v>55.403824715720411</v>
      </c>
      <c r="O103">
        <f t="shared" si="14"/>
        <v>5.831981549023201</v>
      </c>
    </row>
    <row r="104" spans="1:15" x14ac:dyDescent="0.15">
      <c r="A104" t="s">
        <v>32</v>
      </c>
      <c r="B104" t="s">
        <v>55</v>
      </c>
      <c r="C104" t="s">
        <v>119</v>
      </c>
      <c r="D104" t="s">
        <v>120</v>
      </c>
      <c r="E104">
        <v>9.5</v>
      </c>
      <c r="F104" t="s">
        <v>86</v>
      </c>
      <c r="G104">
        <v>3750</v>
      </c>
      <c r="H104">
        <v>129</v>
      </c>
      <c r="I104">
        <v>105</v>
      </c>
      <c r="J104" s="2">
        <v>1</v>
      </c>
      <c r="K104">
        <f t="shared" si="11"/>
        <v>51.618941676119945</v>
      </c>
      <c r="L104">
        <f t="shared" si="18"/>
        <v>134.31230234114039</v>
      </c>
      <c r="M104">
        <f t="shared" si="12"/>
        <v>14.138137088541095</v>
      </c>
      <c r="N104">
        <f t="shared" si="13"/>
        <v>55.403824715720411</v>
      </c>
      <c r="O104">
        <f t="shared" si="14"/>
        <v>5.831981549023201</v>
      </c>
    </row>
    <row r="105" spans="1:15" x14ac:dyDescent="0.15">
      <c r="A105" t="s">
        <v>32</v>
      </c>
      <c r="B105" t="s">
        <v>55</v>
      </c>
      <c r="C105" t="s">
        <v>119</v>
      </c>
      <c r="D105" t="s">
        <v>120</v>
      </c>
      <c r="E105">
        <v>9.5</v>
      </c>
      <c r="F105" t="s">
        <v>86</v>
      </c>
      <c r="G105">
        <v>3750</v>
      </c>
      <c r="H105">
        <v>100</v>
      </c>
      <c r="I105">
        <v>65</v>
      </c>
      <c r="J105" s="2">
        <v>1</v>
      </c>
      <c r="K105">
        <f t="shared" si="11"/>
        <v>16.111285521459038</v>
      </c>
      <c r="L105">
        <f t="shared" si="18"/>
        <v>134.31230234114039</v>
      </c>
      <c r="M105">
        <f t="shared" si="12"/>
        <v>14.138137088541095</v>
      </c>
      <c r="N105">
        <f t="shared" si="13"/>
        <v>55.403824715720411</v>
      </c>
      <c r="O105">
        <f t="shared" si="14"/>
        <v>5.831981549023201</v>
      </c>
    </row>
    <row r="106" spans="1:15" x14ac:dyDescent="0.15">
      <c r="A106" t="s">
        <v>32</v>
      </c>
      <c r="B106" t="s">
        <v>55</v>
      </c>
      <c r="C106" t="s">
        <v>119</v>
      </c>
      <c r="D106" t="s">
        <v>120</v>
      </c>
      <c r="E106">
        <v>9.5</v>
      </c>
      <c r="F106" t="s">
        <v>86</v>
      </c>
      <c r="G106">
        <v>3750</v>
      </c>
      <c r="H106">
        <v>102</v>
      </c>
      <c r="I106">
        <v>69</v>
      </c>
      <c r="J106" s="2">
        <v>1</v>
      </c>
      <c r="K106">
        <f t="shared" si="11"/>
        <v>18.327200107955683</v>
      </c>
      <c r="L106">
        <f t="shared" si="18"/>
        <v>134.31230234114039</v>
      </c>
      <c r="M106">
        <f t="shared" si="12"/>
        <v>14.138137088541095</v>
      </c>
      <c r="N106">
        <f t="shared" si="13"/>
        <v>55.403824715720411</v>
      </c>
      <c r="O106">
        <f t="shared" si="14"/>
        <v>5.831981549023201</v>
      </c>
    </row>
    <row r="107" spans="1:15" x14ac:dyDescent="0.15">
      <c r="A107" t="s">
        <v>32</v>
      </c>
      <c r="B107" t="s">
        <v>55</v>
      </c>
      <c r="C107" t="s">
        <v>119</v>
      </c>
      <c r="D107" t="s">
        <v>120</v>
      </c>
      <c r="E107">
        <v>9.5</v>
      </c>
      <c r="F107" t="s">
        <v>86</v>
      </c>
      <c r="G107">
        <v>3750</v>
      </c>
      <c r="H107">
        <v>80</v>
      </c>
      <c r="I107">
        <v>44</v>
      </c>
      <c r="J107" s="2">
        <v>1</v>
      </c>
      <c r="K107">
        <f t="shared" si="11"/>
        <v>6.1137119341778119</v>
      </c>
      <c r="L107">
        <f t="shared" si="18"/>
        <v>134.31230234114039</v>
      </c>
      <c r="M107">
        <f t="shared" si="12"/>
        <v>14.138137088541095</v>
      </c>
      <c r="N107">
        <f t="shared" si="13"/>
        <v>55.403824715720411</v>
      </c>
      <c r="O107">
        <f t="shared" si="14"/>
        <v>5.831981549023201</v>
      </c>
    </row>
    <row r="108" spans="1:15" x14ac:dyDescent="0.15">
      <c r="A108" t="s">
        <v>32</v>
      </c>
      <c r="B108" t="s">
        <v>55</v>
      </c>
      <c r="C108" t="s">
        <v>119</v>
      </c>
      <c r="D108" t="s">
        <v>120</v>
      </c>
      <c r="E108">
        <v>9.5</v>
      </c>
      <c r="F108" t="s">
        <v>86</v>
      </c>
      <c r="G108">
        <v>3750</v>
      </c>
      <c r="H108">
        <v>105</v>
      </c>
      <c r="I108">
        <v>105</v>
      </c>
      <c r="J108" s="2">
        <v>1</v>
      </c>
      <c r="K108">
        <f t="shared" si="11"/>
        <v>39.058721823317384</v>
      </c>
      <c r="L108">
        <f t="shared" si="18"/>
        <v>134.31230234114039</v>
      </c>
      <c r="M108">
        <f t="shared" si="12"/>
        <v>14.138137088541095</v>
      </c>
      <c r="N108">
        <f t="shared" si="13"/>
        <v>55.403824715720411</v>
      </c>
      <c r="O108">
        <f t="shared" si="14"/>
        <v>5.831981549023201</v>
      </c>
    </row>
    <row r="109" spans="1:15" x14ac:dyDescent="0.15">
      <c r="A109" t="s">
        <v>32</v>
      </c>
      <c r="B109" t="s">
        <v>55</v>
      </c>
      <c r="C109" t="s">
        <v>119</v>
      </c>
      <c r="D109" t="s">
        <v>120</v>
      </c>
      <c r="E109">
        <v>9.5</v>
      </c>
      <c r="F109" t="s">
        <v>86</v>
      </c>
      <c r="G109">
        <v>3750</v>
      </c>
      <c r="H109">
        <v>132.5</v>
      </c>
      <c r="I109">
        <v>114</v>
      </c>
      <c r="J109" s="2">
        <v>1</v>
      </c>
      <c r="K109">
        <f t="shared" si="11"/>
        <v>61.600571838678647</v>
      </c>
      <c r="L109">
        <f t="shared" si="18"/>
        <v>134.31230234114039</v>
      </c>
      <c r="M109">
        <f t="shared" si="12"/>
        <v>14.138137088541095</v>
      </c>
      <c r="N109">
        <f t="shared" si="13"/>
        <v>55.403824715720411</v>
      </c>
      <c r="O109">
        <f t="shared" si="14"/>
        <v>5.831981549023201</v>
      </c>
    </row>
    <row r="110" spans="1:15" x14ac:dyDescent="0.15">
      <c r="A110" t="s">
        <v>32</v>
      </c>
      <c r="B110" t="s">
        <v>55</v>
      </c>
      <c r="C110" t="s">
        <v>119</v>
      </c>
      <c r="D110" t="s">
        <v>120</v>
      </c>
      <c r="E110">
        <v>9.5</v>
      </c>
      <c r="F110" t="s">
        <v>86</v>
      </c>
      <c r="G110">
        <v>3750</v>
      </c>
      <c r="H110">
        <v>130</v>
      </c>
      <c r="I110">
        <v>113</v>
      </c>
      <c r="J110" s="2">
        <v>1</v>
      </c>
      <c r="K110">
        <f t="shared" si="11"/>
        <v>59.134574318710349</v>
      </c>
      <c r="L110">
        <f t="shared" si="18"/>
        <v>134.31230234114039</v>
      </c>
      <c r="M110">
        <f t="shared" si="12"/>
        <v>14.138137088541095</v>
      </c>
      <c r="N110">
        <f t="shared" si="13"/>
        <v>55.403824715720411</v>
      </c>
      <c r="O110">
        <f t="shared" si="14"/>
        <v>5.831981549023201</v>
      </c>
    </row>
    <row r="111" spans="1:15" x14ac:dyDescent="0.15">
      <c r="A111" t="s">
        <v>32</v>
      </c>
      <c r="B111" t="s">
        <v>55</v>
      </c>
      <c r="C111" t="s">
        <v>119</v>
      </c>
      <c r="D111" t="s">
        <v>120</v>
      </c>
      <c r="E111">
        <v>9.5</v>
      </c>
      <c r="F111" t="s">
        <v>86</v>
      </c>
      <c r="G111">
        <v>3750</v>
      </c>
      <c r="H111">
        <v>102</v>
      </c>
      <c r="I111">
        <v>64</v>
      </c>
      <c r="J111" s="2">
        <v>1</v>
      </c>
      <c r="K111">
        <f t="shared" si="11"/>
        <v>16.116599802381085</v>
      </c>
      <c r="L111">
        <f t="shared" si="18"/>
        <v>134.31230234114039</v>
      </c>
      <c r="M111">
        <f t="shared" si="12"/>
        <v>14.138137088541095</v>
      </c>
      <c r="N111">
        <f t="shared" si="13"/>
        <v>55.403824715720411</v>
      </c>
      <c r="O111">
        <f t="shared" si="14"/>
        <v>5.831981549023201</v>
      </c>
    </row>
    <row r="112" spans="1:15" x14ac:dyDescent="0.15">
      <c r="A112" t="s">
        <v>33</v>
      </c>
      <c r="B112" t="s">
        <v>54</v>
      </c>
      <c r="C112" t="s">
        <v>119</v>
      </c>
      <c r="D112" t="s">
        <v>120</v>
      </c>
      <c r="E112">
        <v>9.5</v>
      </c>
      <c r="F112" t="s">
        <v>86</v>
      </c>
      <c r="G112">
        <v>3750</v>
      </c>
      <c r="H112">
        <v>117</v>
      </c>
      <c r="I112">
        <v>132</v>
      </c>
      <c r="J112" s="2">
        <v>1</v>
      </c>
      <c r="K112">
        <f t="shared" si="11"/>
        <v>66.864474199165173</v>
      </c>
      <c r="L112">
        <f>AVERAGE(K$112:K$121)*G112/1000</f>
        <v>142.79765055871263</v>
      </c>
      <c r="M112">
        <f t="shared" si="12"/>
        <v>15.031331637759225</v>
      </c>
      <c r="N112">
        <f t="shared" si="13"/>
        <v>58.904030855468967</v>
      </c>
      <c r="O112">
        <f t="shared" si="14"/>
        <v>6.2004243005756807</v>
      </c>
    </row>
    <row r="113" spans="1:15" x14ac:dyDescent="0.15">
      <c r="A113" t="s">
        <v>33</v>
      </c>
      <c r="B113" t="s">
        <v>54</v>
      </c>
      <c r="C113" t="s">
        <v>119</v>
      </c>
      <c r="D113" t="s">
        <v>120</v>
      </c>
      <c r="E113">
        <v>9.5</v>
      </c>
      <c r="F113" t="s">
        <v>86</v>
      </c>
      <c r="G113">
        <v>3750</v>
      </c>
      <c r="H113">
        <v>112</v>
      </c>
      <c r="I113">
        <v>115</v>
      </c>
      <c r="J113" s="2">
        <v>1</v>
      </c>
      <c r="K113">
        <f t="shared" si="11"/>
        <v>49.795695481464712</v>
      </c>
      <c r="L113">
        <f t="shared" ref="L113:L121" si="19">AVERAGE(K$112:K$121)*G113/1000</f>
        <v>142.79765055871263</v>
      </c>
      <c r="M113">
        <f t="shared" si="12"/>
        <v>15.031331637759225</v>
      </c>
      <c r="N113">
        <f t="shared" si="13"/>
        <v>58.904030855468967</v>
      </c>
      <c r="O113">
        <f t="shared" si="14"/>
        <v>6.2004243005756807</v>
      </c>
    </row>
    <row r="114" spans="1:15" x14ac:dyDescent="0.15">
      <c r="A114" t="s">
        <v>33</v>
      </c>
      <c r="B114" t="s">
        <v>54</v>
      </c>
      <c r="C114" t="s">
        <v>119</v>
      </c>
      <c r="D114" t="s">
        <v>120</v>
      </c>
      <c r="E114">
        <v>9.5</v>
      </c>
      <c r="F114" t="s">
        <v>86</v>
      </c>
      <c r="G114">
        <v>3750</v>
      </c>
      <c r="H114">
        <v>77</v>
      </c>
      <c r="I114">
        <v>57</v>
      </c>
      <c r="J114" s="2">
        <v>1</v>
      </c>
      <c r="K114">
        <f t="shared" si="11"/>
        <v>9.0348459900234399</v>
      </c>
      <c r="L114">
        <f t="shared" si="19"/>
        <v>142.79765055871263</v>
      </c>
      <c r="M114">
        <f t="shared" si="12"/>
        <v>15.031331637759225</v>
      </c>
      <c r="N114">
        <f t="shared" si="13"/>
        <v>58.904030855468967</v>
      </c>
      <c r="O114">
        <f t="shared" si="14"/>
        <v>6.2004243005756807</v>
      </c>
    </row>
    <row r="115" spans="1:15" x14ac:dyDescent="0.15">
      <c r="A115" t="s">
        <v>33</v>
      </c>
      <c r="B115" t="s">
        <v>54</v>
      </c>
      <c r="C115" t="s">
        <v>119</v>
      </c>
      <c r="D115" t="s">
        <v>120</v>
      </c>
      <c r="E115">
        <v>9.5</v>
      </c>
      <c r="F115" t="s">
        <v>86</v>
      </c>
      <c r="G115">
        <v>3750</v>
      </c>
      <c r="H115">
        <v>108</v>
      </c>
      <c r="I115">
        <v>74</v>
      </c>
      <c r="J115" s="2">
        <v>1</v>
      </c>
      <c r="K115">
        <f t="shared" si="11"/>
        <v>22.316951988114145</v>
      </c>
      <c r="L115">
        <f t="shared" si="19"/>
        <v>142.79765055871263</v>
      </c>
      <c r="M115">
        <f t="shared" si="12"/>
        <v>15.031331637759225</v>
      </c>
      <c r="N115">
        <f t="shared" si="13"/>
        <v>58.904030855468967</v>
      </c>
      <c r="O115">
        <f t="shared" si="14"/>
        <v>6.2004243005756807</v>
      </c>
    </row>
    <row r="116" spans="1:15" x14ac:dyDescent="0.15">
      <c r="A116" t="s">
        <v>33</v>
      </c>
      <c r="B116" t="s">
        <v>54</v>
      </c>
      <c r="C116" t="s">
        <v>119</v>
      </c>
      <c r="D116" t="s">
        <v>120</v>
      </c>
      <c r="E116">
        <v>9.5</v>
      </c>
      <c r="F116" t="s">
        <v>86</v>
      </c>
      <c r="G116">
        <v>3750</v>
      </c>
      <c r="H116">
        <v>120</v>
      </c>
      <c r="I116">
        <v>114</v>
      </c>
      <c r="J116" s="2">
        <v>1</v>
      </c>
      <c r="K116">
        <f t="shared" si="11"/>
        <v>53.863577521273257</v>
      </c>
      <c r="L116">
        <f t="shared" si="19"/>
        <v>142.79765055871263</v>
      </c>
      <c r="M116">
        <f t="shared" si="12"/>
        <v>15.031331637759225</v>
      </c>
      <c r="N116">
        <f t="shared" si="13"/>
        <v>58.904030855468967</v>
      </c>
      <c r="O116">
        <f t="shared" si="14"/>
        <v>6.2004243005756807</v>
      </c>
    </row>
    <row r="117" spans="1:15" x14ac:dyDescent="0.15">
      <c r="A117" t="s">
        <v>33</v>
      </c>
      <c r="B117" t="s">
        <v>54</v>
      </c>
      <c r="C117" t="s">
        <v>119</v>
      </c>
      <c r="D117" t="s">
        <v>120</v>
      </c>
      <c r="E117">
        <v>9.5</v>
      </c>
      <c r="F117" t="s">
        <v>86</v>
      </c>
      <c r="G117">
        <v>3750</v>
      </c>
      <c r="H117">
        <v>118</v>
      </c>
      <c r="I117">
        <v>118</v>
      </c>
      <c r="J117" s="2">
        <v>1</v>
      </c>
      <c r="K117">
        <f t="shared" si="11"/>
        <v>55.847075786415807</v>
      </c>
      <c r="L117">
        <f t="shared" si="19"/>
        <v>142.79765055871263</v>
      </c>
      <c r="M117">
        <f t="shared" si="12"/>
        <v>15.031331637759225</v>
      </c>
      <c r="N117">
        <f t="shared" si="13"/>
        <v>58.904030855468967</v>
      </c>
      <c r="O117">
        <f t="shared" si="14"/>
        <v>6.2004243005756807</v>
      </c>
    </row>
    <row r="118" spans="1:15" x14ac:dyDescent="0.15">
      <c r="A118" t="s">
        <v>33</v>
      </c>
      <c r="B118" t="s">
        <v>54</v>
      </c>
      <c r="C118" t="s">
        <v>119</v>
      </c>
      <c r="D118" t="s">
        <v>120</v>
      </c>
      <c r="E118">
        <v>9.5</v>
      </c>
      <c r="F118" t="s">
        <v>86</v>
      </c>
      <c r="G118">
        <v>3750</v>
      </c>
      <c r="H118">
        <v>70</v>
      </c>
      <c r="I118">
        <v>70</v>
      </c>
      <c r="J118" s="2">
        <v>1</v>
      </c>
      <c r="K118">
        <f t="shared" si="11"/>
        <v>11.280114849233604</v>
      </c>
      <c r="L118">
        <f t="shared" si="19"/>
        <v>142.79765055871263</v>
      </c>
      <c r="M118">
        <f t="shared" si="12"/>
        <v>15.031331637759225</v>
      </c>
      <c r="N118">
        <f t="shared" si="13"/>
        <v>58.904030855468967</v>
      </c>
      <c r="O118">
        <f t="shared" si="14"/>
        <v>6.2004243005756807</v>
      </c>
    </row>
    <row r="119" spans="1:15" x14ac:dyDescent="0.15">
      <c r="A119" t="s">
        <v>33</v>
      </c>
      <c r="B119" t="s">
        <v>54</v>
      </c>
      <c r="C119" t="s">
        <v>119</v>
      </c>
      <c r="D119" t="s">
        <v>120</v>
      </c>
      <c r="E119">
        <v>9.5</v>
      </c>
      <c r="F119" t="s">
        <v>86</v>
      </c>
      <c r="G119">
        <v>3750</v>
      </c>
      <c r="H119">
        <v>105</v>
      </c>
      <c r="I119">
        <v>105</v>
      </c>
      <c r="J119" s="2">
        <v>1</v>
      </c>
      <c r="K119">
        <f t="shared" si="11"/>
        <v>39.058721823317384</v>
      </c>
      <c r="L119">
        <f t="shared" si="19"/>
        <v>142.79765055871263</v>
      </c>
      <c r="M119">
        <f t="shared" si="12"/>
        <v>15.031331637759225</v>
      </c>
      <c r="N119">
        <f t="shared" si="13"/>
        <v>58.904030855468967</v>
      </c>
      <c r="O119">
        <f t="shared" si="14"/>
        <v>6.2004243005756807</v>
      </c>
    </row>
    <row r="120" spans="1:15" x14ac:dyDescent="0.15">
      <c r="A120" t="s">
        <v>33</v>
      </c>
      <c r="B120" t="s">
        <v>54</v>
      </c>
      <c r="C120" t="s">
        <v>119</v>
      </c>
      <c r="D120" t="s">
        <v>120</v>
      </c>
      <c r="E120">
        <v>9.5</v>
      </c>
      <c r="F120" t="s">
        <v>86</v>
      </c>
      <c r="G120">
        <v>3750</v>
      </c>
      <c r="H120">
        <v>120</v>
      </c>
      <c r="I120">
        <v>120</v>
      </c>
      <c r="J120" s="2">
        <v>1</v>
      </c>
      <c r="K120">
        <f t="shared" si="11"/>
        <v>58.797591824315333</v>
      </c>
      <c r="L120">
        <f t="shared" si="19"/>
        <v>142.79765055871263</v>
      </c>
      <c r="M120">
        <f t="shared" si="12"/>
        <v>15.031331637759225</v>
      </c>
      <c r="N120">
        <f t="shared" si="13"/>
        <v>58.904030855468967</v>
      </c>
      <c r="O120">
        <f t="shared" si="14"/>
        <v>6.2004243005756807</v>
      </c>
    </row>
    <row r="121" spans="1:15" x14ac:dyDescent="0.15">
      <c r="A121" t="s">
        <v>33</v>
      </c>
      <c r="B121" t="s">
        <v>54</v>
      </c>
      <c r="C121" t="s">
        <v>119</v>
      </c>
      <c r="D121" t="s">
        <v>120</v>
      </c>
      <c r="E121">
        <v>9.5</v>
      </c>
      <c r="F121" t="s">
        <v>86</v>
      </c>
      <c r="G121">
        <v>3750</v>
      </c>
      <c r="H121">
        <v>75</v>
      </c>
      <c r="I121">
        <v>75</v>
      </c>
      <c r="J121" s="2">
        <v>1</v>
      </c>
      <c r="K121">
        <f t="shared" si="11"/>
        <v>13.934685359910839</v>
      </c>
      <c r="L121">
        <f t="shared" si="19"/>
        <v>142.79765055871263</v>
      </c>
      <c r="M121">
        <f t="shared" si="12"/>
        <v>15.031331637759225</v>
      </c>
      <c r="N121">
        <f t="shared" si="13"/>
        <v>58.904030855468967</v>
      </c>
      <c r="O121">
        <f t="shared" si="14"/>
        <v>6.2004243005756807</v>
      </c>
    </row>
    <row r="122" spans="1:15" x14ac:dyDescent="0.15">
      <c r="A122" t="s">
        <v>36</v>
      </c>
      <c r="B122" t="s">
        <v>58</v>
      </c>
      <c r="C122" t="s">
        <v>81</v>
      </c>
      <c r="D122" t="s">
        <v>148</v>
      </c>
      <c r="E122">
        <v>15</v>
      </c>
      <c r="F122" t="s">
        <v>86</v>
      </c>
      <c r="G122">
        <v>2500</v>
      </c>
      <c r="H122">
        <v>145</v>
      </c>
      <c r="I122">
        <v>164</v>
      </c>
      <c r="J122" s="2">
        <v>1</v>
      </c>
      <c r="K122">
        <f t="shared" si="11"/>
        <v>129.56586967209543</v>
      </c>
      <c r="L122">
        <f>AVERAGE(K$122:K$131)*G122/1000</f>
        <v>257.38467874196721</v>
      </c>
      <c r="M122">
        <f t="shared" si="12"/>
        <v>17.158978582797815</v>
      </c>
      <c r="N122">
        <f t="shared" si="13"/>
        <v>106.17117998106147</v>
      </c>
      <c r="O122">
        <f t="shared" si="14"/>
        <v>7.0780786654040977</v>
      </c>
    </row>
    <row r="123" spans="1:15" x14ac:dyDescent="0.15">
      <c r="A123" t="s">
        <v>36</v>
      </c>
      <c r="B123" t="s">
        <v>58</v>
      </c>
      <c r="C123" t="s">
        <v>81</v>
      </c>
      <c r="D123" t="s">
        <v>148</v>
      </c>
      <c r="E123">
        <v>15</v>
      </c>
      <c r="F123" t="s">
        <v>86</v>
      </c>
      <c r="G123">
        <v>2500</v>
      </c>
      <c r="H123">
        <v>137.5</v>
      </c>
      <c r="I123">
        <v>122</v>
      </c>
      <c r="J123" s="2">
        <v>1</v>
      </c>
      <c r="K123">
        <f t="shared" si="11"/>
        <v>72.72849931432836</v>
      </c>
      <c r="L123">
        <f t="shared" ref="L123:L131" si="20">AVERAGE(K$122:K$131)*G123/1000</f>
        <v>257.38467874196721</v>
      </c>
      <c r="M123">
        <f t="shared" si="12"/>
        <v>17.158978582797815</v>
      </c>
      <c r="N123">
        <f t="shared" si="13"/>
        <v>106.17117998106147</v>
      </c>
      <c r="O123">
        <f t="shared" si="14"/>
        <v>7.0780786654040977</v>
      </c>
    </row>
    <row r="124" spans="1:15" x14ac:dyDescent="0.15">
      <c r="A124" t="s">
        <v>36</v>
      </c>
      <c r="B124" t="s">
        <v>58</v>
      </c>
      <c r="C124" t="s">
        <v>81</v>
      </c>
      <c r="D124" t="s">
        <v>148</v>
      </c>
      <c r="E124">
        <v>15</v>
      </c>
      <c r="F124" t="s">
        <v>86</v>
      </c>
      <c r="G124">
        <v>2500</v>
      </c>
      <c r="H124">
        <v>145</v>
      </c>
      <c r="I124">
        <v>146</v>
      </c>
      <c r="J124" s="2">
        <v>1</v>
      </c>
      <c r="K124">
        <f t="shared" si="11"/>
        <v>106.22216313294447</v>
      </c>
      <c r="L124">
        <f t="shared" si="20"/>
        <v>257.38467874196721</v>
      </c>
      <c r="M124">
        <f t="shared" si="12"/>
        <v>17.158978582797815</v>
      </c>
      <c r="N124">
        <f t="shared" si="13"/>
        <v>106.17117998106147</v>
      </c>
      <c r="O124">
        <f t="shared" si="14"/>
        <v>7.0780786654040977</v>
      </c>
    </row>
    <row r="125" spans="1:15" x14ac:dyDescent="0.15">
      <c r="A125" t="s">
        <v>36</v>
      </c>
      <c r="B125" t="s">
        <v>58</v>
      </c>
      <c r="C125" t="s">
        <v>81</v>
      </c>
      <c r="D125" t="s">
        <v>148</v>
      </c>
      <c r="E125">
        <v>15</v>
      </c>
      <c r="F125" t="s">
        <v>86</v>
      </c>
      <c r="G125">
        <v>2500</v>
      </c>
      <c r="H125">
        <v>147.5</v>
      </c>
      <c r="I125">
        <v>196</v>
      </c>
      <c r="J125" s="2">
        <v>1</v>
      </c>
      <c r="K125">
        <f t="shared" si="11"/>
        <v>179.81374523738262</v>
      </c>
      <c r="L125">
        <f t="shared" si="20"/>
        <v>257.38467874196721</v>
      </c>
      <c r="M125">
        <f t="shared" si="12"/>
        <v>17.158978582797815</v>
      </c>
      <c r="N125">
        <f t="shared" si="13"/>
        <v>106.17117998106147</v>
      </c>
      <c r="O125">
        <f t="shared" si="14"/>
        <v>7.0780786654040977</v>
      </c>
    </row>
    <row r="126" spans="1:15" x14ac:dyDescent="0.15">
      <c r="A126" t="s">
        <v>36</v>
      </c>
      <c r="B126" t="s">
        <v>58</v>
      </c>
      <c r="C126" t="s">
        <v>81</v>
      </c>
      <c r="D126" t="s">
        <v>148</v>
      </c>
      <c r="E126">
        <v>15</v>
      </c>
      <c r="F126" t="s">
        <v>86</v>
      </c>
      <c r="G126">
        <v>2500</v>
      </c>
      <c r="H126">
        <v>97.5</v>
      </c>
      <c r="I126">
        <v>77</v>
      </c>
      <c r="J126" s="2">
        <v>1</v>
      </c>
      <c r="K126">
        <f t="shared" si="11"/>
        <v>20.79510047206438</v>
      </c>
      <c r="L126">
        <f t="shared" si="20"/>
        <v>257.38467874196721</v>
      </c>
      <c r="M126">
        <f t="shared" si="12"/>
        <v>17.158978582797815</v>
      </c>
      <c r="N126">
        <f t="shared" si="13"/>
        <v>106.17117998106147</v>
      </c>
      <c r="O126">
        <f t="shared" si="14"/>
        <v>7.0780786654040977</v>
      </c>
    </row>
    <row r="127" spans="1:15" x14ac:dyDescent="0.15">
      <c r="A127" t="s">
        <v>36</v>
      </c>
      <c r="B127" t="s">
        <v>58</v>
      </c>
      <c r="C127" t="s">
        <v>81</v>
      </c>
      <c r="D127" t="s">
        <v>148</v>
      </c>
      <c r="E127">
        <v>15</v>
      </c>
      <c r="F127" t="s">
        <v>86</v>
      </c>
      <c r="G127">
        <v>2500</v>
      </c>
      <c r="H127">
        <v>137.5</v>
      </c>
      <c r="I127">
        <v>142</v>
      </c>
      <c r="J127" s="2">
        <v>1</v>
      </c>
      <c r="K127">
        <f t="shared" si="11"/>
        <v>94.266776328367968</v>
      </c>
      <c r="L127">
        <f t="shared" si="20"/>
        <v>257.38467874196721</v>
      </c>
      <c r="M127">
        <f t="shared" si="12"/>
        <v>17.158978582797815</v>
      </c>
      <c r="N127">
        <f t="shared" si="13"/>
        <v>106.17117998106147</v>
      </c>
      <c r="O127">
        <f t="shared" si="14"/>
        <v>7.0780786654040977</v>
      </c>
    </row>
    <row r="128" spans="1:15" x14ac:dyDescent="0.15">
      <c r="A128" t="s">
        <v>36</v>
      </c>
      <c r="B128" t="s">
        <v>58</v>
      </c>
      <c r="C128" t="s">
        <v>81</v>
      </c>
      <c r="D128" t="s">
        <v>148</v>
      </c>
      <c r="E128">
        <v>15</v>
      </c>
      <c r="F128" t="s">
        <v>86</v>
      </c>
      <c r="G128">
        <v>2500</v>
      </c>
      <c r="H128">
        <v>145</v>
      </c>
      <c r="I128">
        <v>186</v>
      </c>
      <c r="J128" s="2">
        <v>1</v>
      </c>
      <c r="K128">
        <f t="shared" si="11"/>
        <v>160.65910347982899</v>
      </c>
      <c r="L128">
        <f t="shared" si="20"/>
        <v>257.38467874196721</v>
      </c>
      <c r="M128">
        <f t="shared" si="12"/>
        <v>17.158978582797815</v>
      </c>
      <c r="N128">
        <f t="shared" si="13"/>
        <v>106.17117998106147</v>
      </c>
      <c r="O128">
        <f t="shared" si="14"/>
        <v>7.0780786654040977</v>
      </c>
    </row>
    <row r="129" spans="1:15" x14ac:dyDescent="0.15">
      <c r="A129" t="s">
        <v>36</v>
      </c>
      <c r="B129" t="s">
        <v>58</v>
      </c>
      <c r="C129" t="s">
        <v>81</v>
      </c>
      <c r="D129" t="s">
        <v>148</v>
      </c>
      <c r="E129">
        <v>15</v>
      </c>
      <c r="F129" t="s">
        <v>86</v>
      </c>
      <c r="G129">
        <v>2500</v>
      </c>
      <c r="H129">
        <v>150</v>
      </c>
      <c r="I129">
        <v>155</v>
      </c>
      <c r="J129" s="2">
        <v>1</v>
      </c>
      <c r="K129">
        <f t="shared" si="11"/>
        <v>123.18230474544235</v>
      </c>
      <c r="L129">
        <f t="shared" si="20"/>
        <v>257.38467874196721</v>
      </c>
      <c r="M129">
        <f t="shared" si="12"/>
        <v>17.158978582797815</v>
      </c>
      <c r="N129">
        <f t="shared" si="13"/>
        <v>106.17117998106147</v>
      </c>
      <c r="O129">
        <f t="shared" si="14"/>
        <v>7.0780786654040977</v>
      </c>
    </row>
    <row r="130" spans="1:15" x14ac:dyDescent="0.15">
      <c r="A130" t="s">
        <v>36</v>
      </c>
      <c r="B130" t="s">
        <v>58</v>
      </c>
      <c r="C130" t="s">
        <v>81</v>
      </c>
      <c r="D130" t="s">
        <v>148</v>
      </c>
      <c r="E130">
        <v>15</v>
      </c>
      <c r="F130" t="s">
        <v>86</v>
      </c>
      <c r="G130">
        <v>2500</v>
      </c>
      <c r="H130">
        <v>127.5</v>
      </c>
      <c r="I130">
        <v>138</v>
      </c>
      <c r="J130" s="2">
        <v>1</v>
      </c>
      <c r="K130">
        <f t="shared" si="11"/>
        <v>81.047156173007352</v>
      </c>
      <c r="L130">
        <f t="shared" si="20"/>
        <v>257.38467874196721</v>
      </c>
      <c r="M130">
        <f t="shared" si="12"/>
        <v>17.158978582797815</v>
      </c>
      <c r="N130">
        <f t="shared" si="13"/>
        <v>106.17117998106147</v>
      </c>
      <c r="O130">
        <f t="shared" si="14"/>
        <v>7.0780786654040977</v>
      </c>
    </row>
    <row r="131" spans="1:15" x14ac:dyDescent="0.15">
      <c r="A131" t="s">
        <v>36</v>
      </c>
      <c r="B131" t="s">
        <v>58</v>
      </c>
      <c r="C131" t="s">
        <v>81</v>
      </c>
      <c r="D131" t="s">
        <v>148</v>
      </c>
      <c r="E131">
        <v>15</v>
      </c>
      <c r="F131" t="s">
        <v>86</v>
      </c>
      <c r="G131">
        <v>2500</v>
      </c>
      <c r="H131">
        <v>125</v>
      </c>
      <c r="I131">
        <v>119</v>
      </c>
      <c r="J131" s="2">
        <v>1</v>
      </c>
      <c r="K131">
        <f t="shared" ref="K131:K161" si="21">EXP(-3.53769+1.70873*LN(I131/10)+1.35448*LN(H131/10))</f>
        <v>61.257996412406712</v>
      </c>
      <c r="L131">
        <f t="shared" si="20"/>
        <v>257.38467874196721</v>
      </c>
      <c r="M131">
        <f t="shared" ref="M131:M161" si="22">L131/E131</f>
        <v>17.158978582797815</v>
      </c>
      <c r="N131">
        <f t="shared" ref="N131:N161" si="23">L131*0.33/0.8</f>
        <v>106.17117998106147</v>
      </c>
      <c r="O131">
        <f t="shared" ref="O131:O161" si="24">N131/E131</f>
        <v>7.0780786654040977</v>
      </c>
    </row>
    <row r="132" spans="1:15" x14ac:dyDescent="0.15">
      <c r="A132" t="s">
        <v>38</v>
      </c>
      <c r="B132" t="s">
        <v>60</v>
      </c>
      <c r="C132" t="s">
        <v>119</v>
      </c>
      <c r="D132" t="s">
        <v>120</v>
      </c>
      <c r="E132">
        <v>9.5</v>
      </c>
      <c r="F132" t="s">
        <v>86</v>
      </c>
      <c r="G132">
        <v>2500</v>
      </c>
      <c r="H132">
        <v>97.5</v>
      </c>
      <c r="I132">
        <v>83</v>
      </c>
      <c r="J132" s="2">
        <v>1</v>
      </c>
      <c r="K132">
        <f t="shared" si="21"/>
        <v>23.639812901267319</v>
      </c>
      <c r="L132">
        <f>AVERAGE(K$132:K$141)*G132/1000</f>
        <v>182.8311188530509</v>
      </c>
      <c r="M132">
        <f t="shared" si="22"/>
        <v>19.245380931900094</v>
      </c>
      <c r="N132">
        <f t="shared" si="23"/>
        <v>75.417836526883491</v>
      </c>
      <c r="O132">
        <f t="shared" si="24"/>
        <v>7.9387196344087885</v>
      </c>
    </row>
    <row r="133" spans="1:15" x14ac:dyDescent="0.15">
      <c r="A133" t="s">
        <v>38</v>
      </c>
      <c r="B133" t="s">
        <v>60</v>
      </c>
      <c r="C133" t="s">
        <v>119</v>
      </c>
      <c r="D133" t="s">
        <v>120</v>
      </c>
      <c r="E133">
        <v>9.5</v>
      </c>
      <c r="F133" t="s">
        <v>86</v>
      </c>
      <c r="G133">
        <v>2500</v>
      </c>
      <c r="H133">
        <v>127.5</v>
      </c>
      <c r="I133">
        <v>150</v>
      </c>
      <c r="J133" s="2">
        <v>1</v>
      </c>
      <c r="K133">
        <f t="shared" si="21"/>
        <v>93.457596204186956</v>
      </c>
      <c r="L133">
        <f t="shared" ref="L133:L141" si="25">AVERAGE(K$132:K$141)*G133/1000</f>
        <v>182.8311188530509</v>
      </c>
      <c r="M133">
        <f t="shared" si="22"/>
        <v>19.245380931900094</v>
      </c>
      <c r="N133">
        <f t="shared" si="23"/>
        <v>75.417836526883491</v>
      </c>
      <c r="O133">
        <f t="shared" si="24"/>
        <v>7.9387196344087885</v>
      </c>
    </row>
    <row r="134" spans="1:15" x14ac:dyDescent="0.15">
      <c r="A134" t="s">
        <v>38</v>
      </c>
      <c r="B134" t="s">
        <v>60</v>
      </c>
      <c r="C134" t="s">
        <v>119</v>
      </c>
      <c r="D134" t="s">
        <v>120</v>
      </c>
      <c r="E134">
        <v>9.5</v>
      </c>
      <c r="F134" t="s">
        <v>86</v>
      </c>
      <c r="G134">
        <v>2500</v>
      </c>
      <c r="H134">
        <v>122.5</v>
      </c>
      <c r="I134">
        <v>142</v>
      </c>
      <c r="J134" s="2">
        <v>1</v>
      </c>
      <c r="K134">
        <f t="shared" si="21"/>
        <v>80.613724431110597</v>
      </c>
      <c r="L134">
        <f t="shared" si="25"/>
        <v>182.8311188530509</v>
      </c>
      <c r="M134">
        <f t="shared" si="22"/>
        <v>19.245380931900094</v>
      </c>
      <c r="N134">
        <f t="shared" si="23"/>
        <v>75.417836526883491</v>
      </c>
      <c r="O134">
        <f t="shared" si="24"/>
        <v>7.9387196344087885</v>
      </c>
    </row>
    <row r="135" spans="1:15" x14ac:dyDescent="0.15">
      <c r="A135" t="s">
        <v>38</v>
      </c>
      <c r="B135" t="s">
        <v>60</v>
      </c>
      <c r="C135" t="s">
        <v>119</v>
      </c>
      <c r="D135" t="s">
        <v>120</v>
      </c>
      <c r="E135">
        <v>9.5</v>
      </c>
      <c r="F135" t="s">
        <v>86</v>
      </c>
      <c r="G135">
        <v>2500</v>
      </c>
      <c r="H135">
        <v>127.5</v>
      </c>
      <c r="I135">
        <v>142</v>
      </c>
      <c r="J135" s="2">
        <v>1</v>
      </c>
      <c r="K135">
        <f t="shared" si="21"/>
        <v>85.102408650595365</v>
      </c>
      <c r="L135">
        <f t="shared" si="25"/>
        <v>182.8311188530509</v>
      </c>
      <c r="M135">
        <f t="shared" si="22"/>
        <v>19.245380931900094</v>
      </c>
      <c r="N135">
        <f t="shared" si="23"/>
        <v>75.417836526883491</v>
      </c>
      <c r="O135">
        <f t="shared" si="24"/>
        <v>7.9387196344087885</v>
      </c>
    </row>
    <row r="136" spans="1:15" x14ac:dyDescent="0.15">
      <c r="A136" t="s">
        <v>38</v>
      </c>
      <c r="B136" t="s">
        <v>60</v>
      </c>
      <c r="C136" t="s">
        <v>119</v>
      </c>
      <c r="D136" t="s">
        <v>120</v>
      </c>
      <c r="E136">
        <v>9.5</v>
      </c>
      <c r="F136" t="s">
        <v>86</v>
      </c>
      <c r="G136">
        <v>2500</v>
      </c>
      <c r="H136">
        <v>107.5</v>
      </c>
      <c r="I136">
        <v>111</v>
      </c>
      <c r="J136" s="2">
        <v>1</v>
      </c>
      <c r="K136">
        <f t="shared" si="21"/>
        <v>44.340197632843228</v>
      </c>
      <c r="L136">
        <f t="shared" si="25"/>
        <v>182.8311188530509</v>
      </c>
      <c r="M136">
        <f t="shared" si="22"/>
        <v>19.245380931900094</v>
      </c>
      <c r="N136">
        <f t="shared" si="23"/>
        <v>75.417836526883491</v>
      </c>
      <c r="O136">
        <f t="shared" si="24"/>
        <v>7.9387196344087885</v>
      </c>
    </row>
    <row r="137" spans="1:15" x14ac:dyDescent="0.15">
      <c r="A137" t="s">
        <v>38</v>
      </c>
      <c r="B137" t="s">
        <v>60</v>
      </c>
      <c r="C137" t="s">
        <v>119</v>
      </c>
      <c r="D137" t="s">
        <v>120</v>
      </c>
      <c r="E137">
        <v>9.5</v>
      </c>
      <c r="F137" t="s">
        <v>86</v>
      </c>
      <c r="G137">
        <v>2500</v>
      </c>
      <c r="H137">
        <v>127.5</v>
      </c>
      <c r="I137">
        <v>169</v>
      </c>
      <c r="J137" s="2">
        <v>1</v>
      </c>
      <c r="K137">
        <f t="shared" si="21"/>
        <v>114.58269644070555</v>
      </c>
      <c r="L137">
        <f t="shared" si="25"/>
        <v>182.8311188530509</v>
      </c>
      <c r="M137">
        <f t="shared" si="22"/>
        <v>19.245380931900094</v>
      </c>
      <c r="N137">
        <f t="shared" si="23"/>
        <v>75.417836526883491</v>
      </c>
      <c r="O137">
        <f t="shared" si="24"/>
        <v>7.9387196344087885</v>
      </c>
    </row>
    <row r="138" spans="1:15" x14ac:dyDescent="0.15">
      <c r="A138" t="s">
        <v>38</v>
      </c>
      <c r="B138" t="s">
        <v>60</v>
      </c>
      <c r="C138" t="s">
        <v>119</v>
      </c>
      <c r="D138" t="s">
        <v>120</v>
      </c>
      <c r="E138">
        <v>9.5</v>
      </c>
      <c r="F138" t="s">
        <v>86</v>
      </c>
      <c r="G138">
        <v>2500</v>
      </c>
      <c r="H138">
        <v>117.5</v>
      </c>
      <c r="I138">
        <v>157</v>
      </c>
      <c r="J138" s="2">
        <v>1</v>
      </c>
      <c r="K138">
        <f t="shared" si="21"/>
        <v>90.451392442733251</v>
      </c>
      <c r="L138">
        <f t="shared" si="25"/>
        <v>182.8311188530509</v>
      </c>
      <c r="M138">
        <f t="shared" si="22"/>
        <v>19.245380931900094</v>
      </c>
      <c r="N138">
        <f t="shared" si="23"/>
        <v>75.417836526883491</v>
      </c>
      <c r="O138">
        <f t="shared" si="24"/>
        <v>7.9387196344087885</v>
      </c>
    </row>
    <row r="139" spans="1:15" x14ac:dyDescent="0.15">
      <c r="A139" t="s">
        <v>38</v>
      </c>
      <c r="B139" t="s">
        <v>60</v>
      </c>
      <c r="C139" t="s">
        <v>119</v>
      </c>
      <c r="D139" t="s">
        <v>120</v>
      </c>
      <c r="E139">
        <v>9.5</v>
      </c>
      <c r="F139" t="s">
        <v>86</v>
      </c>
      <c r="G139">
        <v>2500</v>
      </c>
      <c r="H139">
        <v>117.5</v>
      </c>
      <c r="I139">
        <v>157</v>
      </c>
      <c r="J139" s="2">
        <v>1</v>
      </c>
      <c r="K139">
        <f t="shared" si="21"/>
        <v>90.451392442733251</v>
      </c>
      <c r="L139">
        <f t="shared" si="25"/>
        <v>182.8311188530509</v>
      </c>
      <c r="M139">
        <f t="shared" si="22"/>
        <v>19.245380931900094</v>
      </c>
      <c r="N139">
        <f t="shared" si="23"/>
        <v>75.417836526883491</v>
      </c>
      <c r="O139">
        <f t="shared" si="24"/>
        <v>7.9387196344087885</v>
      </c>
    </row>
    <row r="140" spans="1:15" x14ac:dyDescent="0.15">
      <c r="A140" t="s">
        <v>38</v>
      </c>
      <c r="B140" t="s">
        <v>60</v>
      </c>
      <c r="C140" t="s">
        <v>119</v>
      </c>
      <c r="D140" t="s">
        <v>120</v>
      </c>
      <c r="E140">
        <v>9.5</v>
      </c>
      <c r="F140" t="s">
        <v>86</v>
      </c>
      <c r="G140">
        <v>2500</v>
      </c>
      <c r="H140">
        <v>107.5</v>
      </c>
      <c r="I140">
        <v>91</v>
      </c>
      <c r="J140" s="2">
        <v>1</v>
      </c>
      <c r="K140">
        <f t="shared" si="21"/>
        <v>31.576623528372998</v>
      </c>
      <c r="L140">
        <f t="shared" si="25"/>
        <v>182.8311188530509</v>
      </c>
      <c r="M140">
        <f t="shared" si="22"/>
        <v>19.245380931900094</v>
      </c>
      <c r="N140">
        <f t="shared" si="23"/>
        <v>75.417836526883491</v>
      </c>
      <c r="O140">
        <f t="shared" si="24"/>
        <v>7.9387196344087885</v>
      </c>
    </row>
    <row r="141" spans="1:15" x14ac:dyDescent="0.15">
      <c r="A141" t="s">
        <v>38</v>
      </c>
      <c r="B141" t="s">
        <v>60</v>
      </c>
      <c r="C141" t="s">
        <v>119</v>
      </c>
      <c r="D141" t="s">
        <v>120</v>
      </c>
      <c r="E141">
        <v>9.5</v>
      </c>
      <c r="F141" t="s">
        <v>86</v>
      </c>
      <c r="G141">
        <v>2500</v>
      </c>
      <c r="H141">
        <v>117.5</v>
      </c>
      <c r="I141">
        <v>143</v>
      </c>
      <c r="J141" s="2">
        <v>1</v>
      </c>
      <c r="K141">
        <f t="shared" si="21"/>
        <v>77.108630737655105</v>
      </c>
      <c r="L141">
        <f t="shared" si="25"/>
        <v>182.8311188530509</v>
      </c>
      <c r="M141">
        <f t="shared" si="22"/>
        <v>19.245380931900094</v>
      </c>
      <c r="N141">
        <f t="shared" si="23"/>
        <v>75.417836526883491</v>
      </c>
      <c r="O141">
        <f t="shared" si="24"/>
        <v>7.9387196344087885</v>
      </c>
    </row>
    <row r="142" spans="1:15" x14ac:dyDescent="0.15">
      <c r="A142" t="s">
        <v>39</v>
      </c>
      <c r="B142" t="s">
        <v>61</v>
      </c>
      <c r="C142" t="s">
        <v>119</v>
      </c>
      <c r="D142" t="s">
        <v>120</v>
      </c>
      <c r="E142">
        <v>9.5</v>
      </c>
      <c r="F142" t="s">
        <v>86</v>
      </c>
      <c r="G142">
        <v>2500</v>
      </c>
      <c r="H142">
        <v>147.5</v>
      </c>
      <c r="I142">
        <v>166</v>
      </c>
      <c r="J142" s="2">
        <v>1</v>
      </c>
      <c r="K142">
        <f t="shared" si="21"/>
        <v>135.37593315627069</v>
      </c>
      <c r="L142">
        <f>AVERAGE(K$142:K$151)*G142/1000</f>
        <v>168.50257780003568</v>
      </c>
      <c r="M142">
        <f t="shared" si="22"/>
        <v>17.737113452635334</v>
      </c>
      <c r="N142">
        <f t="shared" si="23"/>
        <v>69.50731334251472</v>
      </c>
      <c r="O142">
        <f t="shared" si="24"/>
        <v>7.3165592992120763</v>
      </c>
    </row>
    <row r="143" spans="1:15" x14ac:dyDescent="0.15">
      <c r="A143" t="s">
        <v>39</v>
      </c>
      <c r="B143" t="s">
        <v>61</v>
      </c>
      <c r="C143" t="s">
        <v>119</v>
      </c>
      <c r="D143" t="s">
        <v>120</v>
      </c>
      <c r="E143">
        <v>9.5</v>
      </c>
      <c r="F143" t="s">
        <v>86</v>
      </c>
      <c r="G143">
        <v>2500</v>
      </c>
      <c r="H143">
        <v>87.5</v>
      </c>
      <c r="I143">
        <v>88</v>
      </c>
      <c r="J143" s="2">
        <v>1</v>
      </c>
      <c r="K143">
        <f t="shared" si="21"/>
        <v>22.563044417921262</v>
      </c>
      <c r="L143">
        <f t="shared" ref="L143:L151" si="26">AVERAGE(K$142:K$151)*G143/1000</f>
        <v>168.50257780003568</v>
      </c>
      <c r="M143">
        <f t="shared" si="22"/>
        <v>17.737113452635334</v>
      </c>
      <c r="N143">
        <f t="shared" si="23"/>
        <v>69.50731334251472</v>
      </c>
      <c r="O143">
        <f t="shared" si="24"/>
        <v>7.3165592992120763</v>
      </c>
    </row>
    <row r="144" spans="1:15" x14ac:dyDescent="0.15">
      <c r="A144" t="s">
        <v>39</v>
      </c>
      <c r="B144" t="s">
        <v>61</v>
      </c>
      <c r="C144" t="s">
        <v>119</v>
      </c>
      <c r="D144" t="s">
        <v>120</v>
      </c>
      <c r="E144">
        <v>9.5</v>
      </c>
      <c r="F144" t="s">
        <v>86</v>
      </c>
      <c r="G144">
        <v>2500</v>
      </c>
      <c r="H144">
        <v>130</v>
      </c>
      <c r="I144">
        <v>123</v>
      </c>
      <c r="J144" s="2">
        <v>1</v>
      </c>
      <c r="K144">
        <f t="shared" si="21"/>
        <v>68.354688296055613</v>
      </c>
      <c r="L144">
        <f t="shared" si="26"/>
        <v>168.50257780003568</v>
      </c>
      <c r="M144">
        <f t="shared" si="22"/>
        <v>17.737113452635334</v>
      </c>
      <c r="N144">
        <f t="shared" si="23"/>
        <v>69.50731334251472</v>
      </c>
      <c r="O144">
        <f t="shared" si="24"/>
        <v>7.3165592992120763</v>
      </c>
    </row>
    <row r="145" spans="1:15" x14ac:dyDescent="0.15">
      <c r="A145" t="s">
        <v>39</v>
      </c>
      <c r="B145" t="s">
        <v>61</v>
      </c>
      <c r="C145" t="s">
        <v>119</v>
      </c>
      <c r="D145" t="s">
        <v>120</v>
      </c>
      <c r="E145">
        <v>9.5</v>
      </c>
      <c r="F145" t="s">
        <v>86</v>
      </c>
      <c r="G145">
        <v>2500</v>
      </c>
      <c r="H145">
        <v>130</v>
      </c>
      <c r="I145">
        <v>184</v>
      </c>
      <c r="J145" s="2">
        <v>1</v>
      </c>
      <c r="K145">
        <f t="shared" si="21"/>
        <v>136.03382347569351</v>
      </c>
      <c r="L145">
        <f t="shared" si="26"/>
        <v>168.50257780003568</v>
      </c>
      <c r="M145">
        <f t="shared" si="22"/>
        <v>17.737113452635334</v>
      </c>
      <c r="N145">
        <f t="shared" si="23"/>
        <v>69.50731334251472</v>
      </c>
      <c r="O145">
        <f t="shared" si="24"/>
        <v>7.3165592992120763</v>
      </c>
    </row>
    <row r="146" spans="1:15" x14ac:dyDescent="0.15">
      <c r="A146" t="s">
        <v>39</v>
      </c>
      <c r="B146" t="s">
        <v>61</v>
      </c>
      <c r="C146" t="s">
        <v>119</v>
      </c>
      <c r="D146" t="s">
        <v>120</v>
      </c>
      <c r="E146">
        <v>9.5</v>
      </c>
      <c r="F146" t="s">
        <v>86</v>
      </c>
      <c r="G146">
        <v>2500</v>
      </c>
      <c r="H146">
        <v>130</v>
      </c>
      <c r="I146">
        <v>116</v>
      </c>
      <c r="J146" s="2">
        <v>1</v>
      </c>
      <c r="K146">
        <f t="shared" si="21"/>
        <v>61.842358790344541</v>
      </c>
      <c r="L146">
        <f t="shared" si="26"/>
        <v>168.50257780003568</v>
      </c>
      <c r="M146">
        <f t="shared" si="22"/>
        <v>17.737113452635334</v>
      </c>
      <c r="N146">
        <f t="shared" si="23"/>
        <v>69.50731334251472</v>
      </c>
      <c r="O146">
        <f t="shared" si="24"/>
        <v>7.3165592992120763</v>
      </c>
    </row>
    <row r="147" spans="1:15" x14ac:dyDescent="0.15">
      <c r="A147" t="s">
        <v>39</v>
      </c>
      <c r="B147" t="s">
        <v>61</v>
      </c>
      <c r="C147" t="s">
        <v>119</v>
      </c>
      <c r="D147" t="s">
        <v>120</v>
      </c>
      <c r="E147">
        <v>9.5</v>
      </c>
      <c r="F147" t="s">
        <v>86</v>
      </c>
      <c r="G147">
        <v>2500</v>
      </c>
      <c r="H147">
        <v>137.5</v>
      </c>
      <c r="I147">
        <v>117</v>
      </c>
      <c r="J147" s="2">
        <v>1</v>
      </c>
      <c r="K147">
        <f t="shared" si="21"/>
        <v>67.70959568053722</v>
      </c>
      <c r="L147">
        <f t="shared" si="26"/>
        <v>168.50257780003568</v>
      </c>
      <c r="M147">
        <f t="shared" si="22"/>
        <v>17.737113452635334</v>
      </c>
      <c r="N147">
        <f t="shared" si="23"/>
        <v>69.50731334251472</v>
      </c>
      <c r="O147">
        <f t="shared" si="24"/>
        <v>7.3165592992120763</v>
      </c>
    </row>
    <row r="148" spans="1:15" x14ac:dyDescent="0.15">
      <c r="A148" t="s">
        <v>39</v>
      </c>
      <c r="B148" t="s">
        <v>61</v>
      </c>
      <c r="C148" t="s">
        <v>119</v>
      </c>
      <c r="D148" t="s">
        <v>120</v>
      </c>
      <c r="E148">
        <v>9.5</v>
      </c>
      <c r="F148" t="s">
        <v>86</v>
      </c>
      <c r="G148">
        <v>2500</v>
      </c>
      <c r="H148">
        <v>130</v>
      </c>
      <c r="I148">
        <v>109</v>
      </c>
      <c r="J148" s="2">
        <v>1</v>
      </c>
      <c r="K148">
        <f t="shared" si="21"/>
        <v>55.602782587620737</v>
      </c>
      <c r="L148">
        <f t="shared" si="26"/>
        <v>168.50257780003568</v>
      </c>
      <c r="M148">
        <f t="shared" si="22"/>
        <v>17.737113452635334</v>
      </c>
      <c r="N148">
        <f t="shared" si="23"/>
        <v>69.50731334251472</v>
      </c>
      <c r="O148">
        <f t="shared" si="24"/>
        <v>7.3165592992120763</v>
      </c>
    </row>
    <row r="149" spans="1:15" x14ac:dyDescent="0.15">
      <c r="A149" t="s">
        <v>39</v>
      </c>
      <c r="B149" t="s">
        <v>61</v>
      </c>
      <c r="C149" t="s">
        <v>119</v>
      </c>
      <c r="D149" t="s">
        <v>120</v>
      </c>
      <c r="E149">
        <v>9.5</v>
      </c>
      <c r="F149" t="s">
        <v>86</v>
      </c>
      <c r="G149">
        <v>2500</v>
      </c>
      <c r="H149">
        <v>90</v>
      </c>
      <c r="I149">
        <v>93</v>
      </c>
      <c r="J149" s="2">
        <v>1</v>
      </c>
      <c r="K149">
        <f t="shared" si="21"/>
        <v>25.761966857736795</v>
      </c>
      <c r="L149">
        <f t="shared" si="26"/>
        <v>168.50257780003568</v>
      </c>
      <c r="M149">
        <f t="shared" si="22"/>
        <v>17.737113452635334</v>
      </c>
      <c r="N149">
        <f t="shared" si="23"/>
        <v>69.50731334251472</v>
      </c>
      <c r="O149">
        <f t="shared" si="24"/>
        <v>7.3165592992120763</v>
      </c>
    </row>
    <row r="150" spans="1:15" x14ac:dyDescent="0.15">
      <c r="A150" t="s">
        <v>39</v>
      </c>
      <c r="B150" t="s">
        <v>61</v>
      </c>
      <c r="C150" t="s">
        <v>119</v>
      </c>
      <c r="D150" t="s">
        <v>120</v>
      </c>
      <c r="E150">
        <v>9.5</v>
      </c>
      <c r="F150" t="s">
        <v>86</v>
      </c>
      <c r="G150">
        <v>2500</v>
      </c>
      <c r="H150">
        <v>135</v>
      </c>
      <c r="I150">
        <v>143</v>
      </c>
      <c r="J150" s="2">
        <v>1</v>
      </c>
      <c r="K150">
        <f t="shared" si="21"/>
        <v>93.062043418699261</v>
      </c>
      <c r="L150">
        <f t="shared" si="26"/>
        <v>168.50257780003568</v>
      </c>
      <c r="M150">
        <f t="shared" si="22"/>
        <v>17.737113452635334</v>
      </c>
      <c r="N150">
        <f t="shared" si="23"/>
        <v>69.50731334251472</v>
      </c>
      <c r="O150">
        <f t="shared" si="24"/>
        <v>7.3165592992120763</v>
      </c>
    </row>
    <row r="151" spans="1:15" x14ac:dyDescent="0.15">
      <c r="A151" t="s">
        <v>39</v>
      </c>
      <c r="B151" t="s">
        <v>61</v>
      </c>
      <c r="C151" t="s">
        <v>119</v>
      </c>
      <c r="D151" t="s">
        <v>120</v>
      </c>
      <c r="E151">
        <v>9.5</v>
      </c>
      <c r="F151" t="s">
        <v>86</v>
      </c>
      <c r="G151">
        <v>2500</v>
      </c>
      <c r="H151">
        <v>70</v>
      </c>
      <c r="I151">
        <v>56</v>
      </c>
      <c r="J151" s="2">
        <v>1</v>
      </c>
      <c r="K151">
        <f t="shared" si="21"/>
        <v>7.7040745192631634</v>
      </c>
      <c r="L151">
        <f t="shared" si="26"/>
        <v>168.50257780003568</v>
      </c>
      <c r="M151">
        <f t="shared" si="22"/>
        <v>17.737113452635334</v>
      </c>
      <c r="N151">
        <f t="shared" si="23"/>
        <v>69.50731334251472</v>
      </c>
      <c r="O151">
        <f t="shared" si="24"/>
        <v>7.3165592992120763</v>
      </c>
    </row>
    <row r="152" spans="1:15" x14ac:dyDescent="0.15">
      <c r="A152" t="s">
        <v>122</v>
      </c>
      <c r="B152" t="s">
        <v>62</v>
      </c>
      <c r="C152" t="s">
        <v>81</v>
      </c>
      <c r="D152" t="s">
        <v>123</v>
      </c>
      <c r="E152">
        <v>14</v>
      </c>
      <c r="F152" t="s">
        <v>86</v>
      </c>
      <c r="G152">
        <v>1667</v>
      </c>
      <c r="H152">
        <v>137.5</v>
      </c>
      <c r="I152">
        <v>175</v>
      </c>
      <c r="J152" s="2">
        <v>1</v>
      </c>
      <c r="K152">
        <f t="shared" si="21"/>
        <v>134.7179290004668</v>
      </c>
      <c r="L152">
        <f>AVERAGE(K$152:K$161)*G152/1000</f>
        <v>185.80809889784911</v>
      </c>
      <c r="M152">
        <f t="shared" si="22"/>
        <v>13.27200706413208</v>
      </c>
      <c r="N152">
        <f t="shared" si="23"/>
        <v>76.645840795362759</v>
      </c>
      <c r="O152">
        <f t="shared" si="24"/>
        <v>5.4747029139544825</v>
      </c>
    </row>
    <row r="153" spans="1:15" x14ac:dyDescent="0.15">
      <c r="A153" t="s">
        <v>122</v>
      </c>
      <c r="B153" t="s">
        <v>62</v>
      </c>
      <c r="C153" t="s">
        <v>81</v>
      </c>
      <c r="D153" s="10" t="s">
        <v>123</v>
      </c>
      <c r="E153">
        <v>14</v>
      </c>
      <c r="F153" t="s">
        <v>86</v>
      </c>
      <c r="G153">
        <v>1667</v>
      </c>
      <c r="H153">
        <v>105</v>
      </c>
      <c r="I153">
        <v>105</v>
      </c>
      <c r="J153" s="2">
        <v>1</v>
      </c>
      <c r="K153">
        <f t="shared" si="21"/>
        <v>39.058721823317384</v>
      </c>
      <c r="L153">
        <f t="shared" ref="L153:L161" si="27">AVERAGE(K$152:K$161)*G153/1000</f>
        <v>185.80809889784911</v>
      </c>
      <c r="M153">
        <f t="shared" si="22"/>
        <v>13.27200706413208</v>
      </c>
      <c r="N153">
        <f t="shared" si="23"/>
        <v>76.645840795362759</v>
      </c>
      <c r="O153">
        <f t="shared" si="24"/>
        <v>5.4747029139544825</v>
      </c>
    </row>
    <row r="154" spans="1:15" x14ac:dyDescent="0.15">
      <c r="A154" t="s">
        <v>122</v>
      </c>
      <c r="B154" t="s">
        <v>62</v>
      </c>
      <c r="C154" t="s">
        <v>81</v>
      </c>
      <c r="D154" t="s">
        <v>123</v>
      </c>
      <c r="E154">
        <v>14</v>
      </c>
      <c r="F154" t="s">
        <v>86</v>
      </c>
      <c r="G154">
        <v>1667</v>
      </c>
      <c r="H154">
        <v>117.5</v>
      </c>
      <c r="I154">
        <v>158</v>
      </c>
      <c r="J154" s="2">
        <v>1</v>
      </c>
      <c r="K154">
        <f t="shared" si="21"/>
        <v>91.438052592010607</v>
      </c>
      <c r="L154">
        <f t="shared" si="27"/>
        <v>185.80809889784911</v>
      </c>
      <c r="M154">
        <f t="shared" si="22"/>
        <v>13.27200706413208</v>
      </c>
      <c r="N154">
        <f t="shared" si="23"/>
        <v>76.645840795362759</v>
      </c>
      <c r="O154">
        <f t="shared" si="24"/>
        <v>5.4747029139544825</v>
      </c>
    </row>
    <row r="155" spans="1:15" x14ac:dyDescent="0.15">
      <c r="A155" t="s">
        <v>122</v>
      </c>
      <c r="B155" t="s">
        <v>62</v>
      </c>
      <c r="C155" t="s">
        <v>81</v>
      </c>
      <c r="D155" s="10" t="s">
        <v>123</v>
      </c>
      <c r="E155">
        <v>14</v>
      </c>
      <c r="F155" t="s">
        <v>86</v>
      </c>
      <c r="G155">
        <v>1667</v>
      </c>
      <c r="H155">
        <v>150</v>
      </c>
      <c r="I155">
        <v>198</v>
      </c>
      <c r="J155" s="2">
        <v>1</v>
      </c>
      <c r="K155">
        <f t="shared" si="21"/>
        <v>187.17315178311611</v>
      </c>
      <c r="L155">
        <f t="shared" si="27"/>
        <v>185.80809889784911</v>
      </c>
      <c r="M155">
        <f t="shared" si="22"/>
        <v>13.27200706413208</v>
      </c>
      <c r="N155">
        <f t="shared" si="23"/>
        <v>76.645840795362759</v>
      </c>
      <c r="O155">
        <f t="shared" si="24"/>
        <v>5.4747029139544825</v>
      </c>
    </row>
    <row r="156" spans="1:15" x14ac:dyDescent="0.15">
      <c r="A156" t="s">
        <v>122</v>
      </c>
      <c r="B156" t="s">
        <v>62</v>
      </c>
      <c r="C156" t="s">
        <v>81</v>
      </c>
      <c r="D156" t="s">
        <v>123</v>
      </c>
      <c r="E156">
        <v>14</v>
      </c>
      <c r="F156" t="s">
        <v>86</v>
      </c>
      <c r="G156">
        <v>1667</v>
      </c>
      <c r="H156">
        <v>132.5</v>
      </c>
      <c r="I156">
        <v>167</v>
      </c>
      <c r="J156" s="2">
        <v>1</v>
      </c>
      <c r="K156">
        <f t="shared" si="21"/>
        <v>118.28019527728294</v>
      </c>
      <c r="L156">
        <f t="shared" si="27"/>
        <v>185.80809889784911</v>
      </c>
      <c r="M156">
        <f t="shared" si="22"/>
        <v>13.27200706413208</v>
      </c>
      <c r="N156">
        <f t="shared" si="23"/>
        <v>76.645840795362759</v>
      </c>
      <c r="O156">
        <f t="shared" si="24"/>
        <v>5.4747029139544825</v>
      </c>
    </row>
    <row r="157" spans="1:15" x14ac:dyDescent="0.15">
      <c r="A157" t="s">
        <v>122</v>
      </c>
      <c r="B157" t="s">
        <v>62</v>
      </c>
      <c r="C157" t="s">
        <v>81</v>
      </c>
      <c r="D157" s="10" t="s">
        <v>123</v>
      </c>
      <c r="E157">
        <v>14</v>
      </c>
      <c r="F157" t="s">
        <v>86</v>
      </c>
      <c r="G157">
        <v>1667</v>
      </c>
      <c r="H157">
        <v>130</v>
      </c>
      <c r="I157">
        <v>162</v>
      </c>
      <c r="J157" s="2">
        <v>1</v>
      </c>
      <c r="K157">
        <f t="shared" si="21"/>
        <v>109.43325999168297</v>
      </c>
      <c r="L157">
        <f t="shared" si="27"/>
        <v>185.80809889784911</v>
      </c>
      <c r="M157">
        <f t="shared" si="22"/>
        <v>13.27200706413208</v>
      </c>
      <c r="N157">
        <f t="shared" si="23"/>
        <v>76.645840795362759</v>
      </c>
      <c r="O157">
        <f t="shared" si="24"/>
        <v>5.4747029139544825</v>
      </c>
    </row>
    <row r="158" spans="1:15" x14ac:dyDescent="0.15">
      <c r="A158" t="s">
        <v>122</v>
      </c>
      <c r="B158" t="s">
        <v>62</v>
      </c>
      <c r="C158" t="s">
        <v>81</v>
      </c>
      <c r="D158" t="s">
        <v>123</v>
      </c>
      <c r="E158">
        <v>14</v>
      </c>
      <c r="F158" t="s">
        <v>86</v>
      </c>
      <c r="G158">
        <v>1667</v>
      </c>
      <c r="H158">
        <v>130</v>
      </c>
      <c r="I158">
        <v>163</v>
      </c>
      <c r="J158" s="2">
        <v>1</v>
      </c>
      <c r="K158">
        <f t="shared" si="21"/>
        <v>110.59005433067482</v>
      </c>
      <c r="L158">
        <f t="shared" si="27"/>
        <v>185.80809889784911</v>
      </c>
      <c r="M158">
        <f t="shared" si="22"/>
        <v>13.27200706413208</v>
      </c>
      <c r="N158">
        <f t="shared" si="23"/>
        <v>76.645840795362759</v>
      </c>
      <c r="O158">
        <f t="shared" si="24"/>
        <v>5.4747029139544825</v>
      </c>
    </row>
    <row r="159" spans="1:15" x14ac:dyDescent="0.15">
      <c r="A159" t="s">
        <v>122</v>
      </c>
      <c r="B159" t="s">
        <v>62</v>
      </c>
      <c r="C159" t="s">
        <v>81</v>
      </c>
      <c r="D159" s="10" t="s">
        <v>123</v>
      </c>
      <c r="E159">
        <v>14</v>
      </c>
      <c r="F159" t="s">
        <v>86</v>
      </c>
      <c r="G159">
        <v>1667</v>
      </c>
      <c r="H159">
        <v>152.5</v>
      </c>
      <c r="I159">
        <v>200</v>
      </c>
      <c r="J159" s="2">
        <v>1</v>
      </c>
      <c r="K159">
        <f t="shared" si="21"/>
        <v>194.72650840015601</v>
      </c>
      <c r="L159">
        <f t="shared" si="27"/>
        <v>185.80809889784911</v>
      </c>
      <c r="M159">
        <f t="shared" si="22"/>
        <v>13.27200706413208</v>
      </c>
      <c r="N159">
        <f t="shared" si="23"/>
        <v>76.645840795362759</v>
      </c>
      <c r="O159">
        <f t="shared" si="24"/>
        <v>5.4747029139544825</v>
      </c>
    </row>
    <row r="160" spans="1:15" x14ac:dyDescent="0.15">
      <c r="A160" t="s">
        <v>122</v>
      </c>
      <c r="B160" t="s">
        <v>62</v>
      </c>
      <c r="C160" t="s">
        <v>81</v>
      </c>
      <c r="D160" t="s">
        <v>123</v>
      </c>
      <c r="E160">
        <v>14</v>
      </c>
      <c r="F160" t="s">
        <v>86</v>
      </c>
      <c r="G160">
        <v>1667</v>
      </c>
      <c r="H160">
        <v>102.5</v>
      </c>
      <c r="I160">
        <v>108</v>
      </c>
      <c r="J160" s="2">
        <v>1</v>
      </c>
      <c r="K160">
        <f t="shared" si="21"/>
        <v>39.66872018337569</v>
      </c>
      <c r="L160">
        <f t="shared" si="27"/>
        <v>185.80809889784911</v>
      </c>
      <c r="M160">
        <f t="shared" si="22"/>
        <v>13.27200706413208</v>
      </c>
      <c r="N160">
        <f t="shared" si="23"/>
        <v>76.645840795362759</v>
      </c>
      <c r="O160">
        <f t="shared" si="24"/>
        <v>5.4747029139544825</v>
      </c>
    </row>
    <row r="161" spans="1:15" x14ac:dyDescent="0.15">
      <c r="A161" t="s">
        <v>122</v>
      </c>
      <c r="B161" t="s">
        <v>62</v>
      </c>
      <c r="C161" t="s">
        <v>81</v>
      </c>
      <c r="D161" s="10" t="s">
        <v>123</v>
      </c>
      <c r="E161">
        <v>14</v>
      </c>
      <c r="F161" t="s">
        <v>86</v>
      </c>
      <c r="G161">
        <v>1667</v>
      </c>
      <c r="H161">
        <v>122.5</v>
      </c>
      <c r="I161">
        <v>151</v>
      </c>
      <c r="J161" s="2">
        <v>1</v>
      </c>
      <c r="K161">
        <f t="shared" si="21"/>
        <v>89.539074871360583</v>
      </c>
      <c r="L161">
        <f t="shared" si="27"/>
        <v>185.80809889784911</v>
      </c>
      <c r="M161">
        <f t="shared" si="22"/>
        <v>13.27200706413208</v>
      </c>
      <c r="N161">
        <f t="shared" si="23"/>
        <v>76.645840795362759</v>
      </c>
      <c r="O161">
        <f t="shared" si="24"/>
        <v>5.4747029139544825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opLeftCell="AM1" workbookViewId="0">
      <selection activeCell="AV2" sqref="AV2"/>
    </sheetView>
  </sheetViews>
  <sheetFormatPr defaultRowHeight="10.5" x14ac:dyDescent="0.15"/>
  <cols>
    <col min="1" max="1" width="12.6640625" customWidth="1" collapsed="1"/>
    <col min="2" max="2" width="10.6640625" customWidth="1" collapsed="1"/>
  </cols>
  <sheetData>
    <row r="1" spans="1:48" x14ac:dyDescent="0.15">
      <c r="A1" t="s">
        <v>267</v>
      </c>
      <c r="N1" t="s">
        <v>269</v>
      </c>
      <c r="Z1" t="s">
        <v>271</v>
      </c>
      <c r="AL1" t="s">
        <v>273</v>
      </c>
      <c r="AR1" t="s">
        <v>274</v>
      </c>
    </row>
    <row r="2" spans="1:48" x14ac:dyDescent="0.15">
      <c r="A2" s="80" t="s">
        <v>324</v>
      </c>
      <c r="B2" s="80" t="s">
        <v>325</v>
      </c>
      <c r="C2">
        <f>3.14*7^2</f>
        <v>153.86000000000001</v>
      </c>
      <c r="D2" t="s">
        <v>326</v>
      </c>
      <c r="AP2" s="76" t="s">
        <v>602</v>
      </c>
      <c r="AV2" s="76" t="s">
        <v>602</v>
      </c>
    </row>
    <row r="3" spans="1:48" x14ac:dyDescent="0.15">
      <c r="A3" t="s">
        <v>275</v>
      </c>
      <c r="B3" t="s">
        <v>224</v>
      </c>
      <c r="C3" t="s">
        <v>225</v>
      </c>
      <c r="D3" t="s">
        <v>368</v>
      </c>
      <c r="E3" t="s">
        <v>384</v>
      </c>
      <c r="F3" t="s">
        <v>84</v>
      </c>
      <c r="G3" t="s">
        <v>144</v>
      </c>
      <c r="H3" t="s">
        <v>143</v>
      </c>
      <c r="I3" t="s">
        <v>145</v>
      </c>
      <c r="J3" t="s">
        <v>146</v>
      </c>
      <c r="K3" t="s">
        <v>147</v>
      </c>
      <c r="N3" t="s">
        <v>223</v>
      </c>
      <c r="O3" t="s">
        <v>224</v>
      </c>
      <c r="P3" t="s">
        <v>225</v>
      </c>
      <c r="Q3" t="s">
        <v>368</v>
      </c>
      <c r="R3" t="s">
        <v>384</v>
      </c>
      <c r="S3" t="s">
        <v>84</v>
      </c>
      <c r="T3" t="s">
        <v>144</v>
      </c>
      <c r="U3" t="s">
        <v>143</v>
      </c>
      <c r="V3" t="s">
        <v>145</v>
      </c>
      <c r="W3" t="s">
        <v>146</v>
      </c>
      <c r="X3" t="s">
        <v>147</v>
      </c>
      <c r="Z3" t="s">
        <v>223</v>
      </c>
      <c r="AA3" t="s">
        <v>224</v>
      </c>
      <c r="AB3" t="s">
        <v>225</v>
      </c>
      <c r="AC3" t="s">
        <v>368</v>
      </c>
      <c r="AD3" t="s">
        <v>384</v>
      </c>
      <c r="AE3" t="s">
        <v>84</v>
      </c>
      <c r="AF3" t="s">
        <v>144</v>
      </c>
      <c r="AG3" t="s">
        <v>143</v>
      </c>
      <c r="AH3" t="s">
        <v>145</v>
      </c>
      <c r="AI3" t="s">
        <v>146</v>
      </c>
      <c r="AJ3" t="s">
        <v>147</v>
      </c>
      <c r="AL3" t="s">
        <v>228</v>
      </c>
      <c r="AM3" t="s">
        <v>229</v>
      </c>
      <c r="AN3" t="s">
        <v>230</v>
      </c>
      <c r="AO3" t="s">
        <v>382</v>
      </c>
      <c r="AP3" t="s">
        <v>231</v>
      </c>
      <c r="AR3" t="s">
        <v>228</v>
      </c>
      <c r="AS3" t="s">
        <v>229</v>
      </c>
      <c r="AT3" t="s">
        <v>230</v>
      </c>
      <c r="AU3" t="s">
        <v>382</v>
      </c>
      <c r="AV3" t="s">
        <v>231</v>
      </c>
    </row>
    <row r="4" spans="1:48" x14ac:dyDescent="0.15">
      <c r="A4">
        <v>1</v>
      </c>
      <c r="B4">
        <v>325</v>
      </c>
      <c r="C4">
        <v>350</v>
      </c>
      <c r="D4">
        <f>(B4+C4)/2</f>
        <v>337.5</v>
      </c>
      <c r="E4">
        <v>274</v>
      </c>
      <c r="F4">
        <v>16</v>
      </c>
      <c r="G4">
        <f t="shared" ref="G4:G15" si="0">EXP(-3.53769+1.70873*LN(D4/10)+1.35448*LN(E4/10))</f>
        <v>1052.9612472938106</v>
      </c>
      <c r="H4" s="97">
        <f>G18</f>
        <v>340.93718289157704</v>
      </c>
      <c r="I4" s="97">
        <f>H4/F4</f>
        <v>21.308573930723565</v>
      </c>
      <c r="J4" s="97">
        <f>H4*0.33/0.8</f>
        <v>140.63658794277552</v>
      </c>
      <c r="K4" s="97">
        <f>J4/F4</f>
        <v>8.78978674642347</v>
      </c>
      <c r="N4">
        <v>1</v>
      </c>
      <c r="O4">
        <v>248</v>
      </c>
      <c r="P4">
        <v>246</v>
      </c>
      <c r="Q4">
        <f>(O4+P4)/2</f>
        <v>247</v>
      </c>
      <c r="R4">
        <v>283</v>
      </c>
      <c r="S4">
        <v>16</v>
      </c>
      <c r="T4">
        <f>EXP(-3.53769+1.70873*LN(Q4/10)+1.35448*LN(R4/10))</f>
        <v>645.2967984901195</v>
      </c>
      <c r="U4">
        <f>T25</f>
        <v>415.17260474562897</v>
      </c>
      <c r="V4">
        <f>U4/S4</f>
        <v>25.948287796601811</v>
      </c>
      <c r="W4">
        <f>U4*0.33/0.8</f>
        <v>171.25869945757194</v>
      </c>
      <c r="X4">
        <f>W4/S4</f>
        <v>10.703668716098246</v>
      </c>
      <c r="Z4">
        <v>1</v>
      </c>
      <c r="AA4">
        <v>242</v>
      </c>
      <c r="AB4">
        <v>248</v>
      </c>
      <c r="AC4">
        <f>(AA4+AB4)/2</f>
        <v>245</v>
      </c>
      <c r="AD4">
        <v>267</v>
      </c>
      <c r="AE4">
        <v>16</v>
      </c>
      <c r="AF4">
        <f>EXP(-3.53769+1.70873*LN(AC4/10)+1.35448*LN(AD4/10))</f>
        <v>588.15459042122131</v>
      </c>
      <c r="AG4">
        <f>AF20</f>
        <v>433.30440747188402</v>
      </c>
      <c r="AH4">
        <f>AG4/AE4</f>
        <v>27.081525466992751</v>
      </c>
      <c r="AI4">
        <f>AG4*0.33/0.8</f>
        <v>178.73806808215215</v>
      </c>
      <c r="AJ4">
        <f>AI4/AE4</f>
        <v>11.17112925513451</v>
      </c>
      <c r="AL4">
        <v>573</v>
      </c>
      <c r="AM4">
        <v>592.5</v>
      </c>
      <c r="AO4">
        <f>AM4+AN4</f>
        <v>592.5</v>
      </c>
      <c r="AP4">
        <f>AO4/$A$34</f>
        <v>1.4552376274100456</v>
      </c>
      <c r="AR4">
        <v>744</v>
      </c>
      <c r="AS4">
        <v>691.5</v>
      </c>
      <c r="AT4">
        <v>-11.1</v>
      </c>
      <c r="AU4">
        <f>AS4+AT4</f>
        <v>680.4</v>
      </c>
      <c r="AV4">
        <f>AU4/($A$34-((-AT4)/2.65))</f>
        <v>1.6884995282566098</v>
      </c>
    </row>
    <row r="5" spans="1:48" x14ac:dyDescent="0.15">
      <c r="A5">
        <v>2</v>
      </c>
      <c r="B5">
        <v>91</v>
      </c>
      <c r="C5">
        <v>89</v>
      </c>
      <c r="D5">
        <f t="shared" ref="D5:D15" si="1">(B5+C5)/2</f>
        <v>90</v>
      </c>
      <c r="E5">
        <v>112</v>
      </c>
      <c r="G5">
        <f t="shared" si="0"/>
        <v>32.755813129419515</v>
      </c>
      <c r="N5">
        <v>2</v>
      </c>
      <c r="O5">
        <v>208</v>
      </c>
      <c r="P5">
        <v>204</v>
      </c>
      <c r="Q5">
        <f t="shared" ref="Q5:Q22" si="2">(O5+P5)/2</f>
        <v>206</v>
      </c>
      <c r="R5">
        <v>254</v>
      </c>
      <c r="T5">
        <f t="shared" ref="T5:T22" si="3">EXP(-3.53769+1.70873*LN(Q5/10)+1.35448*LN(R5/10))</f>
        <v>408.75611452281362</v>
      </c>
      <c r="Z5">
        <v>2</v>
      </c>
      <c r="AA5">
        <v>174</v>
      </c>
      <c r="AB5">
        <v>178</v>
      </c>
      <c r="AC5">
        <f t="shared" ref="AC5:AC17" si="4">(AA5+AB5)/2</f>
        <v>176</v>
      </c>
      <c r="AD5">
        <v>237</v>
      </c>
      <c r="AF5">
        <f t="shared" ref="AF5:AF17" si="5">EXP(-3.53769+1.70873*LN(AC5/10)+1.35448*LN(AD5/10))</f>
        <v>284.39028397182943</v>
      </c>
      <c r="AL5">
        <v>741</v>
      </c>
      <c r="AM5">
        <v>604.4</v>
      </c>
      <c r="AO5">
        <f t="shared" ref="AO5:AO13" si="6">AM5+AN5</f>
        <v>604.4</v>
      </c>
      <c r="AP5">
        <f t="shared" ref="AP5:AP13" si="7">AO5/$A$34</f>
        <v>1.4844651848213191</v>
      </c>
      <c r="AR5">
        <v>677</v>
      </c>
      <c r="AS5">
        <v>714.5</v>
      </c>
      <c r="AU5">
        <f t="shared" ref="AU5:AU13" si="8">AS5+AT5</f>
        <v>714.5</v>
      </c>
      <c r="AV5">
        <f t="shared" ref="AV5:AV13" si="9">AU5/$A$34</f>
        <v>1.7548814933071351</v>
      </c>
    </row>
    <row r="6" spans="1:48" x14ac:dyDescent="0.15">
      <c r="A6">
        <v>3</v>
      </c>
      <c r="B6">
        <v>324</v>
      </c>
      <c r="C6">
        <v>343</v>
      </c>
      <c r="D6">
        <f t="shared" si="1"/>
        <v>333.5</v>
      </c>
      <c r="E6">
        <v>272</v>
      </c>
      <c r="G6">
        <f t="shared" si="0"/>
        <v>1021.5395727651637</v>
      </c>
      <c r="N6">
        <v>3</v>
      </c>
      <c r="O6">
        <v>253</v>
      </c>
      <c r="P6">
        <v>256</v>
      </c>
      <c r="Q6">
        <f t="shared" si="2"/>
        <v>254.5</v>
      </c>
      <c r="R6">
        <v>253</v>
      </c>
      <c r="T6">
        <f t="shared" si="3"/>
        <v>583.49928680993366</v>
      </c>
      <c r="Z6">
        <v>3</v>
      </c>
      <c r="AA6">
        <v>235</v>
      </c>
      <c r="AB6">
        <v>250</v>
      </c>
      <c r="AC6">
        <f t="shared" si="4"/>
        <v>242.5</v>
      </c>
      <c r="AD6">
        <v>264</v>
      </c>
      <c r="AF6">
        <f t="shared" si="5"/>
        <v>569.15864620631396</v>
      </c>
      <c r="AL6">
        <v>565</v>
      </c>
      <c r="AM6">
        <v>498.7</v>
      </c>
      <c r="AO6">
        <f t="shared" si="6"/>
        <v>498.7</v>
      </c>
      <c r="AP6">
        <f t="shared" si="7"/>
        <v>1.2248557042858899</v>
      </c>
      <c r="AR6">
        <v>748</v>
      </c>
      <c r="AS6">
        <v>730.2</v>
      </c>
      <c r="AU6">
        <f t="shared" si="8"/>
        <v>730.2</v>
      </c>
      <c r="AV6">
        <f t="shared" si="9"/>
        <v>1.7934422203119245</v>
      </c>
    </row>
    <row r="7" spans="1:48" x14ac:dyDescent="0.15">
      <c r="A7">
        <v>4</v>
      </c>
      <c r="B7">
        <v>274</v>
      </c>
      <c r="C7">
        <v>291</v>
      </c>
      <c r="D7">
        <f t="shared" si="1"/>
        <v>282.5</v>
      </c>
      <c r="E7">
        <v>272</v>
      </c>
      <c r="G7">
        <f t="shared" si="0"/>
        <v>769.29764542639145</v>
      </c>
      <c r="N7">
        <v>4</v>
      </c>
      <c r="O7">
        <v>256</v>
      </c>
      <c r="P7">
        <v>266</v>
      </c>
      <c r="Q7">
        <f t="shared" si="2"/>
        <v>261</v>
      </c>
      <c r="R7">
        <v>266</v>
      </c>
      <c r="T7">
        <f t="shared" si="3"/>
        <v>651.97443641976213</v>
      </c>
      <c r="Z7">
        <v>4</v>
      </c>
      <c r="AA7">
        <v>359</v>
      </c>
      <c r="AB7">
        <v>335</v>
      </c>
      <c r="AC7">
        <f t="shared" si="4"/>
        <v>347</v>
      </c>
      <c r="AD7">
        <v>269</v>
      </c>
      <c r="AF7">
        <f t="shared" si="5"/>
        <v>1076.90850284459</v>
      </c>
      <c r="AL7">
        <v>577</v>
      </c>
      <c r="AM7">
        <v>436.6</v>
      </c>
      <c r="AO7">
        <f t="shared" si="6"/>
        <v>436.6</v>
      </c>
      <c r="AP7">
        <f t="shared" si="7"/>
        <v>1.0723320643497483</v>
      </c>
      <c r="AR7">
        <v>247</v>
      </c>
      <c r="AS7">
        <v>714.5</v>
      </c>
      <c r="AU7">
        <f t="shared" si="8"/>
        <v>714.5</v>
      </c>
      <c r="AV7">
        <f t="shared" si="9"/>
        <v>1.7548814933071351</v>
      </c>
    </row>
    <row r="8" spans="1:48" x14ac:dyDescent="0.15">
      <c r="A8">
        <v>5</v>
      </c>
      <c r="B8">
        <v>173</v>
      </c>
      <c r="C8">
        <v>177</v>
      </c>
      <c r="D8">
        <f t="shared" si="1"/>
        <v>175</v>
      </c>
      <c r="E8">
        <v>210</v>
      </c>
      <c r="G8">
        <f t="shared" si="0"/>
        <v>239.07642309401925</v>
      </c>
      <c r="N8">
        <v>5</v>
      </c>
      <c r="O8">
        <v>159</v>
      </c>
      <c r="P8">
        <v>159</v>
      </c>
      <c r="Q8">
        <f t="shared" si="2"/>
        <v>159</v>
      </c>
      <c r="R8">
        <v>200</v>
      </c>
      <c r="T8">
        <f t="shared" si="3"/>
        <v>189.96919005219107</v>
      </c>
      <c r="Z8">
        <v>5</v>
      </c>
      <c r="AA8">
        <v>205</v>
      </c>
      <c r="AB8">
        <v>208</v>
      </c>
      <c r="AC8">
        <f t="shared" si="4"/>
        <v>206.5</v>
      </c>
      <c r="AD8">
        <v>233</v>
      </c>
      <c r="AF8">
        <f t="shared" si="5"/>
        <v>365.17442113257721</v>
      </c>
      <c r="AL8">
        <v>572</v>
      </c>
      <c r="AM8">
        <v>620.6</v>
      </c>
      <c r="AO8">
        <f t="shared" si="6"/>
        <v>620.6</v>
      </c>
      <c r="AP8">
        <f t="shared" si="7"/>
        <v>1.5242539604568341</v>
      </c>
      <c r="AR8">
        <v>466</v>
      </c>
      <c r="AS8">
        <v>698.7</v>
      </c>
      <c r="AU8">
        <f t="shared" si="8"/>
        <v>698.7</v>
      </c>
      <c r="AV8">
        <f t="shared" si="9"/>
        <v>1.7160751565762007</v>
      </c>
    </row>
    <row r="9" spans="1:48" x14ac:dyDescent="0.15">
      <c r="A9">
        <v>6</v>
      </c>
      <c r="B9">
        <v>139</v>
      </c>
      <c r="C9">
        <v>139</v>
      </c>
      <c r="D9">
        <f t="shared" si="1"/>
        <v>139</v>
      </c>
      <c r="E9">
        <v>207</v>
      </c>
      <c r="G9">
        <f t="shared" si="0"/>
        <v>158.18305085640114</v>
      </c>
      <c r="N9">
        <v>6</v>
      </c>
      <c r="O9">
        <v>200</v>
      </c>
      <c r="P9">
        <v>189</v>
      </c>
      <c r="Q9">
        <f t="shared" si="2"/>
        <v>194.5</v>
      </c>
      <c r="R9">
        <v>234</v>
      </c>
      <c r="T9">
        <f t="shared" si="3"/>
        <v>331.58268706592179</v>
      </c>
      <c r="Z9">
        <v>6</v>
      </c>
      <c r="AA9">
        <v>61</v>
      </c>
      <c r="AB9">
        <v>62</v>
      </c>
      <c r="AC9">
        <f t="shared" si="4"/>
        <v>61.5</v>
      </c>
      <c r="AD9">
        <v>77</v>
      </c>
      <c r="AF9">
        <f t="shared" si="5"/>
        <v>10.287486737324604</v>
      </c>
      <c r="AL9">
        <v>756</v>
      </c>
      <c r="AM9">
        <v>616.4</v>
      </c>
      <c r="AO9">
        <f t="shared" si="6"/>
        <v>616.4</v>
      </c>
      <c r="AP9">
        <f t="shared" si="7"/>
        <v>1.5139383519587375</v>
      </c>
      <c r="AR9">
        <v>474</v>
      </c>
      <c r="AS9">
        <v>706.3</v>
      </c>
      <c r="AU9">
        <f t="shared" si="8"/>
        <v>706.3</v>
      </c>
      <c r="AV9">
        <f t="shared" si="9"/>
        <v>1.7347414957632321</v>
      </c>
    </row>
    <row r="10" spans="1:48" x14ac:dyDescent="0.15">
      <c r="A10">
        <v>7</v>
      </c>
      <c r="B10">
        <v>218</v>
      </c>
      <c r="C10">
        <v>209</v>
      </c>
      <c r="D10">
        <f t="shared" si="1"/>
        <v>213.5</v>
      </c>
      <c r="E10">
        <v>259</v>
      </c>
      <c r="G10">
        <f t="shared" si="0"/>
        <v>446.13783679632928</v>
      </c>
      <c r="N10">
        <v>7</v>
      </c>
      <c r="O10">
        <v>210</v>
      </c>
      <c r="P10">
        <v>209</v>
      </c>
      <c r="Q10">
        <f t="shared" si="2"/>
        <v>209.5</v>
      </c>
      <c r="R10">
        <v>245</v>
      </c>
      <c r="T10">
        <f t="shared" si="3"/>
        <v>400.63161268819698</v>
      </c>
      <c r="Z10">
        <v>7</v>
      </c>
      <c r="AA10">
        <v>204</v>
      </c>
      <c r="AB10">
        <v>203</v>
      </c>
      <c r="AC10">
        <f t="shared" si="4"/>
        <v>203.5</v>
      </c>
      <c r="AD10">
        <v>250</v>
      </c>
      <c r="AF10">
        <f t="shared" si="5"/>
        <v>391.8012413530551</v>
      </c>
      <c r="AL10">
        <v>568</v>
      </c>
      <c r="AM10">
        <v>561.4</v>
      </c>
      <c r="AO10">
        <f t="shared" si="6"/>
        <v>561.4</v>
      </c>
      <c r="AP10">
        <f t="shared" si="7"/>
        <v>1.3788530025789021</v>
      </c>
      <c r="AR10">
        <v>745</v>
      </c>
      <c r="AS10">
        <v>705.4</v>
      </c>
      <c r="AU10">
        <f t="shared" si="8"/>
        <v>705.4</v>
      </c>
      <c r="AV10">
        <f t="shared" si="9"/>
        <v>1.7325310082279259</v>
      </c>
    </row>
    <row r="11" spans="1:48" x14ac:dyDescent="0.15">
      <c r="A11">
        <v>8</v>
      </c>
      <c r="B11">
        <v>265</v>
      </c>
      <c r="C11">
        <v>264</v>
      </c>
      <c r="D11">
        <f t="shared" si="1"/>
        <v>264.5</v>
      </c>
      <c r="E11">
        <v>251</v>
      </c>
      <c r="G11">
        <f t="shared" si="0"/>
        <v>616.55559416813946</v>
      </c>
      <c r="N11">
        <v>8</v>
      </c>
      <c r="O11">
        <v>95</v>
      </c>
      <c r="P11">
        <v>82</v>
      </c>
      <c r="Q11">
        <f t="shared" si="2"/>
        <v>88.5</v>
      </c>
      <c r="R11">
        <v>101</v>
      </c>
      <c r="T11">
        <f t="shared" si="3"/>
        <v>27.669693192444015</v>
      </c>
      <c r="Z11">
        <v>8</v>
      </c>
      <c r="AA11">
        <v>225</v>
      </c>
      <c r="AB11">
        <v>223</v>
      </c>
      <c r="AC11">
        <f t="shared" si="4"/>
        <v>224</v>
      </c>
      <c r="AD11">
        <v>257</v>
      </c>
      <c r="AF11">
        <f t="shared" si="5"/>
        <v>479.22147062660054</v>
      </c>
      <c r="AL11">
        <v>571</v>
      </c>
      <c r="AM11">
        <v>575.1</v>
      </c>
      <c r="AN11">
        <v>-19.7</v>
      </c>
      <c r="AO11">
        <f t="shared" si="6"/>
        <v>555.4</v>
      </c>
      <c r="AP11">
        <f>AO11/($A$34-((-AN11)/2.65))</f>
        <v>1.3894864042634039</v>
      </c>
      <c r="AR11">
        <v>676</v>
      </c>
      <c r="AS11">
        <v>717.6</v>
      </c>
      <c r="AU11">
        <f t="shared" si="8"/>
        <v>717.6</v>
      </c>
      <c r="AV11">
        <f t="shared" si="9"/>
        <v>1.762495394817635</v>
      </c>
    </row>
    <row r="12" spans="1:48" x14ac:dyDescent="0.15">
      <c r="A12">
        <v>9</v>
      </c>
      <c r="B12">
        <v>263</v>
      </c>
      <c r="C12">
        <v>233</v>
      </c>
      <c r="D12">
        <f t="shared" si="1"/>
        <v>248</v>
      </c>
      <c r="E12">
        <v>264</v>
      </c>
      <c r="G12">
        <f t="shared" si="0"/>
        <v>591.39311172957798</v>
      </c>
      <c r="N12">
        <v>9</v>
      </c>
      <c r="O12">
        <v>252</v>
      </c>
      <c r="P12">
        <v>240</v>
      </c>
      <c r="Q12">
        <f t="shared" si="2"/>
        <v>246</v>
      </c>
      <c r="R12">
        <v>248</v>
      </c>
      <c r="T12">
        <f t="shared" si="3"/>
        <v>535.90796583122551</v>
      </c>
      <c r="Z12">
        <v>9</v>
      </c>
      <c r="AA12">
        <v>130</v>
      </c>
      <c r="AB12">
        <v>119</v>
      </c>
      <c r="AC12">
        <f t="shared" si="4"/>
        <v>124.5</v>
      </c>
      <c r="AD12">
        <v>120</v>
      </c>
      <c r="AF12">
        <f t="shared" si="5"/>
        <v>62.615073445877925</v>
      </c>
      <c r="AL12">
        <v>575</v>
      </c>
      <c r="AM12">
        <v>661</v>
      </c>
      <c r="AO12">
        <f t="shared" si="6"/>
        <v>661</v>
      </c>
      <c r="AP12">
        <f t="shared" si="7"/>
        <v>1.6234802898194769</v>
      </c>
      <c r="AR12">
        <v>477</v>
      </c>
      <c r="AS12">
        <v>731.7</v>
      </c>
      <c r="AU12">
        <f t="shared" si="8"/>
        <v>731.7</v>
      </c>
      <c r="AV12">
        <f t="shared" si="9"/>
        <v>1.7971263662041019</v>
      </c>
    </row>
    <row r="13" spans="1:48" x14ac:dyDescent="0.15">
      <c r="A13">
        <v>10</v>
      </c>
      <c r="B13">
        <v>83</v>
      </c>
      <c r="C13">
        <v>83</v>
      </c>
      <c r="D13">
        <f t="shared" si="1"/>
        <v>83</v>
      </c>
      <c r="E13">
        <v>130</v>
      </c>
      <c r="G13">
        <f t="shared" si="0"/>
        <v>34.903666866705883</v>
      </c>
      <c r="N13">
        <v>10</v>
      </c>
      <c r="O13">
        <v>64</v>
      </c>
      <c r="P13">
        <v>68</v>
      </c>
      <c r="Q13">
        <f t="shared" si="2"/>
        <v>66</v>
      </c>
      <c r="R13">
        <v>73</v>
      </c>
      <c r="T13">
        <f t="shared" si="3"/>
        <v>10.797758523604243</v>
      </c>
      <c r="Z13">
        <v>10</v>
      </c>
      <c r="AA13">
        <v>162</v>
      </c>
      <c r="AB13">
        <v>157</v>
      </c>
      <c r="AC13">
        <f t="shared" si="4"/>
        <v>159.5</v>
      </c>
      <c r="AD13">
        <v>169</v>
      </c>
      <c r="AF13">
        <f t="shared" si="5"/>
        <v>152.03444999984578</v>
      </c>
      <c r="AL13">
        <v>752</v>
      </c>
      <c r="AM13">
        <v>603</v>
      </c>
      <c r="AO13">
        <f t="shared" si="6"/>
        <v>603</v>
      </c>
      <c r="AP13">
        <f t="shared" si="7"/>
        <v>1.4810266486552868</v>
      </c>
      <c r="AR13">
        <v>749</v>
      </c>
      <c r="AS13">
        <v>728.2</v>
      </c>
      <c r="AU13">
        <f t="shared" si="8"/>
        <v>728.2</v>
      </c>
      <c r="AV13">
        <f t="shared" si="9"/>
        <v>1.7885300257890215</v>
      </c>
    </row>
    <row r="14" spans="1:48" x14ac:dyDescent="0.15">
      <c r="A14">
        <v>11</v>
      </c>
      <c r="B14">
        <v>79</v>
      </c>
      <c r="C14">
        <v>74</v>
      </c>
      <c r="D14">
        <f t="shared" si="1"/>
        <v>76.5</v>
      </c>
      <c r="E14">
        <v>107</v>
      </c>
      <c r="G14">
        <f t="shared" si="0"/>
        <v>23.324873528483383</v>
      </c>
      <c r="N14">
        <v>11</v>
      </c>
      <c r="O14">
        <v>52</v>
      </c>
      <c r="P14">
        <v>59</v>
      </c>
      <c r="Q14">
        <f t="shared" si="2"/>
        <v>55.5</v>
      </c>
      <c r="R14">
        <v>74</v>
      </c>
      <c r="T14">
        <f t="shared" si="3"/>
        <v>8.1800033797187588</v>
      </c>
      <c r="Z14">
        <v>11</v>
      </c>
      <c r="AA14">
        <v>204</v>
      </c>
      <c r="AB14">
        <v>200</v>
      </c>
      <c r="AC14">
        <f t="shared" si="4"/>
        <v>202</v>
      </c>
      <c r="AD14">
        <v>243</v>
      </c>
      <c r="AF14">
        <f t="shared" si="5"/>
        <v>372.28006862180814</v>
      </c>
    </row>
    <row r="15" spans="1:48" x14ac:dyDescent="0.15">
      <c r="A15">
        <v>12</v>
      </c>
      <c r="B15">
        <v>174</v>
      </c>
      <c r="C15">
        <v>177</v>
      </c>
      <c r="D15">
        <f t="shared" si="1"/>
        <v>175.5</v>
      </c>
      <c r="E15">
        <v>224</v>
      </c>
      <c r="G15">
        <f t="shared" si="0"/>
        <v>262.19133497366954</v>
      </c>
      <c r="N15">
        <v>12</v>
      </c>
      <c r="O15">
        <v>136</v>
      </c>
      <c r="P15">
        <v>136</v>
      </c>
      <c r="Q15">
        <f t="shared" si="2"/>
        <v>136</v>
      </c>
      <c r="R15">
        <v>195</v>
      </c>
      <c r="T15">
        <f t="shared" si="3"/>
        <v>140.55256434751146</v>
      </c>
      <c r="Z15">
        <v>12</v>
      </c>
      <c r="AA15">
        <v>304</v>
      </c>
      <c r="AB15">
        <v>305</v>
      </c>
      <c r="AC15">
        <f t="shared" si="4"/>
        <v>304.5</v>
      </c>
      <c r="AD15">
        <v>296</v>
      </c>
      <c r="AF15">
        <f t="shared" si="5"/>
        <v>980.58686839397637</v>
      </c>
      <c r="AP15">
        <f>AVERAGE(AP4:AP13)</f>
        <v>1.4147929238599644</v>
      </c>
      <c r="AV15">
        <f>AVERAGE(AV4:AV13)</f>
        <v>1.7523204182560921</v>
      </c>
    </row>
    <row r="16" spans="1:48" x14ac:dyDescent="0.15">
      <c r="N16">
        <v>13</v>
      </c>
      <c r="O16">
        <v>211</v>
      </c>
      <c r="P16">
        <v>216</v>
      </c>
      <c r="Q16">
        <f t="shared" si="2"/>
        <v>213.5</v>
      </c>
      <c r="R16">
        <v>255</v>
      </c>
      <c r="T16">
        <f t="shared" si="3"/>
        <v>436.83088485725244</v>
      </c>
      <c r="Z16">
        <v>13</v>
      </c>
      <c r="AA16">
        <v>260</v>
      </c>
      <c r="AB16">
        <v>237</v>
      </c>
      <c r="AC16">
        <f t="shared" si="4"/>
        <v>248.5</v>
      </c>
      <c r="AD16">
        <v>269</v>
      </c>
      <c r="AF16">
        <f t="shared" si="5"/>
        <v>608.70615075394664</v>
      </c>
    </row>
    <row r="17" spans="1:35" x14ac:dyDescent="0.15">
      <c r="D17" s="107" t="s">
        <v>357</v>
      </c>
      <c r="E17" s="107"/>
      <c r="F17" s="107"/>
      <c r="G17" s="107">
        <f>SUM(G4:G15)</f>
        <v>5248.3201706281116</v>
      </c>
      <c r="H17" s="107" t="s">
        <v>330</v>
      </c>
      <c r="I17" s="107">
        <f>PI()*7^2</f>
        <v>153.93804002589985</v>
      </c>
      <c r="J17" s="107" t="s">
        <v>326</v>
      </c>
      <c r="N17">
        <v>14</v>
      </c>
      <c r="O17">
        <v>126</v>
      </c>
      <c r="P17">
        <v>131</v>
      </c>
      <c r="Q17">
        <f t="shared" si="2"/>
        <v>128.5</v>
      </c>
      <c r="R17">
        <v>149</v>
      </c>
      <c r="T17">
        <f t="shared" si="3"/>
        <v>88.608244512604983</v>
      </c>
      <c r="Z17">
        <v>14</v>
      </c>
      <c r="AA17">
        <v>276</v>
      </c>
      <c r="AB17">
        <v>259</v>
      </c>
      <c r="AC17">
        <f t="shared" si="4"/>
        <v>267.5</v>
      </c>
      <c r="AD17">
        <v>280</v>
      </c>
      <c r="AF17">
        <f t="shared" si="5"/>
        <v>728.88386757160299</v>
      </c>
    </row>
    <row r="18" spans="1:35" x14ac:dyDescent="0.15">
      <c r="D18" s="107" t="s">
        <v>365</v>
      </c>
      <c r="E18" s="107"/>
      <c r="F18" s="107"/>
      <c r="G18" s="107">
        <f>(G17*I18)/I17/1000</f>
        <v>340.93718289157704</v>
      </c>
      <c r="H18" s="107" t="s">
        <v>360</v>
      </c>
      <c r="I18" s="107">
        <v>10000</v>
      </c>
      <c r="J18" s="107" t="s">
        <v>326</v>
      </c>
      <c r="N18">
        <v>15</v>
      </c>
      <c r="O18">
        <v>134</v>
      </c>
      <c r="P18">
        <v>123</v>
      </c>
      <c r="Q18">
        <f t="shared" si="2"/>
        <v>128.5</v>
      </c>
      <c r="R18">
        <v>168</v>
      </c>
      <c r="T18">
        <f t="shared" si="3"/>
        <v>104.24943539788819</v>
      </c>
    </row>
    <row r="19" spans="1:35" x14ac:dyDescent="0.15">
      <c r="A19" t="s">
        <v>268</v>
      </c>
      <c r="N19">
        <v>16</v>
      </c>
      <c r="O19">
        <v>221</v>
      </c>
      <c r="P19">
        <v>229</v>
      </c>
      <c r="Q19">
        <f t="shared" si="2"/>
        <v>225</v>
      </c>
      <c r="R19">
        <v>269</v>
      </c>
      <c r="T19">
        <f t="shared" si="3"/>
        <v>513.6726665027943</v>
      </c>
      <c r="AC19" s="107" t="s">
        <v>357</v>
      </c>
      <c r="AD19" s="107"/>
      <c r="AE19" s="107"/>
      <c r="AF19" s="107">
        <f>SUM(AF4:AF17)</f>
        <v>6670.2031220805702</v>
      </c>
      <c r="AG19" s="107" t="s">
        <v>330</v>
      </c>
      <c r="AH19" s="107">
        <f>PI()*7^2</f>
        <v>153.93804002589985</v>
      </c>
      <c r="AI19" s="107" t="s">
        <v>326</v>
      </c>
    </row>
    <row r="20" spans="1:35" x14ac:dyDescent="0.15">
      <c r="E20" s="76" t="s">
        <v>601</v>
      </c>
      <c r="N20">
        <v>17</v>
      </c>
      <c r="O20">
        <v>289</v>
      </c>
      <c r="P20">
        <v>285</v>
      </c>
      <c r="Q20">
        <f t="shared" si="2"/>
        <v>287</v>
      </c>
      <c r="R20">
        <v>269</v>
      </c>
      <c r="T20">
        <f t="shared" si="3"/>
        <v>778.57087941854297</v>
      </c>
      <c r="AC20" s="107" t="s">
        <v>365</v>
      </c>
      <c r="AD20" s="107"/>
      <c r="AE20" s="107"/>
      <c r="AF20" s="107">
        <f>(AF19*AH20)/AH19/1000</f>
        <v>433.30440747188402</v>
      </c>
      <c r="AG20" s="107" t="s">
        <v>360</v>
      </c>
      <c r="AH20" s="107">
        <v>10000</v>
      </c>
      <c r="AI20" s="107" t="s">
        <v>326</v>
      </c>
    </row>
    <row r="21" spans="1:35" x14ac:dyDescent="0.15">
      <c r="A21" t="s">
        <v>228</v>
      </c>
      <c r="B21" t="s">
        <v>229</v>
      </c>
      <c r="C21" t="s">
        <v>230</v>
      </c>
      <c r="D21" t="s">
        <v>382</v>
      </c>
      <c r="E21" t="s">
        <v>231</v>
      </c>
      <c r="N21">
        <v>18</v>
      </c>
      <c r="O21">
        <v>110</v>
      </c>
      <c r="P21">
        <v>115</v>
      </c>
      <c r="Q21">
        <f t="shared" si="2"/>
        <v>112.5</v>
      </c>
      <c r="R21">
        <v>126</v>
      </c>
      <c r="T21">
        <f t="shared" si="3"/>
        <v>56.255695710723757</v>
      </c>
    </row>
    <row r="22" spans="1:35" x14ac:dyDescent="0.15">
      <c r="A22">
        <v>578</v>
      </c>
      <c r="B22">
        <v>556</v>
      </c>
      <c r="D22">
        <f>B22+C22</f>
        <v>556</v>
      </c>
      <c r="E22">
        <f>D22/($A$34-((-C22)/2.65))</f>
        <v>1.3655900773670637</v>
      </c>
      <c r="N22">
        <v>19</v>
      </c>
      <c r="O22">
        <v>230</v>
      </c>
      <c r="P22">
        <v>216</v>
      </c>
      <c r="Q22">
        <f t="shared" si="2"/>
        <v>223</v>
      </c>
      <c r="R22">
        <v>258</v>
      </c>
      <c r="T22">
        <f t="shared" si="3"/>
        <v>478.07978697572315</v>
      </c>
    </row>
    <row r="23" spans="1:35" x14ac:dyDescent="0.15">
      <c r="A23">
        <v>248</v>
      </c>
      <c r="B23">
        <v>589.6</v>
      </c>
      <c r="D23">
        <f t="shared" ref="D23:D31" si="10">B23+C23</f>
        <v>589.6</v>
      </c>
      <c r="E23">
        <f t="shared" ref="E23:E31" si="11">D23/($A$34-((-C23)/2.65))</f>
        <v>1.448114945351836</v>
      </c>
    </row>
    <row r="24" spans="1:35" x14ac:dyDescent="0.15">
      <c r="A24">
        <v>656</v>
      </c>
      <c r="B24">
        <v>523.5</v>
      </c>
      <c r="D24">
        <f t="shared" si="10"/>
        <v>523.5</v>
      </c>
      <c r="E24">
        <f t="shared" si="11"/>
        <v>1.2857669163698884</v>
      </c>
      <c r="Q24" s="107" t="s">
        <v>357</v>
      </c>
      <c r="R24" s="107"/>
      <c r="S24" s="107"/>
      <c r="T24" s="107">
        <f>SUM(T4:T22)</f>
        <v>6391.0857046989731</v>
      </c>
      <c r="U24" s="107" t="s">
        <v>330</v>
      </c>
      <c r="V24" s="107">
        <f>PI()*7^2</f>
        <v>153.93804002589985</v>
      </c>
      <c r="W24" s="107" t="s">
        <v>326</v>
      </c>
    </row>
    <row r="25" spans="1:35" x14ac:dyDescent="0.15">
      <c r="A25">
        <v>671</v>
      </c>
      <c r="B25">
        <v>558.6</v>
      </c>
      <c r="C25">
        <v>-18.3</v>
      </c>
      <c r="D25">
        <f t="shared" si="10"/>
        <v>540.30000000000007</v>
      </c>
      <c r="E25">
        <f t="shared" si="11"/>
        <v>1.349925399343326</v>
      </c>
      <c r="Q25" s="107" t="s">
        <v>365</v>
      </c>
      <c r="R25" s="107"/>
      <c r="S25" s="107"/>
      <c r="T25" s="107">
        <f>(T24*V25)/V24/1000</f>
        <v>415.17260474562897</v>
      </c>
      <c r="U25" s="107" t="s">
        <v>360</v>
      </c>
      <c r="V25" s="107">
        <v>10000</v>
      </c>
      <c r="W25" s="107" t="s">
        <v>326</v>
      </c>
    </row>
    <row r="26" spans="1:35" x14ac:dyDescent="0.15">
      <c r="A26">
        <v>675</v>
      </c>
      <c r="B26">
        <v>631.20000000000005</v>
      </c>
      <c r="C26">
        <v>-55.5</v>
      </c>
      <c r="D26">
        <f t="shared" si="10"/>
        <v>575.70000000000005</v>
      </c>
      <c r="E26">
        <f t="shared" si="11"/>
        <v>1.4906529157577699</v>
      </c>
      <c r="N26" t="s">
        <v>270</v>
      </c>
    </row>
    <row r="27" spans="1:35" x14ac:dyDescent="0.15">
      <c r="A27">
        <v>576</v>
      </c>
      <c r="B27">
        <v>600</v>
      </c>
      <c r="D27">
        <f t="shared" si="10"/>
        <v>600</v>
      </c>
      <c r="E27">
        <f t="shared" si="11"/>
        <v>1.4736583568709323</v>
      </c>
      <c r="R27" s="76" t="s">
        <v>601</v>
      </c>
    </row>
    <row r="28" spans="1:35" x14ac:dyDescent="0.15">
      <c r="A28">
        <v>680</v>
      </c>
      <c r="B28">
        <v>634.29999999999995</v>
      </c>
      <c r="C28">
        <v>-173.1</v>
      </c>
      <c r="D28">
        <f t="shared" si="10"/>
        <v>461.19999999999993</v>
      </c>
      <c r="E28">
        <f t="shared" si="11"/>
        <v>1.3492116498638014</v>
      </c>
      <c r="N28" t="s">
        <v>228</v>
      </c>
      <c r="O28" t="s">
        <v>229</v>
      </c>
      <c r="P28" t="s">
        <v>230</v>
      </c>
      <c r="Q28" t="s">
        <v>382</v>
      </c>
      <c r="R28" t="s">
        <v>231</v>
      </c>
      <c r="Z28" t="s">
        <v>272</v>
      </c>
    </row>
    <row r="29" spans="1:35" x14ac:dyDescent="0.15">
      <c r="A29">
        <v>649</v>
      </c>
      <c r="B29">
        <v>597.29999999999995</v>
      </c>
      <c r="D29">
        <f t="shared" si="10"/>
        <v>597.29999999999995</v>
      </c>
      <c r="E29">
        <f t="shared" si="11"/>
        <v>1.4670268942650129</v>
      </c>
      <c r="N29">
        <v>252</v>
      </c>
      <c r="O29">
        <v>587.4</v>
      </c>
      <c r="Q29">
        <f>O29+P29</f>
        <v>587.4</v>
      </c>
      <c r="R29">
        <f>Q29/$A$34</f>
        <v>1.4427115313766425</v>
      </c>
      <c r="AD29" s="76" t="s">
        <v>601</v>
      </c>
    </row>
    <row r="30" spans="1:35" x14ac:dyDescent="0.15">
      <c r="A30">
        <v>467</v>
      </c>
      <c r="B30">
        <v>547.79999999999995</v>
      </c>
      <c r="D30">
        <f t="shared" si="10"/>
        <v>547.79999999999995</v>
      </c>
      <c r="E30">
        <f t="shared" si="11"/>
        <v>1.345450079823161</v>
      </c>
      <c r="N30">
        <v>563</v>
      </c>
      <c r="O30">
        <v>597.70000000000005</v>
      </c>
      <c r="Q30">
        <f t="shared" ref="Q30:Q38" si="12">O30+P30</f>
        <v>597.70000000000005</v>
      </c>
      <c r="R30">
        <f t="shared" ref="R30:R37" si="13">Q30/$A$34</f>
        <v>1.4680093331695938</v>
      </c>
      <c r="Z30" t="s">
        <v>228</v>
      </c>
      <c r="AA30" t="s">
        <v>229</v>
      </c>
      <c r="AB30" t="s">
        <v>230</v>
      </c>
      <c r="AC30" t="s">
        <v>382</v>
      </c>
      <c r="AD30" t="s">
        <v>231</v>
      </c>
    </row>
    <row r="31" spans="1:35" x14ac:dyDescent="0.15">
      <c r="A31">
        <v>648</v>
      </c>
      <c r="B31">
        <v>584.29999999999995</v>
      </c>
      <c r="C31">
        <v>-10.5</v>
      </c>
      <c r="D31">
        <f t="shared" si="10"/>
        <v>573.79999999999995</v>
      </c>
      <c r="E31">
        <f t="shared" si="11"/>
        <v>1.42315836763154</v>
      </c>
      <c r="N31">
        <v>249</v>
      </c>
      <c r="O31">
        <v>609.70000000000005</v>
      </c>
      <c r="Q31">
        <f t="shared" si="12"/>
        <v>609.70000000000005</v>
      </c>
      <c r="R31">
        <f t="shared" si="13"/>
        <v>1.4974825003070122</v>
      </c>
      <c r="Z31">
        <v>678</v>
      </c>
      <c r="AA31">
        <v>589.6</v>
      </c>
      <c r="AB31">
        <v>-19.899999999999999</v>
      </c>
      <c r="AC31">
        <f>AA31+AB31</f>
        <v>569.70000000000005</v>
      </c>
      <c r="AD31">
        <f>AC31/($A$34-((-AB31)/2.65))</f>
        <v>1.4255309606037503</v>
      </c>
    </row>
    <row r="32" spans="1:35" x14ac:dyDescent="0.15">
      <c r="N32">
        <v>755</v>
      </c>
      <c r="O32">
        <v>581.20000000000005</v>
      </c>
      <c r="Q32">
        <f t="shared" si="12"/>
        <v>581.20000000000005</v>
      </c>
      <c r="R32">
        <f t="shared" si="13"/>
        <v>1.427483728355643</v>
      </c>
      <c r="Z32">
        <v>672</v>
      </c>
      <c r="AA32">
        <v>555.29999999999995</v>
      </c>
      <c r="AC32">
        <f t="shared" ref="AC32:AC40" si="14">AA32+AB32</f>
        <v>555.29999999999995</v>
      </c>
      <c r="AD32">
        <f t="shared" ref="AD32:AD40" si="15">AC32/($A$34-((-AB32)/2.65))</f>
        <v>1.3638708092840477</v>
      </c>
    </row>
    <row r="33" spans="1:30" x14ac:dyDescent="0.15">
      <c r="A33" t="s">
        <v>383</v>
      </c>
      <c r="E33">
        <f>AVERAGE(E22:E31)</f>
        <v>1.3998555602644331</v>
      </c>
      <c r="N33">
        <v>673</v>
      </c>
      <c r="O33">
        <v>645.6</v>
      </c>
      <c r="Q33">
        <f t="shared" si="12"/>
        <v>645.6</v>
      </c>
      <c r="R33">
        <f t="shared" si="13"/>
        <v>1.585656391993123</v>
      </c>
      <c r="Z33">
        <v>751</v>
      </c>
      <c r="AA33">
        <v>544.5</v>
      </c>
      <c r="AC33">
        <f t="shared" si="14"/>
        <v>544.5</v>
      </c>
      <c r="AD33">
        <f t="shared" si="15"/>
        <v>1.337344958860371</v>
      </c>
    </row>
    <row r="34" spans="1:30" x14ac:dyDescent="0.15">
      <c r="A34">
        <v>407.15</v>
      </c>
      <c r="N34">
        <v>562</v>
      </c>
      <c r="O34">
        <v>632.20000000000005</v>
      </c>
      <c r="Q34">
        <f t="shared" si="12"/>
        <v>632.20000000000005</v>
      </c>
      <c r="R34">
        <f t="shared" si="13"/>
        <v>1.5527446886896723</v>
      </c>
      <c r="Z34">
        <v>464</v>
      </c>
      <c r="AA34">
        <v>608.4</v>
      </c>
      <c r="AC34">
        <f t="shared" si="14"/>
        <v>608.4</v>
      </c>
      <c r="AD34">
        <f t="shared" si="15"/>
        <v>1.4942895738671251</v>
      </c>
    </row>
    <row r="35" spans="1:30" x14ac:dyDescent="0.15">
      <c r="N35">
        <v>674</v>
      </c>
      <c r="O35">
        <v>584.79999999999995</v>
      </c>
      <c r="Q35">
        <f t="shared" si="12"/>
        <v>584.79999999999995</v>
      </c>
      <c r="R35">
        <f t="shared" si="13"/>
        <v>1.4363256784968685</v>
      </c>
      <c r="Z35">
        <v>574</v>
      </c>
      <c r="AA35">
        <v>522.20000000000005</v>
      </c>
      <c r="AB35">
        <v>-20.6</v>
      </c>
      <c r="AC35">
        <f t="shared" si="14"/>
        <v>501.6</v>
      </c>
      <c r="AD35">
        <f t="shared" si="15"/>
        <v>1.2559579911135048</v>
      </c>
    </row>
    <row r="36" spans="1:30" x14ac:dyDescent="0.15">
      <c r="N36">
        <v>759</v>
      </c>
      <c r="O36">
        <v>575.9</v>
      </c>
      <c r="Q36">
        <f t="shared" si="12"/>
        <v>575.9</v>
      </c>
      <c r="R36">
        <f t="shared" si="13"/>
        <v>1.4144664128699496</v>
      </c>
      <c r="Z36">
        <v>1664</v>
      </c>
      <c r="AA36">
        <v>553.6</v>
      </c>
      <c r="AC36">
        <f t="shared" si="14"/>
        <v>553.6</v>
      </c>
      <c r="AD36">
        <f t="shared" si="15"/>
        <v>1.3596954439395801</v>
      </c>
    </row>
    <row r="37" spans="1:30" x14ac:dyDescent="0.15">
      <c r="N37">
        <v>470</v>
      </c>
      <c r="O37">
        <v>626.29999999999995</v>
      </c>
      <c r="Q37">
        <f t="shared" si="12"/>
        <v>626.29999999999995</v>
      </c>
      <c r="R37">
        <f t="shared" si="13"/>
        <v>1.5382537148471078</v>
      </c>
      <c r="Z37">
        <v>570</v>
      </c>
      <c r="AA37">
        <v>562</v>
      </c>
      <c r="AC37">
        <f t="shared" si="14"/>
        <v>562</v>
      </c>
      <c r="AD37">
        <f t="shared" si="15"/>
        <v>1.3803266609357732</v>
      </c>
    </row>
    <row r="38" spans="1:30" x14ac:dyDescent="0.15">
      <c r="N38">
        <v>561</v>
      </c>
      <c r="O38">
        <v>599.20000000000005</v>
      </c>
      <c r="P38">
        <v>-51.5</v>
      </c>
      <c r="Q38">
        <f t="shared" si="12"/>
        <v>547.70000000000005</v>
      </c>
      <c r="R38">
        <f>Q38/($A$34-((-P38)/2.65))</f>
        <v>1.412631788972186</v>
      </c>
      <c r="Z38">
        <v>758</v>
      </c>
      <c r="AA38">
        <v>616.1</v>
      </c>
      <c r="AB38">
        <v>-88.1</v>
      </c>
      <c r="AC38">
        <f t="shared" si="14"/>
        <v>528</v>
      </c>
      <c r="AD38">
        <f t="shared" si="15"/>
        <v>1.4121244692043933</v>
      </c>
    </row>
    <row r="39" spans="1:30" x14ac:dyDescent="0.15">
      <c r="Z39">
        <v>641</v>
      </c>
      <c r="AA39">
        <v>612</v>
      </c>
      <c r="AC39">
        <f t="shared" si="14"/>
        <v>612</v>
      </c>
      <c r="AD39">
        <f t="shared" si="15"/>
        <v>1.5031315240083507</v>
      </c>
    </row>
    <row r="40" spans="1:30" x14ac:dyDescent="0.15">
      <c r="R40">
        <f>AVERAGE(R29:R38)</f>
        <v>1.4775765769077798</v>
      </c>
      <c r="Z40">
        <v>468</v>
      </c>
      <c r="AA40">
        <v>560.20000000000005</v>
      </c>
      <c r="AB40">
        <v>-35.1</v>
      </c>
      <c r="AC40">
        <f t="shared" si="14"/>
        <v>525.1</v>
      </c>
      <c r="AD40">
        <f t="shared" si="15"/>
        <v>1.3330634982600429</v>
      </c>
    </row>
    <row r="42" spans="1:30" x14ac:dyDescent="0.15">
      <c r="AD42">
        <f>AVERAGE(AD31:AD40)</f>
        <v>1.3865335890076937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0"/>
  <sheetViews>
    <sheetView topLeftCell="BO10" workbookViewId="0">
      <selection activeCell="BL50" sqref="BL50"/>
    </sheetView>
  </sheetViews>
  <sheetFormatPr defaultRowHeight="10.5" x14ac:dyDescent="0.15"/>
  <sheetData>
    <row r="1" spans="1:87" x14ac:dyDescent="0.15">
      <c r="A1" s="77" t="s">
        <v>276</v>
      </c>
      <c r="B1" s="77"/>
      <c r="C1" s="77"/>
      <c r="D1" s="77"/>
      <c r="E1" s="77"/>
      <c r="L1" s="77"/>
      <c r="M1" s="77" t="s">
        <v>278</v>
      </c>
      <c r="N1" s="77"/>
      <c r="O1" s="77"/>
      <c r="P1" s="77"/>
      <c r="Q1" s="77"/>
      <c r="R1" s="77"/>
      <c r="W1" s="77"/>
      <c r="X1" s="77"/>
      <c r="Y1" s="77" t="s">
        <v>280</v>
      </c>
      <c r="Z1" s="77"/>
      <c r="AA1" s="77"/>
      <c r="AB1" s="77" t="s">
        <v>27</v>
      </c>
      <c r="AC1" s="77"/>
      <c r="AJ1" s="77"/>
      <c r="AK1" s="77" t="s">
        <v>283</v>
      </c>
      <c r="AL1" s="77"/>
      <c r="AM1" s="77"/>
      <c r="AN1" s="77"/>
      <c r="AO1" s="77"/>
      <c r="AW1" s="77"/>
      <c r="AX1" s="77" t="s">
        <v>285</v>
      </c>
      <c r="AY1" s="77"/>
      <c r="AZ1" s="77"/>
      <c r="BA1" s="77"/>
      <c r="BB1" s="77"/>
      <c r="BC1" s="77"/>
      <c r="BJ1" s="77"/>
      <c r="BK1" s="77" t="s">
        <v>287</v>
      </c>
      <c r="BL1" s="77"/>
      <c r="BM1" s="77"/>
      <c r="BN1" s="77"/>
      <c r="BO1" s="77"/>
      <c r="BW1" s="77"/>
      <c r="BX1" s="77" t="s">
        <v>289</v>
      </c>
      <c r="BY1" s="77"/>
      <c r="BZ1" s="77"/>
      <c r="CA1" s="77"/>
      <c r="CB1" s="77"/>
      <c r="CC1" s="77"/>
      <c r="CD1" s="77"/>
      <c r="CE1" s="77" t="s">
        <v>290</v>
      </c>
      <c r="CF1" s="77"/>
      <c r="CG1" s="77"/>
      <c r="CH1" s="77"/>
    </row>
    <row r="2" spans="1:87" x14ac:dyDescent="0.15">
      <c r="A2" s="76" t="s">
        <v>370</v>
      </c>
      <c r="B2" s="77"/>
      <c r="C2" s="77"/>
      <c r="D2" s="77"/>
      <c r="E2" s="77"/>
      <c r="L2" s="77"/>
      <c r="M2" s="77"/>
      <c r="N2" s="77"/>
      <c r="O2" s="77"/>
      <c r="P2" s="77"/>
      <c r="Q2" s="77"/>
      <c r="R2" s="77"/>
      <c r="W2" s="77"/>
      <c r="X2" s="77"/>
      <c r="Y2" s="77"/>
      <c r="Z2" s="77"/>
      <c r="AA2" s="77"/>
      <c r="AB2" s="77"/>
      <c r="AC2" s="77"/>
      <c r="AJ2" s="77"/>
      <c r="AK2" s="77"/>
      <c r="AL2" s="77"/>
      <c r="AM2" s="77"/>
      <c r="AN2" s="77"/>
      <c r="AO2" s="77"/>
      <c r="AW2" s="77"/>
      <c r="AX2" s="77"/>
      <c r="AY2" s="77"/>
      <c r="AZ2" s="77"/>
      <c r="BA2" s="77"/>
      <c r="BB2" s="77"/>
      <c r="BC2" s="77"/>
      <c r="BJ2" s="77"/>
      <c r="BK2" s="77"/>
      <c r="BL2" s="77"/>
      <c r="BM2" s="77"/>
      <c r="BN2" s="77"/>
      <c r="BO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</row>
    <row r="3" spans="1:87" x14ac:dyDescent="0.15">
      <c r="A3" s="77"/>
      <c r="B3" s="77"/>
      <c r="C3" s="77"/>
      <c r="D3" s="77"/>
      <c r="E3" s="77"/>
      <c r="L3" s="77"/>
      <c r="M3" s="77"/>
      <c r="N3" s="77"/>
      <c r="O3" s="77"/>
      <c r="P3" s="77"/>
      <c r="Q3" s="77"/>
      <c r="R3" s="77"/>
      <c r="W3" s="77"/>
      <c r="X3" s="77"/>
      <c r="Y3" s="77"/>
      <c r="Z3" s="77"/>
      <c r="AA3" s="77"/>
      <c r="AB3" s="77"/>
      <c r="AC3" s="77"/>
      <c r="AJ3" s="77"/>
      <c r="AK3" s="77"/>
      <c r="AL3" s="77"/>
      <c r="AM3" s="77"/>
      <c r="AN3" s="77"/>
      <c r="AO3" s="77"/>
      <c r="AW3" s="77"/>
      <c r="AX3" s="77"/>
      <c r="AY3" s="77"/>
      <c r="AZ3" s="77"/>
      <c r="BA3" s="77"/>
      <c r="BB3" s="77"/>
      <c r="BC3" s="77"/>
      <c r="BJ3" s="77"/>
      <c r="BK3" s="77"/>
      <c r="BL3" s="77"/>
      <c r="BM3" s="77"/>
      <c r="BN3" s="77"/>
      <c r="BO3" s="77"/>
      <c r="BW3" s="77"/>
      <c r="BX3" s="77"/>
      <c r="BY3" s="77"/>
      <c r="BZ3" s="77"/>
      <c r="CA3" s="77"/>
      <c r="CB3" s="76" t="s">
        <v>601</v>
      </c>
      <c r="CC3" s="77"/>
      <c r="CD3" s="77"/>
      <c r="CE3" s="77"/>
      <c r="CF3" s="77"/>
      <c r="CG3" s="77"/>
      <c r="CH3" s="77"/>
      <c r="CI3" s="76" t="s">
        <v>601</v>
      </c>
    </row>
    <row r="4" spans="1:87" x14ac:dyDescent="0.15">
      <c r="A4" s="77" t="s">
        <v>223</v>
      </c>
      <c r="B4" s="77" t="s">
        <v>291</v>
      </c>
      <c r="C4" s="77" t="s">
        <v>292</v>
      </c>
      <c r="D4" s="77" t="s">
        <v>368</v>
      </c>
      <c r="E4" s="77" t="s">
        <v>384</v>
      </c>
      <c r="F4" s="76" t="s">
        <v>355</v>
      </c>
      <c r="G4" t="s">
        <v>144</v>
      </c>
      <c r="H4" t="s">
        <v>143</v>
      </c>
      <c r="I4" t="s">
        <v>145</v>
      </c>
      <c r="J4" t="s">
        <v>146</v>
      </c>
      <c r="K4" t="s">
        <v>147</v>
      </c>
      <c r="L4" s="77"/>
      <c r="M4" s="77" t="s">
        <v>223</v>
      </c>
      <c r="N4" s="77" t="s">
        <v>291</v>
      </c>
      <c r="O4" s="77" t="s">
        <v>292</v>
      </c>
      <c r="P4" s="77" t="s">
        <v>368</v>
      </c>
      <c r="Q4" s="77" t="s">
        <v>226</v>
      </c>
      <c r="R4" s="76" t="s">
        <v>355</v>
      </c>
      <c r="S4" t="s">
        <v>144</v>
      </c>
      <c r="T4" t="s">
        <v>143</v>
      </c>
      <c r="U4" t="s">
        <v>145</v>
      </c>
      <c r="V4" t="s">
        <v>146</v>
      </c>
      <c r="W4" t="s">
        <v>147</v>
      </c>
      <c r="Y4" s="77" t="s">
        <v>275</v>
      </c>
      <c r="Z4" s="77" t="s">
        <v>291</v>
      </c>
      <c r="AA4" s="77" t="s">
        <v>292</v>
      </c>
      <c r="AB4" s="77" t="s">
        <v>395</v>
      </c>
      <c r="AC4" s="77" t="s">
        <v>226</v>
      </c>
      <c r="AD4" s="76" t="s">
        <v>355</v>
      </c>
      <c r="AE4" t="s">
        <v>144</v>
      </c>
      <c r="AF4" t="s">
        <v>143</v>
      </c>
      <c r="AG4" t="s">
        <v>145</v>
      </c>
      <c r="AH4" t="s">
        <v>146</v>
      </c>
      <c r="AI4" t="s">
        <v>147</v>
      </c>
      <c r="AJ4" s="77"/>
      <c r="AK4" s="77" t="s">
        <v>275</v>
      </c>
      <c r="AL4" s="77" t="s">
        <v>291</v>
      </c>
      <c r="AM4" s="77" t="s">
        <v>292</v>
      </c>
      <c r="AN4" s="77" t="s">
        <v>159</v>
      </c>
      <c r="AO4" s="77" t="s">
        <v>226</v>
      </c>
      <c r="AP4" s="77" t="s">
        <v>362</v>
      </c>
      <c r="AQ4" s="76" t="s">
        <v>84</v>
      </c>
      <c r="AR4" s="77" t="s">
        <v>144</v>
      </c>
      <c r="AS4" t="s">
        <v>143</v>
      </c>
      <c r="AT4" t="s">
        <v>145</v>
      </c>
      <c r="AU4" t="s">
        <v>146</v>
      </c>
      <c r="AV4" t="s">
        <v>147</v>
      </c>
      <c r="AW4" s="77"/>
      <c r="AX4" s="77" t="s">
        <v>275</v>
      </c>
      <c r="AY4" s="77" t="s">
        <v>291</v>
      </c>
      <c r="AZ4" s="77" t="s">
        <v>292</v>
      </c>
      <c r="BA4" s="77" t="s">
        <v>358</v>
      </c>
      <c r="BB4" s="77" t="s">
        <v>226</v>
      </c>
      <c r="BC4" s="77" t="s">
        <v>362</v>
      </c>
      <c r="BD4" s="76" t="s">
        <v>84</v>
      </c>
      <c r="BE4" s="77" t="s">
        <v>144</v>
      </c>
      <c r="BF4" t="s">
        <v>143</v>
      </c>
      <c r="BG4" t="s">
        <v>145</v>
      </c>
      <c r="BH4" t="s">
        <v>146</v>
      </c>
      <c r="BI4" t="s">
        <v>147</v>
      </c>
      <c r="BJ4" s="77"/>
      <c r="BK4" s="77" t="s">
        <v>275</v>
      </c>
      <c r="BL4" s="77" t="s">
        <v>291</v>
      </c>
      <c r="BM4" s="77" t="s">
        <v>292</v>
      </c>
      <c r="BN4" s="77" t="s">
        <v>358</v>
      </c>
      <c r="BO4" s="77" t="s">
        <v>226</v>
      </c>
      <c r="BP4" s="77" t="s">
        <v>362</v>
      </c>
      <c r="BQ4" s="76" t="s">
        <v>84</v>
      </c>
      <c r="BR4" s="77" t="s">
        <v>144</v>
      </c>
      <c r="BS4" t="s">
        <v>143</v>
      </c>
      <c r="BT4" t="s">
        <v>145</v>
      </c>
      <c r="BU4" t="s">
        <v>146</v>
      </c>
      <c r="BV4" t="s">
        <v>147</v>
      </c>
      <c r="BW4" s="77"/>
      <c r="BX4" s="77" t="s">
        <v>299</v>
      </c>
      <c r="BY4" s="77" t="s">
        <v>293</v>
      </c>
      <c r="BZ4" s="78" t="s">
        <v>297</v>
      </c>
      <c r="CA4" s="77" t="s">
        <v>382</v>
      </c>
      <c r="CB4" t="s">
        <v>231</v>
      </c>
      <c r="CD4" s="77"/>
      <c r="CE4" s="77" t="s">
        <v>299</v>
      </c>
      <c r="CF4" s="77" t="s">
        <v>296</v>
      </c>
      <c r="CG4" s="77" t="s">
        <v>298</v>
      </c>
      <c r="CH4" s="77" t="s">
        <v>382</v>
      </c>
      <c r="CI4" t="s">
        <v>231</v>
      </c>
    </row>
    <row r="5" spans="1:87" x14ac:dyDescent="0.15">
      <c r="A5" s="77">
        <v>1</v>
      </c>
      <c r="B5" s="77">
        <v>293</v>
      </c>
      <c r="C5" s="77">
        <v>277</v>
      </c>
      <c r="D5">
        <f>(B5+C5)/2</f>
        <v>285</v>
      </c>
      <c r="E5" s="77">
        <v>251</v>
      </c>
      <c r="F5" s="76">
        <v>15</v>
      </c>
      <c r="G5">
        <f>EXP(-3.53769+1.70873*LN(D5/10)+1.35448*LN(E5/10))</f>
        <v>700.43505650922418</v>
      </c>
      <c r="H5">
        <f>G12</f>
        <v>310.76421103156832</v>
      </c>
      <c r="I5">
        <f>H5/F5</f>
        <v>20.717614068771223</v>
      </c>
      <c r="J5">
        <f>H5*0.33/0.8</f>
        <v>128.19023705052194</v>
      </c>
      <c r="K5">
        <f>J5/F5</f>
        <v>8.5460158033681299</v>
      </c>
      <c r="L5" s="77"/>
      <c r="M5" s="77">
        <v>1</v>
      </c>
      <c r="N5" s="77">
        <v>319</v>
      </c>
      <c r="O5" s="77">
        <v>296</v>
      </c>
      <c r="P5" s="77">
        <f>(N5+O5)/2</f>
        <v>307.5</v>
      </c>
      <c r="Q5" s="77">
        <v>240</v>
      </c>
      <c r="R5" s="76">
        <v>15</v>
      </c>
      <c r="S5">
        <f>EXP(-3.53769+1.70873*LN(P5/10)+1.35448*LN(Q5/10))</f>
        <v>750.57633793907007</v>
      </c>
      <c r="T5">
        <f>S14</f>
        <v>267.7823346177293</v>
      </c>
      <c r="U5">
        <f>T5/R5</f>
        <v>17.852155641181955</v>
      </c>
      <c r="V5">
        <f>T5*0.33/0.8</f>
        <v>110.46021302981333</v>
      </c>
      <c r="W5" s="77">
        <f>V5/R5</f>
        <v>7.3640142019875556</v>
      </c>
      <c r="X5" s="77"/>
      <c r="Y5" s="77">
        <v>1</v>
      </c>
      <c r="Z5" s="77">
        <v>308</v>
      </c>
      <c r="AA5" s="77">
        <v>305</v>
      </c>
      <c r="AB5">
        <f>(Z5+AA5)/2</f>
        <v>306.5</v>
      </c>
      <c r="AC5" s="77">
        <v>232</v>
      </c>
      <c r="AD5" s="76">
        <v>15</v>
      </c>
      <c r="AE5">
        <f>EXP(-3.53769+1.70873*LN(AB5/10)+1.35448*LN(AC5/10))</f>
        <v>712.91092847347522</v>
      </c>
      <c r="AF5">
        <f>AE12</f>
        <v>213.18619819977457</v>
      </c>
      <c r="AG5">
        <f>AF5/AD5</f>
        <v>14.212413213318305</v>
      </c>
      <c r="AH5">
        <f>AF5*0.33/0.8</f>
        <v>87.93930675740701</v>
      </c>
      <c r="AI5">
        <f>AH5/AD5</f>
        <v>5.8626204504938011</v>
      </c>
      <c r="AJ5" s="77"/>
      <c r="AK5" s="77">
        <v>1</v>
      </c>
      <c r="AL5" s="77">
        <v>215</v>
      </c>
      <c r="AM5" s="77">
        <v>200</v>
      </c>
      <c r="AN5">
        <f t="shared" ref="AN5:AN10" si="0">((AL5+AM5)/2)/10</f>
        <v>20.75</v>
      </c>
      <c r="AO5" s="77">
        <v>225</v>
      </c>
      <c r="AP5">
        <f t="shared" ref="AP5:AP10" si="1">AO5/10</f>
        <v>22.5</v>
      </c>
      <c r="AQ5" s="76">
        <v>30</v>
      </c>
      <c r="AR5">
        <f t="shared" ref="AR5:AR10" si="2">10^(-0.89359)*(AN5)^2.27954*((AN5)+20)^(-1.18672)*(AP5)^7.07362*((AP5)-1.3)^(-5.45175)</f>
        <v>340.25818025951241</v>
      </c>
      <c r="AS5">
        <f>AR13</f>
        <v>180.48890195428825</v>
      </c>
      <c r="AT5">
        <f>AS5/AQ5</f>
        <v>6.0162967318096081</v>
      </c>
      <c r="AU5">
        <f>AS5*0.438/0.85</f>
        <v>93.004869477621483</v>
      </c>
      <c r="AV5">
        <f>AU5/AQ5</f>
        <v>3.1001623159207159</v>
      </c>
      <c r="AW5" s="77"/>
      <c r="AX5" s="77">
        <v>1</v>
      </c>
      <c r="AY5" s="77">
        <v>298</v>
      </c>
      <c r="AZ5" s="77">
        <v>294</v>
      </c>
      <c r="BA5" s="77">
        <f>((AY5+AZ5)/2)/10</f>
        <v>29.6</v>
      </c>
      <c r="BB5" s="77">
        <v>232</v>
      </c>
      <c r="BC5" s="77">
        <f>BB5/10</f>
        <v>23.2</v>
      </c>
      <c r="BD5" s="76">
        <v>30</v>
      </c>
      <c r="BE5">
        <f>10^(-0.89359)*(BA5)^2.27954*((BA5)+20)^(-1.18672)*(BC5)^7.07362*((BC5)-1.3)^(-5.45175)</f>
        <v>630.07639336100294</v>
      </c>
      <c r="BF5">
        <f>BE14</f>
        <v>207.83953838745563</v>
      </c>
      <c r="BG5">
        <f>BF5/BD5</f>
        <v>6.9279846129151874</v>
      </c>
      <c r="BH5">
        <f>BF5*0.438/0.85</f>
        <v>107.09849154553596</v>
      </c>
      <c r="BI5">
        <f>BH5/BD5</f>
        <v>3.5699497181845321</v>
      </c>
      <c r="BJ5" s="77"/>
      <c r="BK5" s="77">
        <v>1</v>
      </c>
      <c r="BL5" s="77">
        <v>259</v>
      </c>
      <c r="BM5" s="77">
        <v>241</v>
      </c>
      <c r="BN5">
        <f>((BL5+BM5)/2)/10</f>
        <v>25</v>
      </c>
      <c r="BO5" s="77">
        <v>215</v>
      </c>
      <c r="BP5">
        <f>BO5/10</f>
        <v>21.5</v>
      </c>
      <c r="BQ5" s="76">
        <v>30</v>
      </c>
      <c r="BR5">
        <f>10^(-0.89359)*(BN5)^2.27954*((BN5)+20)^(-1.18672)*(BP5)^7.07362*((BP5)-1.3)^(-5.45175)</f>
        <v>436.39907710028604</v>
      </c>
      <c r="BS5">
        <f>BR14</f>
        <v>209.25355128881671</v>
      </c>
      <c r="BT5">
        <f>BS5/BQ5</f>
        <v>6.9751183762938904</v>
      </c>
      <c r="BU5">
        <f>BS5*0.438/0.85</f>
        <v>107.82712407588438</v>
      </c>
      <c r="BV5">
        <f>BU5/BQ5</f>
        <v>3.5942374691961461</v>
      </c>
      <c r="BW5" s="77"/>
      <c r="BX5" s="77">
        <v>745</v>
      </c>
      <c r="BY5" s="77">
        <v>550.70000000000005</v>
      </c>
      <c r="BZ5" s="77">
        <v>-67.8</v>
      </c>
      <c r="CA5">
        <f>BY5+BZ5</f>
        <v>482.90000000000003</v>
      </c>
      <c r="CB5">
        <f>CA5/($A$35-((-BZ5)/2.65))</f>
        <v>1.265576980608665</v>
      </c>
      <c r="CD5" s="77"/>
      <c r="CE5" s="77">
        <v>671</v>
      </c>
      <c r="CF5" s="77">
        <v>570.5</v>
      </c>
      <c r="CG5" s="77">
        <v>-137.1</v>
      </c>
      <c r="CH5">
        <f>CF5+CG5</f>
        <v>433.4</v>
      </c>
      <c r="CI5">
        <f>CH5/($A$35-((-CG5)/2.65))</f>
        <v>1.219422464889486</v>
      </c>
    </row>
    <row r="6" spans="1:87" x14ac:dyDescent="0.15">
      <c r="A6" s="77">
        <v>2</v>
      </c>
      <c r="B6" s="77">
        <v>335</v>
      </c>
      <c r="C6" s="77">
        <v>320</v>
      </c>
      <c r="D6">
        <f>(B6+C6)/2</f>
        <v>327.5</v>
      </c>
      <c r="E6" s="77">
        <v>262</v>
      </c>
      <c r="G6">
        <f>EXP(-3.53769+1.70873*LN(D6/10)+1.35448*LN(E6/10))</f>
        <v>941.34430477644128</v>
      </c>
      <c r="L6" s="77"/>
      <c r="M6" s="77">
        <v>2</v>
      </c>
      <c r="N6" s="77">
        <v>303</v>
      </c>
      <c r="O6" s="77">
        <v>298</v>
      </c>
      <c r="P6" s="77">
        <f t="shared" ref="P6:P11" si="3">(N6+O6)/2</f>
        <v>300.5</v>
      </c>
      <c r="Q6" s="77">
        <v>228</v>
      </c>
      <c r="R6" s="77"/>
      <c r="S6">
        <f t="shared" ref="S6:S11" si="4">EXP(-3.53769+1.70873*LN(P6/10)+1.35448*LN(Q6/10))</f>
        <v>673.18361661808638</v>
      </c>
      <c r="W6" s="77"/>
      <c r="X6" s="77"/>
      <c r="Y6" s="77">
        <v>2</v>
      </c>
      <c r="Z6" s="77">
        <v>276</v>
      </c>
      <c r="AA6" s="77">
        <v>274</v>
      </c>
      <c r="AB6">
        <f>(Z6+AA6)/2</f>
        <v>275</v>
      </c>
      <c r="AC6" s="77">
        <v>221</v>
      </c>
      <c r="AE6">
        <f>EXP(-3.53769+1.70873*LN(AB6/10)+1.35448*LN(AC6/10))</f>
        <v>554.60547824140269</v>
      </c>
      <c r="AJ6" s="77"/>
      <c r="AK6" s="77">
        <v>2</v>
      </c>
      <c r="AL6" s="77">
        <v>234</v>
      </c>
      <c r="AM6" s="77">
        <v>216</v>
      </c>
      <c r="AN6">
        <f t="shared" si="0"/>
        <v>22.5</v>
      </c>
      <c r="AO6" s="77">
        <v>221</v>
      </c>
      <c r="AP6">
        <f t="shared" si="1"/>
        <v>22.1</v>
      </c>
      <c r="AR6">
        <f t="shared" si="2"/>
        <v>380.44397867399766</v>
      </c>
      <c r="AW6" s="77"/>
      <c r="AX6" s="77">
        <v>2</v>
      </c>
      <c r="AY6" s="77">
        <v>247</v>
      </c>
      <c r="AZ6" s="77">
        <v>243</v>
      </c>
      <c r="BA6" s="77">
        <f t="shared" ref="BA6:BA11" si="5">((AY6+AZ6)/2)/10</f>
        <v>24.5</v>
      </c>
      <c r="BB6" s="77">
        <v>214</v>
      </c>
      <c r="BC6" s="77">
        <f t="shared" ref="BC6:BC11" si="6">BB6/10</f>
        <v>21.4</v>
      </c>
      <c r="BE6">
        <f t="shared" ref="BE6:BE11" si="7">10^(-0.89359)*(BA6)^2.27954*((BA6)+20)^(-1.18672)*(BC6)^7.07362*((BC6)-1.3)^(-5.45175)</f>
        <v>419.82687194968423</v>
      </c>
      <c r="BJ6" s="77"/>
      <c r="BK6" s="77">
        <v>2</v>
      </c>
      <c r="BL6" s="77">
        <v>264</v>
      </c>
      <c r="BM6" s="77">
        <v>266</v>
      </c>
      <c r="BN6">
        <f t="shared" ref="BN6:BN11" si="8">((BL6+BM6)/2)/10</f>
        <v>26.5</v>
      </c>
      <c r="BO6" s="77">
        <v>218</v>
      </c>
      <c r="BP6">
        <f t="shared" ref="BP6:BP11" si="9">BO6/10</f>
        <v>21.8</v>
      </c>
      <c r="BR6">
        <f t="shared" ref="BR6:BR11" si="10">10^(-0.89359)*(BN6)^2.27954*((BN6)+20)^(-1.18672)*(BP6)^7.07362*((BP6)-1.3)^(-5.45175)</f>
        <v>487.90429533340404</v>
      </c>
      <c r="BW6" s="77"/>
      <c r="BX6" s="77">
        <v>744</v>
      </c>
      <c r="BY6" s="78">
        <v>624.79999999999995</v>
      </c>
      <c r="BZ6" s="77">
        <v>-103.5</v>
      </c>
      <c r="CA6">
        <f t="shared" ref="CA6:CA14" si="11">BY6+BZ6</f>
        <v>521.29999999999995</v>
      </c>
      <c r="CB6">
        <f t="shared" ref="CB6:CB14" si="12">CA6/($A$35-((-BZ6)/2.65))</f>
        <v>1.4162166595331886</v>
      </c>
      <c r="CD6" s="77"/>
      <c r="CE6" s="77">
        <v>649</v>
      </c>
      <c r="CF6" s="77">
        <v>525.70000000000005</v>
      </c>
      <c r="CG6" s="77">
        <v>-85.1</v>
      </c>
      <c r="CH6">
        <f t="shared" ref="CH6:CH14" si="13">CF6+CG6</f>
        <v>440.6</v>
      </c>
      <c r="CI6">
        <f t="shared" ref="CI6:CI14" si="14">CH6/($A$35-((-CG6)/2.65))</f>
        <v>1.1748180681643814</v>
      </c>
    </row>
    <row r="7" spans="1:87" x14ac:dyDescent="0.15">
      <c r="A7" s="77">
        <v>3</v>
      </c>
      <c r="B7" s="77">
        <v>337</v>
      </c>
      <c r="C7" s="77">
        <v>314</v>
      </c>
      <c r="D7">
        <f>(B7+C7)/2</f>
        <v>325.5</v>
      </c>
      <c r="E7" s="77">
        <v>267</v>
      </c>
      <c r="G7">
        <f>EXP(-3.53769+1.70873*LN(D7/10)+1.35448*LN(E7/10))</f>
        <v>955.70308016910167</v>
      </c>
      <c r="L7" s="77"/>
      <c r="M7" s="77">
        <v>3</v>
      </c>
      <c r="N7" s="77">
        <v>251</v>
      </c>
      <c r="O7" s="77">
        <v>277</v>
      </c>
      <c r="P7" s="77">
        <f t="shared" si="3"/>
        <v>264</v>
      </c>
      <c r="Q7" s="77">
        <v>229</v>
      </c>
      <c r="R7" s="77"/>
      <c r="S7">
        <f t="shared" si="4"/>
        <v>542.76020321226326</v>
      </c>
      <c r="W7" s="77"/>
      <c r="X7" s="77"/>
      <c r="Y7" s="77">
        <v>3</v>
      </c>
      <c r="Z7" s="77">
        <v>249</v>
      </c>
      <c r="AA7" s="77">
        <v>232</v>
      </c>
      <c r="AB7">
        <f>(Z7+AA7)/2</f>
        <v>240.5</v>
      </c>
      <c r="AC7" s="77">
        <v>213</v>
      </c>
      <c r="AE7">
        <f>EXP(-3.53769+1.70873*LN(AB7/10)+1.35448*LN(AC7/10))</f>
        <v>419.58227310833263</v>
      </c>
      <c r="AJ7" s="77"/>
      <c r="AK7" s="77">
        <v>3</v>
      </c>
      <c r="AL7" s="77">
        <v>254</v>
      </c>
      <c r="AM7" s="77">
        <v>266</v>
      </c>
      <c r="AN7">
        <f t="shared" si="0"/>
        <v>26</v>
      </c>
      <c r="AO7" s="77">
        <v>221</v>
      </c>
      <c r="AP7">
        <f t="shared" si="1"/>
        <v>22.1</v>
      </c>
      <c r="AR7">
        <f t="shared" si="2"/>
        <v>481.54697631303878</v>
      </c>
      <c r="AW7" s="77"/>
      <c r="AX7" s="77">
        <v>3</v>
      </c>
      <c r="AY7" s="77">
        <v>230</v>
      </c>
      <c r="AZ7" s="77">
        <v>239</v>
      </c>
      <c r="BA7" s="77">
        <f t="shared" si="5"/>
        <v>23.45</v>
      </c>
      <c r="BB7" s="77">
        <v>206</v>
      </c>
      <c r="BC7" s="77">
        <f t="shared" si="6"/>
        <v>20.6</v>
      </c>
      <c r="BE7">
        <f t="shared" si="7"/>
        <v>372.50369143836446</v>
      </c>
      <c r="BJ7" s="77"/>
      <c r="BK7" s="77">
        <v>3</v>
      </c>
      <c r="BL7" s="77">
        <v>237</v>
      </c>
      <c r="BM7" s="77">
        <v>234</v>
      </c>
      <c r="BN7">
        <f t="shared" si="8"/>
        <v>23.55</v>
      </c>
      <c r="BO7" s="77">
        <v>227</v>
      </c>
      <c r="BP7">
        <f t="shared" si="9"/>
        <v>22.7</v>
      </c>
      <c r="BR7">
        <f t="shared" si="10"/>
        <v>424.44993261141781</v>
      </c>
      <c r="BW7" s="77"/>
      <c r="BX7" s="77">
        <v>474</v>
      </c>
      <c r="BY7" s="77">
        <v>581.70000000000005</v>
      </c>
      <c r="BZ7" s="77">
        <v>-110.4</v>
      </c>
      <c r="CA7">
        <f t="shared" si="11"/>
        <v>471.30000000000007</v>
      </c>
      <c r="CB7">
        <f t="shared" si="12"/>
        <v>1.2895030961310625</v>
      </c>
      <c r="CD7" s="77"/>
      <c r="CE7" s="77">
        <v>751</v>
      </c>
      <c r="CF7" s="77">
        <v>609.1</v>
      </c>
      <c r="CG7" s="77">
        <v>-121.7</v>
      </c>
      <c r="CH7">
        <f t="shared" si="13"/>
        <v>487.40000000000003</v>
      </c>
      <c r="CI7">
        <f t="shared" si="14"/>
        <v>1.3492957672911134</v>
      </c>
    </row>
    <row r="8" spans="1:87" x14ac:dyDescent="0.15">
      <c r="A8" s="77">
        <v>4</v>
      </c>
      <c r="B8" s="77">
        <v>385</v>
      </c>
      <c r="C8" s="77">
        <v>382</v>
      </c>
      <c r="D8">
        <f>(B8+C8)/2</f>
        <v>383.5</v>
      </c>
      <c r="E8" s="77">
        <v>290</v>
      </c>
      <c r="G8">
        <f>EXP(-3.53769+1.70873*LN(D8/10)+1.35448*LN(E8/10))</f>
        <v>1414.5457306314102</v>
      </c>
      <c r="L8" s="77"/>
      <c r="M8" s="77">
        <v>4</v>
      </c>
      <c r="N8" s="77">
        <v>262</v>
      </c>
      <c r="O8" s="77">
        <v>251</v>
      </c>
      <c r="P8" s="77">
        <f t="shared" si="3"/>
        <v>256.5</v>
      </c>
      <c r="Q8" s="77">
        <v>217</v>
      </c>
      <c r="R8" s="77"/>
      <c r="S8">
        <f t="shared" si="4"/>
        <v>480.35088525603425</v>
      </c>
      <c r="W8" s="77"/>
      <c r="X8" s="77"/>
      <c r="Y8" s="77">
        <v>4</v>
      </c>
      <c r="Z8" s="77">
        <v>344</v>
      </c>
      <c r="AA8" s="77">
        <v>385</v>
      </c>
      <c r="AB8">
        <f>(Z8+AA8)/2</f>
        <v>364.5</v>
      </c>
      <c r="AC8" s="77">
        <v>266</v>
      </c>
      <c r="AE8">
        <f>EXP(-3.53769+1.70873*LN(AB8/10)+1.35448*LN(AC8/10))</f>
        <v>1153.7025657532724</v>
      </c>
      <c r="AJ8" s="77"/>
      <c r="AK8" s="77">
        <v>4</v>
      </c>
      <c r="AL8" s="77">
        <v>286</v>
      </c>
      <c r="AM8" s="77">
        <v>251</v>
      </c>
      <c r="AN8">
        <f t="shared" si="0"/>
        <v>26.85</v>
      </c>
      <c r="AO8" s="77">
        <v>221</v>
      </c>
      <c r="AP8">
        <f t="shared" si="1"/>
        <v>22.1</v>
      </c>
      <c r="AR8">
        <f t="shared" si="2"/>
        <v>507.04845608125271</v>
      </c>
      <c r="AW8" s="77"/>
      <c r="AX8" s="77">
        <v>4</v>
      </c>
      <c r="AY8" s="77">
        <v>256</v>
      </c>
      <c r="AZ8" s="77">
        <v>254</v>
      </c>
      <c r="BA8" s="77">
        <f t="shared" si="5"/>
        <v>25.5</v>
      </c>
      <c r="BB8" s="77">
        <v>223</v>
      </c>
      <c r="BC8" s="77">
        <f t="shared" si="6"/>
        <v>22.3</v>
      </c>
      <c r="BE8">
        <f t="shared" si="7"/>
        <v>472.13535559876919</v>
      </c>
      <c r="BJ8" s="77"/>
      <c r="BK8" s="77">
        <v>4</v>
      </c>
      <c r="BL8" s="77">
        <v>315</v>
      </c>
      <c r="BM8" s="77">
        <v>278</v>
      </c>
      <c r="BN8">
        <f t="shared" si="8"/>
        <v>29.65</v>
      </c>
      <c r="BO8" s="77">
        <v>221</v>
      </c>
      <c r="BP8">
        <f t="shared" si="9"/>
        <v>22.1</v>
      </c>
      <c r="BR8">
        <f t="shared" si="10"/>
        <v>593.38446516292265</v>
      </c>
      <c r="BW8" s="77"/>
      <c r="BX8" s="77">
        <v>748</v>
      </c>
      <c r="BY8" s="77">
        <v>491.9</v>
      </c>
      <c r="BZ8" s="77">
        <v>-47.7</v>
      </c>
      <c r="CA8">
        <f t="shared" si="11"/>
        <v>444.2</v>
      </c>
      <c r="CB8">
        <f t="shared" si="12"/>
        <v>1.1414621611203906</v>
      </c>
      <c r="CD8" s="77"/>
      <c r="CE8" s="77">
        <v>678</v>
      </c>
      <c r="CF8" s="77">
        <v>556.4</v>
      </c>
      <c r="CG8" s="77">
        <v>-122.8</v>
      </c>
      <c r="CH8">
        <f t="shared" si="13"/>
        <v>433.59999999999997</v>
      </c>
      <c r="CI8">
        <f t="shared" si="14"/>
        <v>1.2017392713990258</v>
      </c>
    </row>
    <row r="9" spans="1:87" x14ac:dyDescent="0.15">
      <c r="A9" s="77">
        <v>5</v>
      </c>
      <c r="B9" s="77">
        <v>321</v>
      </c>
      <c r="C9" s="77">
        <v>298</v>
      </c>
      <c r="D9">
        <f>(B9+C9)/2</f>
        <v>309.5</v>
      </c>
      <c r="E9" s="77">
        <v>243</v>
      </c>
      <c r="G9">
        <f>EXP(-3.53769+1.70873*LN(D9/10)+1.35448*LN(E9/10))</f>
        <v>771.81518355329729</v>
      </c>
      <c r="L9" s="77"/>
      <c r="M9" s="77">
        <v>5</v>
      </c>
      <c r="N9" s="77">
        <v>280</v>
      </c>
      <c r="O9" s="77">
        <v>272</v>
      </c>
      <c r="P9" s="77">
        <f t="shared" si="3"/>
        <v>276</v>
      </c>
      <c r="Q9" s="77">
        <v>238</v>
      </c>
      <c r="R9" s="77"/>
      <c r="S9">
        <f t="shared" si="4"/>
        <v>616.98028515092187</v>
      </c>
      <c r="W9" s="77"/>
      <c r="X9" s="77"/>
      <c r="Y9" s="77">
        <v>5</v>
      </c>
      <c r="Z9" s="77">
        <v>232</v>
      </c>
      <c r="AA9" s="77">
        <v>223</v>
      </c>
      <c r="AB9">
        <f>(Z9+AA9)/2</f>
        <v>227.5</v>
      </c>
      <c r="AC9" s="77">
        <v>237</v>
      </c>
      <c r="AE9">
        <f>EXP(-3.53769+1.70873*LN(AB9/10)+1.35448*LN(AC9/10))</f>
        <v>440.94530556814857</v>
      </c>
      <c r="AJ9" s="77"/>
      <c r="AK9" s="77">
        <v>5</v>
      </c>
      <c r="AL9" s="77">
        <v>230</v>
      </c>
      <c r="AM9" s="77">
        <v>239</v>
      </c>
      <c r="AN9">
        <f t="shared" si="0"/>
        <v>23.45</v>
      </c>
      <c r="AO9" s="77">
        <v>237</v>
      </c>
      <c r="AP9">
        <f t="shared" si="1"/>
        <v>23.7</v>
      </c>
      <c r="AR9">
        <f t="shared" si="2"/>
        <v>445.7619086169712</v>
      </c>
      <c r="AW9" s="77"/>
      <c r="AX9" s="77">
        <v>5</v>
      </c>
      <c r="AY9" s="77">
        <v>247</v>
      </c>
      <c r="AZ9" s="77">
        <v>242</v>
      </c>
      <c r="BA9" s="77">
        <f t="shared" si="5"/>
        <v>24.45</v>
      </c>
      <c r="BB9" s="77">
        <v>221</v>
      </c>
      <c r="BC9" s="77">
        <f t="shared" si="6"/>
        <v>22.1</v>
      </c>
      <c r="BE9">
        <f t="shared" si="7"/>
        <v>435.9664886143247</v>
      </c>
      <c r="BJ9" s="77"/>
      <c r="BK9" s="77">
        <v>5</v>
      </c>
      <c r="BL9" s="77">
        <v>254</v>
      </c>
      <c r="BM9" s="77">
        <v>248</v>
      </c>
      <c r="BN9">
        <f t="shared" si="8"/>
        <v>25.1</v>
      </c>
      <c r="BO9" s="77">
        <v>227</v>
      </c>
      <c r="BP9">
        <f t="shared" si="9"/>
        <v>22.7</v>
      </c>
      <c r="BR9">
        <f t="shared" si="10"/>
        <v>470.87559760409209</v>
      </c>
      <c r="BW9" s="77"/>
      <c r="BX9" s="77">
        <v>477</v>
      </c>
      <c r="BY9" s="77">
        <v>463.1</v>
      </c>
      <c r="BZ9" s="77">
        <v>-86.6</v>
      </c>
      <c r="CA9">
        <f t="shared" si="11"/>
        <v>376.5</v>
      </c>
      <c r="CB9">
        <f t="shared" si="12"/>
        <v>1.0054189686576527</v>
      </c>
      <c r="CD9" s="77"/>
      <c r="CE9" s="77">
        <v>675</v>
      </c>
      <c r="CF9" s="77">
        <v>530.4</v>
      </c>
      <c r="CG9" s="77">
        <v>-57.7</v>
      </c>
      <c r="CH9">
        <f t="shared" si="13"/>
        <v>472.7</v>
      </c>
      <c r="CI9">
        <f t="shared" si="14"/>
        <v>1.226592965955853</v>
      </c>
    </row>
    <row r="10" spans="1:87" x14ac:dyDescent="0.15">
      <c r="A10" s="77"/>
      <c r="B10" s="77"/>
      <c r="C10" s="77"/>
      <c r="D10" s="77"/>
      <c r="E10" s="77"/>
      <c r="L10" s="77"/>
      <c r="M10" s="77">
        <v>6</v>
      </c>
      <c r="N10" s="77">
        <v>234</v>
      </c>
      <c r="O10" s="77">
        <v>257</v>
      </c>
      <c r="P10" s="77">
        <f t="shared" si="3"/>
        <v>245.5</v>
      </c>
      <c r="Q10" s="77">
        <v>222</v>
      </c>
      <c r="R10" s="77"/>
      <c r="S10">
        <f t="shared" si="4"/>
        <v>459.65461482939219</v>
      </c>
      <c r="W10" s="77"/>
      <c r="X10" s="77"/>
      <c r="Y10" s="77"/>
      <c r="Z10" s="77"/>
      <c r="AA10" s="77"/>
      <c r="AB10" s="77"/>
      <c r="AC10" s="77"/>
      <c r="AJ10" s="77"/>
      <c r="AK10" s="77">
        <v>6</v>
      </c>
      <c r="AL10" s="77">
        <v>296</v>
      </c>
      <c r="AM10" s="77">
        <v>307</v>
      </c>
      <c r="AN10">
        <f t="shared" si="0"/>
        <v>30.15</v>
      </c>
      <c r="AO10" s="77">
        <v>225</v>
      </c>
      <c r="AP10">
        <f t="shared" si="1"/>
        <v>22.5</v>
      </c>
      <c r="AR10">
        <f t="shared" si="2"/>
        <v>623.35128138222137</v>
      </c>
      <c r="AW10" s="77"/>
      <c r="AX10" s="77">
        <v>6</v>
      </c>
      <c r="AY10" s="77">
        <v>224</v>
      </c>
      <c r="AZ10" s="77">
        <v>224</v>
      </c>
      <c r="BA10" s="77">
        <f t="shared" si="5"/>
        <v>22.4</v>
      </c>
      <c r="BB10" s="77">
        <v>228</v>
      </c>
      <c r="BC10" s="77">
        <f t="shared" si="6"/>
        <v>22.8</v>
      </c>
      <c r="BE10">
        <f t="shared" si="7"/>
        <v>393.11577986807941</v>
      </c>
      <c r="BJ10" s="77"/>
      <c r="BK10" s="77">
        <v>6</v>
      </c>
      <c r="BL10" s="77">
        <v>237</v>
      </c>
      <c r="BM10" s="77">
        <v>233</v>
      </c>
      <c r="BN10">
        <f t="shared" si="8"/>
        <v>23.5</v>
      </c>
      <c r="BO10" s="77">
        <v>218</v>
      </c>
      <c r="BP10">
        <f t="shared" si="9"/>
        <v>21.8</v>
      </c>
      <c r="BR10">
        <f t="shared" si="10"/>
        <v>401.573063764452</v>
      </c>
      <c r="BW10" s="77"/>
      <c r="BX10" s="77">
        <v>562</v>
      </c>
      <c r="BY10" s="77">
        <v>559.4</v>
      </c>
      <c r="BZ10" s="77">
        <v>-112</v>
      </c>
      <c r="CA10">
        <f t="shared" si="11"/>
        <v>447.4</v>
      </c>
      <c r="CB10">
        <f t="shared" si="12"/>
        <v>1.2261368895415727</v>
      </c>
      <c r="CD10" s="77"/>
      <c r="CE10" s="77">
        <v>578</v>
      </c>
      <c r="CF10" s="77">
        <v>556.9</v>
      </c>
      <c r="CG10" s="77">
        <v>-46.6</v>
      </c>
      <c r="CH10">
        <f t="shared" si="13"/>
        <v>510.29999999999995</v>
      </c>
      <c r="CI10">
        <f t="shared" si="14"/>
        <v>1.3099222887641999</v>
      </c>
    </row>
    <row r="11" spans="1:87" x14ac:dyDescent="0.15">
      <c r="A11" s="77"/>
      <c r="B11" s="77"/>
      <c r="C11" s="77"/>
      <c r="D11" s="108" t="s">
        <v>357</v>
      </c>
      <c r="E11" s="108"/>
      <c r="F11" s="107"/>
      <c r="G11" s="107">
        <f>SUM(G5:G9)</f>
        <v>4783.8433556394748</v>
      </c>
      <c r="H11" s="107" t="s">
        <v>330</v>
      </c>
      <c r="I11" s="107">
        <f>PI()*7^2</f>
        <v>153.93804002589985</v>
      </c>
      <c r="J11" s="107" t="s">
        <v>326</v>
      </c>
      <c r="L11" s="77"/>
      <c r="M11" s="77">
        <v>7</v>
      </c>
      <c r="N11" s="77">
        <v>266</v>
      </c>
      <c r="O11" s="77">
        <v>280</v>
      </c>
      <c r="P11" s="77">
        <f t="shared" si="3"/>
        <v>273</v>
      </c>
      <c r="Q11" s="77">
        <v>236</v>
      </c>
      <c r="R11" s="77"/>
      <c r="S11">
        <f t="shared" si="4"/>
        <v>598.68283145552346</v>
      </c>
      <c r="W11" s="77"/>
      <c r="X11" s="77"/>
      <c r="Y11" s="77"/>
      <c r="Z11" s="77"/>
      <c r="AA11" s="77"/>
      <c r="AB11" s="108" t="s">
        <v>357</v>
      </c>
      <c r="AC11" s="108"/>
      <c r="AD11" s="107"/>
      <c r="AE11" s="107">
        <f>SUM(AE3:AE9)</f>
        <v>3281.7465511446317</v>
      </c>
      <c r="AF11" s="107" t="s">
        <v>330</v>
      </c>
      <c r="AG11" s="107">
        <f>PI()*7^2</f>
        <v>153.93804002589985</v>
      </c>
      <c r="AH11" s="107" t="s">
        <v>326</v>
      </c>
      <c r="AJ11" s="77"/>
      <c r="AK11" s="77"/>
      <c r="AL11" s="77"/>
      <c r="AM11" s="77"/>
      <c r="AN11" s="77"/>
      <c r="AO11" s="77"/>
      <c r="AW11" s="77"/>
      <c r="AX11" s="77">
        <v>7</v>
      </c>
      <c r="AY11" s="77">
        <v>242</v>
      </c>
      <c r="AZ11" s="77">
        <v>238</v>
      </c>
      <c r="BA11" s="77">
        <f t="shared" si="5"/>
        <v>24</v>
      </c>
      <c r="BB11" s="77">
        <v>242</v>
      </c>
      <c r="BC11" s="77">
        <f t="shared" si="6"/>
        <v>24.2</v>
      </c>
      <c r="BE11">
        <f t="shared" si="7"/>
        <v>475.81653709504462</v>
      </c>
      <c r="BJ11" s="77"/>
      <c r="BK11" s="77">
        <v>7</v>
      </c>
      <c r="BL11" s="77">
        <v>252</v>
      </c>
      <c r="BM11" s="77">
        <v>232</v>
      </c>
      <c r="BN11">
        <f t="shared" si="8"/>
        <v>24.2</v>
      </c>
      <c r="BO11" s="77">
        <v>212</v>
      </c>
      <c r="BP11">
        <f t="shared" si="9"/>
        <v>21.2</v>
      </c>
      <c r="BR11">
        <f t="shared" si="10"/>
        <v>406.6217238093804</v>
      </c>
      <c r="BW11" s="77"/>
      <c r="BX11" s="77">
        <v>466</v>
      </c>
      <c r="BY11" s="77">
        <v>562.20000000000005</v>
      </c>
      <c r="BZ11" s="77">
        <v>-50.9</v>
      </c>
      <c r="CA11">
        <f t="shared" si="11"/>
        <v>511.30000000000007</v>
      </c>
      <c r="CB11">
        <f t="shared" si="12"/>
        <v>1.3179789844340852</v>
      </c>
      <c r="CD11" s="77"/>
      <c r="CE11" s="77">
        <v>672</v>
      </c>
      <c r="CF11" s="77">
        <v>618.9</v>
      </c>
      <c r="CG11" s="77">
        <v>-71.5</v>
      </c>
      <c r="CH11">
        <f t="shared" si="13"/>
        <v>547.4</v>
      </c>
      <c r="CI11">
        <f t="shared" si="14"/>
        <v>1.4398864456956815</v>
      </c>
    </row>
    <row r="12" spans="1:87" x14ac:dyDescent="0.15">
      <c r="A12" s="77"/>
      <c r="B12" s="77"/>
      <c r="C12" s="77"/>
      <c r="D12" s="108" t="s">
        <v>365</v>
      </c>
      <c r="E12" s="108"/>
      <c r="F12" s="107"/>
      <c r="G12" s="107">
        <f>(G11*I12)/I11/1000</f>
        <v>310.76421103156832</v>
      </c>
      <c r="H12" s="107" t="s">
        <v>360</v>
      </c>
      <c r="I12" s="107">
        <v>10000</v>
      </c>
      <c r="J12" s="107" t="s">
        <v>326</v>
      </c>
      <c r="L12" s="77"/>
      <c r="M12" s="77"/>
      <c r="N12" s="77"/>
      <c r="O12" s="77"/>
      <c r="P12" s="77"/>
      <c r="Q12" s="77"/>
      <c r="R12" s="77"/>
      <c r="W12" s="77"/>
      <c r="X12" s="77"/>
      <c r="Y12" s="77"/>
      <c r="Z12" s="77"/>
      <c r="AA12" s="77"/>
      <c r="AB12" s="108" t="s">
        <v>365</v>
      </c>
      <c r="AC12" s="108"/>
      <c r="AD12" s="107"/>
      <c r="AE12" s="107">
        <f>(AE11*AG12)/AG11/1000</f>
        <v>213.18619819977457</v>
      </c>
      <c r="AF12" s="107" t="s">
        <v>360</v>
      </c>
      <c r="AG12" s="107">
        <v>10000</v>
      </c>
      <c r="AH12" s="107" t="s">
        <v>326</v>
      </c>
      <c r="AJ12" s="77"/>
      <c r="AK12" s="77"/>
      <c r="AL12" s="77"/>
      <c r="AM12" s="77"/>
      <c r="AN12" s="108" t="s">
        <v>357</v>
      </c>
      <c r="AO12" s="108"/>
      <c r="AP12" s="107"/>
      <c r="AQ12" s="107"/>
      <c r="AR12" s="107">
        <f>SUM(AR5:AR10)</f>
        <v>2778.4107813269939</v>
      </c>
      <c r="AS12" s="107" t="s">
        <v>330</v>
      </c>
      <c r="AT12" s="107">
        <f>PI()*7^2</f>
        <v>153.93804002589985</v>
      </c>
      <c r="AU12" s="107" t="s">
        <v>326</v>
      </c>
      <c r="AW12" s="77"/>
      <c r="AX12" s="77"/>
      <c r="AY12" s="77"/>
      <c r="AZ12" s="77"/>
      <c r="BA12" s="77"/>
      <c r="BB12" s="77"/>
      <c r="BC12" s="77"/>
      <c r="BJ12" s="77"/>
      <c r="BK12" s="77"/>
      <c r="BL12" s="77"/>
      <c r="BM12" s="77"/>
      <c r="BN12" s="77"/>
      <c r="BO12" s="77"/>
      <c r="BW12" s="77"/>
      <c r="BX12" s="77">
        <v>677</v>
      </c>
      <c r="BY12" s="77">
        <v>491</v>
      </c>
      <c r="BZ12" s="77">
        <v>-32.299999999999997</v>
      </c>
      <c r="CA12">
        <f t="shared" si="11"/>
        <v>458.7</v>
      </c>
      <c r="CB12">
        <f t="shared" si="12"/>
        <v>1.1613795475554092</v>
      </c>
      <c r="CD12" s="77"/>
      <c r="CE12" s="77">
        <v>576</v>
      </c>
      <c r="CF12" s="77">
        <v>574.4</v>
      </c>
      <c r="CG12" s="77">
        <v>-108.6</v>
      </c>
      <c r="CH12">
        <f t="shared" si="13"/>
        <v>465.79999999999995</v>
      </c>
      <c r="CI12">
        <f t="shared" si="14"/>
        <v>1.2720906685491538</v>
      </c>
    </row>
    <row r="13" spans="1:87" x14ac:dyDescent="0.15">
      <c r="A13" s="77"/>
      <c r="B13" s="77"/>
      <c r="C13" s="77"/>
      <c r="D13" s="77"/>
      <c r="E13" s="77"/>
      <c r="L13" s="77"/>
      <c r="M13" s="77"/>
      <c r="N13" s="77"/>
      <c r="P13" s="108" t="s">
        <v>357</v>
      </c>
      <c r="Q13" s="108"/>
      <c r="R13" s="108"/>
      <c r="S13" s="108">
        <f>SUM(S5:S11)</f>
        <v>4122.1887744612923</v>
      </c>
      <c r="T13" s="107" t="s">
        <v>330</v>
      </c>
      <c r="U13" s="107">
        <f>PI()*7^2</f>
        <v>153.93804002589985</v>
      </c>
      <c r="V13" s="107" t="s">
        <v>326</v>
      </c>
      <c r="W13" s="77"/>
      <c r="X13" s="77"/>
      <c r="Y13" s="77"/>
      <c r="Z13" s="77"/>
      <c r="AA13" s="77"/>
      <c r="AB13" s="77"/>
      <c r="AC13" s="77"/>
      <c r="AJ13" s="77"/>
      <c r="AK13" s="77"/>
      <c r="AL13" s="77"/>
      <c r="AM13" s="77"/>
      <c r="AN13" s="108" t="s">
        <v>365</v>
      </c>
      <c r="AO13" s="108"/>
      <c r="AP13" s="107"/>
      <c r="AQ13" s="107"/>
      <c r="AR13" s="107">
        <f>(AR12*AT13)/AT12/1000</f>
        <v>180.48890195428825</v>
      </c>
      <c r="AS13" s="107" t="s">
        <v>360</v>
      </c>
      <c r="AT13" s="107">
        <v>10000</v>
      </c>
      <c r="AU13" s="107" t="s">
        <v>326</v>
      </c>
      <c r="AW13" s="77"/>
      <c r="AX13" s="77"/>
      <c r="AY13" s="77"/>
      <c r="AZ13" s="77"/>
      <c r="BA13" s="108" t="s">
        <v>357</v>
      </c>
      <c r="BB13" s="108"/>
      <c r="BC13" s="108"/>
      <c r="BD13" s="107"/>
      <c r="BE13" s="107">
        <f>SUM(BE5:BE11)</f>
        <v>3199.4411179252693</v>
      </c>
      <c r="BF13" s="107" t="s">
        <v>330</v>
      </c>
      <c r="BG13" s="107">
        <f>PI()*7^2</f>
        <v>153.93804002589985</v>
      </c>
      <c r="BH13" s="107" t="s">
        <v>326</v>
      </c>
      <c r="BJ13" s="77"/>
      <c r="BK13" s="77"/>
      <c r="BL13" s="77"/>
      <c r="BM13" s="77"/>
      <c r="BN13" s="108" t="s">
        <v>357</v>
      </c>
      <c r="BO13" s="108"/>
      <c r="BP13" s="107"/>
      <c r="BQ13" s="107"/>
      <c r="BR13" s="107">
        <f>SUM(BR5:BR11)</f>
        <v>3221.2081553859553</v>
      </c>
      <c r="BS13" s="107" t="s">
        <v>330</v>
      </c>
      <c r="BT13" s="107">
        <f>PI()*7^2</f>
        <v>153.93804002589985</v>
      </c>
      <c r="BU13" s="107" t="s">
        <v>326</v>
      </c>
      <c r="BW13" s="77"/>
      <c r="BX13" s="77">
        <v>673</v>
      </c>
      <c r="BY13" s="77">
        <v>538.1</v>
      </c>
      <c r="BZ13" s="77">
        <v>-82.2</v>
      </c>
      <c r="CA13">
        <f t="shared" si="11"/>
        <v>455.90000000000003</v>
      </c>
      <c r="CB13">
        <f t="shared" si="12"/>
        <v>1.2120772813576157</v>
      </c>
      <c r="CD13" s="77"/>
      <c r="CE13" s="77">
        <v>680</v>
      </c>
      <c r="CF13" s="77">
        <v>550.4</v>
      </c>
      <c r="CG13" s="77">
        <v>-84.3</v>
      </c>
      <c r="CH13">
        <f t="shared" si="13"/>
        <v>466.09999999999997</v>
      </c>
      <c r="CI13">
        <f t="shared" si="14"/>
        <v>1.241811797646905</v>
      </c>
    </row>
    <row r="14" spans="1:87" x14ac:dyDescent="0.15">
      <c r="A14" s="77"/>
      <c r="B14" s="77"/>
      <c r="C14" s="77"/>
      <c r="D14" s="77"/>
      <c r="E14" s="77"/>
      <c r="L14" s="77"/>
      <c r="M14" s="77"/>
      <c r="N14" s="77"/>
      <c r="P14" s="108" t="s">
        <v>365</v>
      </c>
      <c r="Q14" s="108"/>
      <c r="R14" s="108"/>
      <c r="S14" s="108">
        <f>(S13*U14)/U13/1000</f>
        <v>267.7823346177293</v>
      </c>
      <c r="T14" s="107" t="s">
        <v>360</v>
      </c>
      <c r="U14" s="107">
        <v>10000</v>
      </c>
      <c r="V14" s="107" t="s">
        <v>326</v>
      </c>
      <c r="W14" s="77"/>
      <c r="X14" s="77"/>
      <c r="Y14" s="77"/>
      <c r="Z14" s="77"/>
      <c r="AA14" s="77"/>
      <c r="AB14" s="77"/>
      <c r="AC14" s="77"/>
      <c r="AJ14" s="77"/>
      <c r="AK14" s="77"/>
      <c r="AL14" s="77"/>
      <c r="AM14" s="77"/>
      <c r="AN14" s="77"/>
      <c r="AO14" s="77"/>
      <c r="AW14" s="77"/>
      <c r="AX14" s="77"/>
      <c r="AY14" s="77"/>
      <c r="AZ14" s="77"/>
      <c r="BA14" s="108" t="s">
        <v>365</v>
      </c>
      <c r="BB14" s="108"/>
      <c r="BC14" s="108"/>
      <c r="BD14" s="107"/>
      <c r="BE14" s="107">
        <f>(BE13*BG14)/BG13/1000</f>
        <v>207.83953838745563</v>
      </c>
      <c r="BF14" s="107" t="s">
        <v>360</v>
      </c>
      <c r="BG14" s="107">
        <v>10000</v>
      </c>
      <c r="BH14" s="107" t="s">
        <v>326</v>
      </c>
      <c r="BJ14" s="77"/>
      <c r="BK14" s="77"/>
      <c r="BL14" s="77"/>
      <c r="BM14" s="77"/>
      <c r="BN14" s="108" t="s">
        <v>365</v>
      </c>
      <c r="BO14" s="108"/>
      <c r="BP14" s="107"/>
      <c r="BQ14" s="107"/>
      <c r="BR14" s="107">
        <f>(BR13*BT14)/BT13/1000</f>
        <v>209.25355128881671</v>
      </c>
      <c r="BS14" s="107" t="s">
        <v>360</v>
      </c>
      <c r="BT14" s="107">
        <v>10000</v>
      </c>
      <c r="BU14" s="107" t="s">
        <v>326</v>
      </c>
      <c r="BW14" s="77"/>
      <c r="BX14" s="77">
        <v>676</v>
      </c>
      <c r="BY14" s="77">
        <v>579.20000000000005</v>
      </c>
      <c r="BZ14" s="77">
        <v>-100.2</v>
      </c>
      <c r="CA14">
        <f t="shared" si="11"/>
        <v>479.00000000000006</v>
      </c>
      <c r="CB14">
        <f t="shared" si="12"/>
        <v>1.2969126357921734</v>
      </c>
      <c r="CD14" s="77"/>
      <c r="CE14" s="77">
        <v>468</v>
      </c>
      <c r="CF14" s="77">
        <v>572.9</v>
      </c>
      <c r="CG14" s="77">
        <v>-47.7</v>
      </c>
      <c r="CH14">
        <f t="shared" si="13"/>
        <v>525.19999999999993</v>
      </c>
      <c r="CI14">
        <f t="shared" si="14"/>
        <v>1.3496081202621095</v>
      </c>
    </row>
    <row r="15" spans="1:87" x14ac:dyDescent="0.15">
      <c r="A15" s="77"/>
      <c r="B15" s="77"/>
      <c r="C15" s="77"/>
      <c r="D15" s="77"/>
      <c r="E15" s="77"/>
      <c r="L15" s="77"/>
      <c r="M15" s="77"/>
      <c r="N15" s="77"/>
      <c r="O15" s="77"/>
      <c r="P15" s="77"/>
      <c r="Q15" s="77"/>
      <c r="R15" s="77"/>
      <c r="W15" s="77"/>
      <c r="X15" s="77"/>
      <c r="Y15" s="77"/>
      <c r="Z15" s="77"/>
      <c r="AA15" s="77"/>
      <c r="AB15" s="77"/>
      <c r="AC15" s="77"/>
      <c r="AJ15" s="77"/>
      <c r="AK15" s="77"/>
      <c r="AL15" s="77"/>
      <c r="AM15" s="77"/>
      <c r="AN15" s="77"/>
      <c r="AO15" s="77"/>
      <c r="AW15" s="77"/>
      <c r="AX15" s="77"/>
      <c r="AY15" s="77"/>
      <c r="AZ15" s="77"/>
      <c r="BA15" s="77"/>
      <c r="BB15" s="77"/>
      <c r="BC15" s="77"/>
      <c r="BJ15" s="77"/>
      <c r="BK15" s="77"/>
      <c r="BL15" s="77"/>
      <c r="BM15" s="77"/>
      <c r="BN15" s="77"/>
      <c r="BO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</row>
    <row r="16" spans="1:87" x14ac:dyDescent="0.15">
      <c r="CB16" s="77">
        <f>AVERAGE(CB5:CB14)</f>
        <v>1.2332663204731813</v>
      </c>
      <c r="CI16">
        <f>AVERAGE(CI5:CI14)</f>
        <v>1.278518785861791</v>
      </c>
    </row>
    <row r="17" spans="1:85" x14ac:dyDescent="0.15">
      <c r="Y17" s="77"/>
      <c r="Z17" s="77" t="s">
        <v>281</v>
      </c>
      <c r="AA17" s="77"/>
      <c r="AB17" s="77" t="s">
        <v>282</v>
      </c>
      <c r="AK17" s="77" t="s">
        <v>284</v>
      </c>
      <c r="AL17" s="77"/>
      <c r="AM17" s="77"/>
      <c r="AN17" s="77"/>
      <c r="AX17" s="77" t="s">
        <v>286</v>
      </c>
      <c r="AY17" s="77"/>
      <c r="AZ17" s="77"/>
      <c r="BA17" s="77"/>
      <c r="BB17" s="77"/>
    </row>
    <row r="18" spans="1:85" x14ac:dyDescent="0.15">
      <c r="A18" s="77" t="s">
        <v>277</v>
      </c>
      <c r="B18" s="77"/>
      <c r="C18" s="77"/>
      <c r="D18" s="77"/>
      <c r="M18" s="77" t="s">
        <v>279</v>
      </c>
      <c r="N18" s="77"/>
      <c r="O18" s="77"/>
      <c r="P18" s="77"/>
      <c r="Q18" s="77"/>
      <c r="Y18" s="77"/>
      <c r="Z18" s="77"/>
      <c r="AA18" s="77"/>
      <c r="AB18" s="77"/>
      <c r="AK18" s="77"/>
      <c r="AL18" s="77"/>
      <c r="AM18" s="77"/>
      <c r="AN18" s="77"/>
      <c r="AX18" s="77"/>
      <c r="AY18" s="77"/>
      <c r="AZ18" s="77"/>
      <c r="BA18" s="77"/>
      <c r="BB18" s="77"/>
      <c r="BX18" s="77" t="s">
        <v>306</v>
      </c>
      <c r="CE18" s="77" t="s">
        <v>307</v>
      </c>
      <c r="CF18" s="77"/>
      <c r="CG18" s="77"/>
    </row>
    <row r="19" spans="1:85" x14ac:dyDescent="0.15">
      <c r="A19" s="77"/>
      <c r="B19" s="77"/>
      <c r="C19" s="77"/>
      <c r="D19" s="77"/>
      <c r="M19" s="77"/>
      <c r="N19" s="77"/>
      <c r="O19" s="77"/>
      <c r="P19" s="77"/>
      <c r="Q19" s="77"/>
      <c r="Y19" s="77"/>
      <c r="Z19" s="77"/>
      <c r="AA19" s="77"/>
      <c r="AB19" s="77"/>
      <c r="AC19" s="76" t="s">
        <v>601</v>
      </c>
      <c r="AK19" s="77"/>
      <c r="AL19" s="77"/>
      <c r="AM19" s="77"/>
      <c r="AN19" s="77"/>
      <c r="AO19" s="76" t="s">
        <v>601</v>
      </c>
      <c r="AX19" s="77"/>
      <c r="AY19" s="77"/>
      <c r="AZ19" s="77"/>
      <c r="BA19" s="77"/>
      <c r="BB19" s="76" t="s">
        <v>601</v>
      </c>
      <c r="BY19" s="77" t="s">
        <v>308</v>
      </c>
      <c r="CF19" s="77" t="s">
        <v>308</v>
      </c>
    </row>
    <row r="20" spans="1:85" x14ac:dyDescent="0.15">
      <c r="A20" s="77"/>
      <c r="B20" s="77"/>
      <c r="C20" s="77"/>
      <c r="D20" s="77"/>
      <c r="E20" s="76" t="s">
        <v>602</v>
      </c>
      <c r="M20" s="77"/>
      <c r="N20" s="77"/>
      <c r="O20" s="77"/>
      <c r="P20" s="77"/>
      <c r="Q20" s="77"/>
      <c r="R20" s="76" t="s">
        <v>602</v>
      </c>
      <c r="Y20" s="77" t="s">
        <v>228</v>
      </c>
      <c r="Z20" s="77" t="s">
        <v>296</v>
      </c>
      <c r="AA20" s="77" t="s">
        <v>298</v>
      </c>
      <c r="AB20" t="s">
        <v>382</v>
      </c>
      <c r="AC20" t="s">
        <v>231</v>
      </c>
      <c r="AK20" s="77" t="s">
        <v>295</v>
      </c>
      <c r="AL20" s="77" t="s">
        <v>296</v>
      </c>
      <c r="AM20" s="77" t="s">
        <v>297</v>
      </c>
      <c r="AN20" t="s">
        <v>382</v>
      </c>
      <c r="AO20" t="s">
        <v>231</v>
      </c>
      <c r="AX20" s="77" t="s">
        <v>295</v>
      </c>
      <c r="AY20" s="77" t="s">
        <v>296</v>
      </c>
      <c r="AZ20" s="77" t="s">
        <v>297</v>
      </c>
      <c r="BA20" s="77" t="s">
        <v>382</v>
      </c>
      <c r="BB20" t="s">
        <v>231</v>
      </c>
      <c r="BK20" s="77" t="s">
        <v>288</v>
      </c>
      <c r="BL20" s="77"/>
      <c r="BM20" s="77"/>
      <c r="BN20" s="77"/>
      <c r="BY20" s="77">
        <v>56</v>
      </c>
      <c r="CF20" s="77">
        <v>60</v>
      </c>
    </row>
    <row r="21" spans="1:85" x14ac:dyDescent="0.15">
      <c r="A21" s="77" t="s">
        <v>228</v>
      </c>
      <c r="B21" s="77" t="s">
        <v>293</v>
      </c>
      <c r="C21" s="77" t="s">
        <v>294</v>
      </c>
      <c r="D21" t="s">
        <v>382</v>
      </c>
      <c r="E21" t="s">
        <v>231</v>
      </c>
      <c r="M21" s="77" t="s">
        <v>295</v>
      </c>
      <c r="N21" s="77" t="s">
        <v>296</v>
      </c>
      <c r="O21" s="77" t="s">
        <v>297</v>
      </c>
      <c r="P21" s="77"/>
      <c r="Q21" t="s">
        <v>382</v>
      </c>
      <c r="R21" t="s">
        <v>231</v>
      </c>
      <c r="Y21" s="77">
        <v>648</v>
      </c>
      <c r="Z21" s="77">
        <v>592.29999999999995</v>
      </c>
      <c r="AA21" s="77">
        <v>-114.7</v>
      </c>
      <c r="AB21">
        <f>Z21+AA21</f>
        <v>477.59999999999997</v>
      </c>
      <c r="AC21">
        <f t="shared" ref="AC21:AC30" si="15">AB21/($A$35-((-AA21)/2.65))</f>
        <v>1.3125675721223025</v>
      </c>
      <c r="AK21" s="77">
        <v>561</v>
      </c>
      <c r="AL21" s="77">
        <v>504.9</v>
      </c>
      <c r="AM21" s="77">
        <v>-121</v>
      </c>
      <c r="AN21">
        <f>AL21+AM21</f>
        <v>383.9</v>
      </c>
      <c r="AO21">
        <f>AN21/($A$35-((-AM21)/2.65))</f>
        <v>1.0619945247521394</v>
      </c>
      <c r="AX21" s="77">
        <v>641</v>
      </c>
      <c r="AY21" s="77">
        <v>623</v>
      </c>
      <c r="AZ21" s="77">
        <v>-223.5</v>
      </c>
      <c r="BA21" s="77">
        <f>AY21+AZ21</f>
        <v>399.5</v>
      </c>
      <c r="BB21">
        <f>BA21/($A$35-((-AZ21)/2.65))</f>
        <v>1.2375686409744608</v>
      </c>
      <c r="BK21" s="77"/>
      <c r="BL21" s="77"/>
      <c r="BM21" s="77"/>
      <c r="BN21" s="77"/>
      <c r="BY21" s="77">
        <v>45</v>
      </c>
      <c r="CF21" s="77">
        <v>30</v>
      </c>
    </row>
    <row r="22" spans="1:85" x14ac:dyDescent="0.15">
      <c r="A22" s="77">
        <v>470</v>
      </c>
      <c r="B22" s="77">
        <v>526.9</v>
      </c>
      <c r="C22" s="77">
        <v>-79.3</v>
      </c>
      <c r="D22">
        <f>B22+C22</f>
        <v>447.59999999999997</v>
      </c>
      <c r="E22">
        <f>D22/($A$35-((-C22)/2.65))</f>
        <v>1.1865582617872799</v>
      </c>
      <c r="M22" s="77">
        <v>645</v>
      </c>
      <c r="N22" s="77">
        <v>621.1</v>
      </c>
      <c r="O22" s="77">
        <v>-120.5</v>
      </c>
      <c r="P22" s="77"/>
      <c r="Q22">
        <f>N22+O22</f>
        <v>500.6</v>
      </c>
      <c r="R22">
        <f>Q22/($A$35-((-O22)/2.65))</f>
        <v>1.384102937302252</v>
      </c>
      <c r="Y22" s="77">
        <v>574</v>
      </c>
      <c r="Z22" s="77">
        <v>604</v>
      </c>
      <c r="AA22" s="77">
        <v>-167</v>
      </c>
      <c r="AB22">
        <f t="shared" ref="AB22:AB30" si="16">Z22+AA22</f>
        <v>437</v>
      </c>
      <c r="AC22">
        <f t="shared" si="15"/>
        <v>1.2698647674345289</v>
      </c>
      <c r="AK22" s="77">
        <v>563</v>
      </c>
      <c r="AL22" s="77">
        <v>571.70000000000005</v>
      </c>
      <c r="AM22" s="77">
        <v>-90.9</v>
      </c>
      <c r="AN22">
        <f t="shared" ref="AN22:AN30" si="17">AL22+AM22</f>
        <v>480.80000000000007</v>
      </c>
      <c r="AO22">
        <f t="shared" ref="AO22:AO30" si="18">AN22/($A$35-((-AM22)/2.65))</f>
        <v>1.2895331449145919</v>
      </c>
      <c r="AX22" s="77">
        <v>656</v>
      </c>
      <c r="AY22" s="77">
        <v>594.6</v>
      </c>
      <c r="AZ22" s="77">
        <v>-151.19999999999999</v>
      </c>
      <c r="BA22" s="77">
        <f t="shared" ref="BA22:BA30" si="19">AY22+AZ22</f>
        <v>443.40000000000003</v>
      </c>
      <c r="BB22">
        <f t="shared" ref="BB22:BB30" si="20">BA22/($A$35-((-AZ22)/2.65))</f>
        <v>1.2665191768234354</v>
      </c>
      <c r="BK22" s="77"/>
      <c r="BL22" s="77"/>
      <c r="BM22" s="77"/>
      <c r="BN22" s="77"/>
      <c r="BY22" s="77">
        <v>50</v>
      </c>
      <c r="CF22" s="77">
        <v>20</v>
      </c>
    </row>
    <row r="23" spans="1:85" x14ac:dyDescent="0.15">
      <c r="A23" s="77">
        <v>755</v>
      </c>
      <c r="B23" s="77">
        <v>539.1</v>
      </c>
      <c r="C23" s="77">
        <v>-87.7</v>
      </c>
      <c r="D23">
        <f t="shared" ref="D23:D31" si="21">B23+C23</f>
        <v>451.40000000000003</v>
      </c>
      <c r="E23">
        <f t="shared" ref="E23:E31" si="22">D23/($A$35-((-C23)/2.65))</f>
        <v>1.2067722743310831</v>
      </c>
      <c r="M23" s="77">
        <v>754</v>
      </c>
      <c r="N23" s="77">
        <v>656.4</v>
      </c>
      <c r="O23" s="77">
        <v>-153.1</v>
      </c>
      <c r="P23" s="77"/>
      <c r="Q23">
        <f t="shared" ref="Q23:Q31" si="23">N23+O23</f>
        <v>503.29999999999995</v>
      </c>
      <c r="R23">
        <f t="shared" ref="R23:R31" si="24">Q23/($A$35-((-O23)/2.65))</f>
        <v>1.4405666159923745</v>
      </c>
      <c r="Y23" s="77">
        <v>758</v>
      </c>
      <c r="Z23" s="77">
        <v>530.1</v>
      </c>
      <c r="AA23" s="77">
        <v>-100</v>
      </c>
      <c r="AB23">
        <f t="shared" si="16"/>
        <v>430.1</v>
      </c>
      <c r="AC23">
        <f t="shared" si="15"/>
        <v>1.1642759187801186</v>
      </c>
      <c r="AK23" s="77">
        <v>470</v>
      </c>
      <c r="AL23" s="77">
        <v>563.1</v>
      </c>
      <c r="AM23" s="77">
        <v>-45.5</v>
      </c>
      <c r="AN23">
        <f t="shared" si="17"/>
        <v>517.6</v>
      </c>
      <c r="AO23">
        <f t="shared" si="18"/>
        <v>1.3272469090108594</v>
      </c>
      <c r="AX23" s="77">
        <v>574</v>
      </c>
      <c r="AY23" s="77">
        <v>551.70000000000005</v>
      </c>
      <c r="AZ23" s="77">
        <v>-121.5</v>
      </c>
      <c r="BA23" s="77">
        <f t="shared" si="19"/>
        <v>430.20000000000005</v>
      </c>
      <c r="BB23">
        <f t="shared" si="20"/>
        <v>1.1906971400520658</v>
      </c>
      <c r="BK23" s="77" t="s">
        <v>295</v>
      </c>
      <c r="BL23" s="77" t="s">
        <v>296</v>
      </c>
      <c r="BM23" s="77" t="s">
        <v>297</v>
      </c>
      <c r="BN23" s="77" t="s">
        <v>382</v>
      </c>
      <c r="BO23" t="s">
        <v>231</v>
      </c>
      <c r="BY23" s="77">
        <v>53</v>
      </c>
      <c r="CF23" s="77">
        <v>60</v>
      </c>
    </row>
    <row r="24" spans="1:85" x14ac:dyDescent="0.15">
      <c r="A24" s="77">
        <v>561</v>
      </c>
      <c r="B24" s="77">
        <v>496.7</v>
      </c>
      <c r="C24" s="77">
        <v>-70.8</v>
      </c>
      <c r="D24">
        <f t="shared" si="21"/>
        <v>425.9</v>
      </c>
      <c r="E24">
        <f t="shared" si="22"/>
        <v>1.1195137616271429</v>
      </c>
      <c r="M24" s="77">
        <v>679</v>
      </c>
      <c r="N24" s="77">
        <v>669.9</v>
      </c>
      <c r="O24" s="77">
        <v>-148.19999999999999</v>
      </c>
      <c r="P24" s="77"/>
      <c r="Q24">
        <f t="shared" si="23"/>
        <v>521.70000000000005</v>
      </c>
      <c r="R24">
        <f t="shared" si="24"/>
        <v>1.4853706295208959</v>
      </c>
      <c r="Y24" s="77">
        <v>467</v>
      </c>
      <c r="Z24" s="77">
        <v>563.9</v>
      </c>
      <c r="AA24" s="77">
        <v>-82.4</v>
      </c>
      <c r="AB24">
        <f t="shared" si="16"/>
        <v>481.5</v>
      </c>
      <c r="AC24">
        <f t="shared" si="15"/>
        <v>1.2803955656905468</v>
      </c>
      <c r="AK24" s="77">
        <v>755</v>
      </c>
      <c r="AL24" s="77">
        <v>595.6</v>
      </c>
      <c r="AM24" s="77">
        <v>-121</v>
      </c>
      <c r="AN24">
        <f t="shared" si="17"/>
        <v>474.6</v>
      </c>
      <c r="AO24">
        <f t="shared" si="18"/>
        <v>1.312900759175216</v>
      </c>
      <c r="AR24" t="s">
        <v>373</v>
      </c>
      <c r="AX24" s="77">
        <v>248</v>
      </c>
      <c r="AY24" s="77">
        <v>602.70000000000005</v>
      </c>
      <c r="AZ24" s="77">
        <v>-184.5</v>
      </c>
      <c r="BA24" s="77">
        <f t="shared" si="19"/>
        <v>418.20000000000005</v>
      </c>
      <c r="BB24">
        <f t="shared" si="20"/>
        <v>1.2390106741871381</v>
      </c>
      <c r="BK24" s="77">
        <v>754</v>
      </c>
      <c r="BL24" s="77">
        <v>543.9</v>
      </c>
      <c r="BM24" s="77">
        <v>-172.6</v>
      </c>
      <c r="BN24">
        <f>BL24+BM24</f>
        <v>371.29999999999995</v>
      </c>
      <c r="BO24">
        <f t="shared" ref="BO24:BO33" si="25">BN24/($A$35-((-BM24)/2.65))</f>
        <v>1.0856156165267736</v>
      </c>
      <c r="BY24" s="77">
        <v>55</v>
      </c>
      <c r="CF24" s="77">
        <v>54</v>
      </c>
    </row>
    <row r="25" spans="1:85" x14ac:dyDescent="0.15">
      <c r="A25" s="77">
        <v>249</v>
      </c>
      <c r="B25" s="77">
        <v>543.6</v>
      </c>
      <c r="C25" s="77">
        <v>-73.3</v>
      </c>
      <c r="D25">
        <f t="shared" si="21"/>
        <v>470.3</v>
      </c>
      <c r="E25">
        <f t="shared" si="22"/>
        <v>1.2392960754140989</v>
      </c>
      <c r="M25" s="77">
        <v>746</v>
      </c>
      <c r="N25" s="77">
        <v>651.6</v>
      </c>
      <c r="O25" s="77">
        <v>-46.9</v>
      </c>
      <c r="P25" s="77"/>
      <c r="Q25">
        <f t="shared" si="23"/>
        <v>604.70000000000005</v>
      </c>
      <c r="R25">
        <f t="shared" si="24"/>
        <v>1.5526950067705219</v>
      </c>
      <c r="Y25" s="77">
        <v>641</v>
      </c>
      <c r="Z25" s="77">
        <v>580.1</v>
      </c>
      <c r="AA25" s="77">
        <v>-105.1</v>
      </c>
      <c r="AB25">
        <f t="shared" si="16"/>
        <v>475</v>
      </c>
      <c r="AC25">
        <f t="shared" si="15"/>
        <v>1.2925535055540012</v>
      </c>
      <c r="AK25" s="77">
        <v>252</v>
      </c>
      <c r="AL25" s="77">
        <v>600.29999999999995</v>
      </c>
      <c r="AM25" s="77">
        <v>-169.5</v>
      </c>
      <c r="AN25">
        <f t="shared" si="17"/>
        <v>430.79999999999995</v>
      </c>
      <c r="AO25">
        <f t="shared" si="18"/>
        <v>1.2552896126494382</v>
      </c>
      <c r="AR25" t="s">
        <v>153</v>
      </c>
      <c r="AW25" t="s">
        <v>159</v>
      </c>
      <c r="AX25" s="77">
        <v>1664</v>
      </c>
      <c r="AY25" s="77">
        <v>575.70000000000005</v>
      </c>
      <c r="AZ25" s="77">
        <v>-134</v>
      </c>
      <c r="BA25" s="77">
        <f t="shared" si="19"/>
        <v>441.70000000000005</v>
      </c>
      <c r="BB25">
        <f t="shared" si="20"/>
        <v>1.2386984462099748</v>
      </c>
      <c r="BK25" s="77">
        <v>757</v>
      </c>
      <c r="BL25" s="77">
        <v>520.4</v>
      </c>
      <c r="BM25" s="77">
        <v>-153.4</v>
      </c>
      <c r="BN25">
        <f t="shared" ref="BN25:BN33" si="26">BL25+BM25</f>
        <v>367</v>
      </c>
      <c r="BO25">
        <f t="shared" si="25"/>
        <v>1.0507834551981396</v>
      </c>
      <c r="BY25" s="77">
        <v>55</v>
      </c>
      <c r="CF25" s="77">
        <v>46</v>
      </c>
    </row>
    <row r="26" spans="1:85" x14ac:dyDescent="0.15">
      <c r="A26" s="77">
        <v>247</v>
      </c>
      <c r="B26" s="77">
        <v>525.79999999999995</v>
      </c>
      <c r="C26" s="77">
        <v>-102.8</v>
      </c>
      <c r="D26">
        <f t="shared" si="21"/>
        <v>422.99999999999994</v>
      </c>
      <c r="E26">
        <f t="shared" si="22"/>
        <v>1.1483407989059029</v>
      </c>
      <c r="M26" s="77">
        <v>657</v>
      </c>
      <c r="N26" s="77">
        <v>640.79999999999995</v>
      </c>
      <c r="O26" s="77">
        <v>-167.2</v>
      </c>
      <c r="P26" s="77"/>
      <c r="Q26">
        <f t="shared" si="23"/>
        <v>473.59999999999997</v>
      </c>
      <c r="R26">
        <f t="shared" si="24"/>
        <v>1.3765214601630384</v>
      </c>
      <c r="Y26" s="77">
        <v>248</v>
      </c>
      <c r="Z26" s="77">
        <v>591.1</v>
      </c>
      <c r="AA26" s="77">
        <v>-98.9</v>
      </c>
      <c r="AB26">
        <f t="shared" si="16"/>
        <v>492.20000000000005</v>
      </c>
      <c r="AC26">
        <f t="shared" si="15"/>
        <v>1.3308844724362852</v>
      </c>
      <c r="AK26" s="77">
        <v>249</v>
      </c>
      <c r="AL26" s="77">
        <v>542.5</v>
      </c>
      <c r="AM26" s="77">
        <v>-79.400000000000006</v>
      </c>
      <c r="AN26">
        <f t="shared" si="17"/>
        <v>463.1</v>
      </c>
      <c r="AO26">
        <f t="shared" si="18"/>
        <v>1.2277705661811971</v>
      </c>
      <c r="AR26" t="s">
        <v>154</v>
      </c>
      <c r="AS26">
        <v>-0.89359</v>
      </c>
      <c r="AW26" t="s">
        <v>160</v>
      </c>
      <c r="AX26" s="77">
        <v>464</v>
      </c>
      <c r="AY26" s="77">
        <v>562.6</v>
      </c>
      <c r="AZ26" s="77">
        <v>-194</v>
      </c>
      <c r="BA26" s="77">
        <f t="shared" si="19"/>
        <v>368.6</v>
      </c>
      <c r="BB26">
        <f t="shared" si="20"/>
        <v>1.1037829927764078</v>
      </c>
      <c r="BK26" s="77">
        <v>462</v>
      </c>
      <c r="BL26" s="77">
        <v>588.79999999999995</v>
      </c>
      <c r="BM26" s="77">
        <v>-288.89999999999998</v>
      </c>
      <c r="BN26">
        <f t="shared" si="26"/>
        <v>299.89999999999998</v>
      </c>
      <c r="BO26">
        <f t="shared" si="25"/>
        <v>1.0059331875615074</v>
      </c>
      <c r="BY26" s="77">
        <v>56</v>
      </c>
      <c r="CF26" s="77">
        <v>55</v>
      </c>
    </row>
    <row r="27" spans="1:85" x14ac:dyDescent="0.15">
      <c r="A27" s="77">
        <v>674</v>
      </c>
      <c r="B27" s="77">
        <v>514.79999999999995</v>
      </c>
      <c r="C27" s="77">
        <v>-68.7</v>
      </c>
      <c r="D27">
        <f t="shared" si="21"/>
        <v>446.09999999999997</v>
      </c>
      <c r="E27">
        <f t="shared" si="22"/>
        <v>1.1701736455670515</v>
      </c>
      <c r="M27" s="77">
        <v>750</v>
      </c>
      <c r="N27" s="77">
        <v>678.7</v>
      </c>
      <c r="O27" s="77">
        <v>-184.6</v>
      </c>
      <c r="P27" s="77"/>
      <c r="Q27">
        <f t="shared" si="23"/>
        <v>494.1</v>
      </c>
      <c r="R27">
        <f t="shared" si="24"/>
        <v>1.4640450160591942</v>
      </c>
      <c r="Y27" s="77">
        <v>570</v>
      </c>
      <c r="Z27" s="77">
        <v>555.5</v>
      </c>
      <c r="AA27" s="77">
        <v>-135.19999999999999</v>
      </c>
      <c r="AB27">
        <f t="shared" si="16"/>
        <v>420.3</v>
      </c>
      <c r="AC27">
        <f t="shared" si="15"/>
        <v>1.1801832587635994</v>
      </c>
      <c r="AK27" s="77">
        <v>759</v>
      </c>
      <c r="AL27" s="77">
        <v>543.79999999999995</v>
      </c>
      <c r="AM27" s="77">
        <v>-106.4</v>
      </c>
      <c r="AN27">
        <f t="shared" si="17"/>
        <v>437.4</v>
      </c>
      <c r="AO27">
        <f t="shared" si="18"/>
        <v>1.1918286767484365</v>
      </c>
      <c r="AR27" t="s">
        <v>155</v>
      </c>
      <c r="AS27">
        <v>2.2795399999999999</v>
      </c>
      <c r="AX27" s="77">
        <v>648</v>
      </c>
      <c r="AY27" s="77">
        <v>544.4</v>
      </c>
      <c r="AZ27" s="77">
        <v>-127</v>
      </c>
      <c r="BA27" s="77">
        <f t="shared" si="19"/>
        <v>417.4</v>
      </c>
      <c r="BB27">
        <f t="shared" si="20"/>
        <v>1.1619443299131516</v>
      </c>
      <c r="BK27" s="77">
        <v>645</v>
      </c>
      <c r="BL27" s="77">
        <v>586.4</v>
      </c>
      <c r="BM27" s="77">
        <v>-164.7</v>
      </c>
      <c r="BN27">
        <f t="shared" si="26"/>
        <v>421.7</v>
      </c>
      <c r="BO27">
        <f t="shared" si="25"/>
        <v>1.2223221829974924</v>
      </c>
      <c r="BY27" s="77">
        <v>52</v>
      </c>
      <c r="CF27" s="77">
        <v>53</v>
      </c>
    </row>
    <row r="28" spans="1:85" x14ac:dyDescent="0.15">
      <c r="A28" s="77">
        <v>759</v>
      </c>
      <c r="B28" s="77">
        <v>511.9</v>
      </c>
      <c r="C28" s="77">
        <v>-93.1</v>
      </c>
      <c r="D28">
        <f t="shared" si="21"/>
        <v>418.79999999999995</v>
      </c>
      <c r="E28">
        <f t="shared" si="22"/>
        <v>1.125752208125496</v>
      </c>
      <c r="M28" s="77">
        <v>757</v>
      </c>
      <c r="N28" s="77">
        <v>663.1</v>
      </c>
      <c r="O28" s="77">
        <v>-167</v>
      </c>
      <c r="P28" s="77"/>
      <c r="Q28">
        <f t="shared" si="23"/>
        <v>496.1</v>
      </c>
      <c r="R28">
        <f t="shared" si="24"/>
        <v>1.4416016272866587</v>
      </c>
      <c r="Y28" s="77">
        <v>464</v>
      </c>
      <c r="Z28" s="77">
        <v>562</v>
      </c>
      <c r="AA28" s="77">
        <v>-93</v>
      </c>
      <c r="AB28">
        <f t="shared" si="16"/>
        <v>469</v>
      </c>
      <c r="AC28">
        <f t="shared" si="15"/>
        <v>1.2605640766876534</v>
      </c>
      <c r="AK28" s="77">
        <v>247</v>
      </c>
      <c r="AL28" s="77">
        <v>531.6</v>
      </c>
      <c r="AM28" s="77">
        <v>-71.8</v>
      </c>
      <c r="AN28">
        <f t="shared" si="17"/>
        <v>459.8</v>
      </c>
      <c r="AO28">
        <f t="shared" si="18"/>
        <v>1.2098227915970601</v>
      </c>
      <c r="AR28" t="s">
        <v>156</v>
      </c>
      <c r="AS28">
        <v>-1.18672</v>
      </c>
      <c r="AX28" s="77">
        <v>758</v>
      </c>
      <c r="AY28" s="77">
        <v>585.29999999999995</v>
      </c>
      <c r="AZ28" s="77">
        <v>-129.30000000000001</v>
      </c>
      <c r="BA28" s="77">
        <f t="shared" si="19"/>
        <v>455.99999999999994</v>
      </c>
      <c r="BB28">
        <f t="shared" si="20"/>
        <v>1.272472154141405</v>
      </c>
      <c r="BK28" s="77">
        <v>471</v>
      </c>
      <c r="BL28" s="77">
        <v>523.4</v>
      </c>
      <c r="BM28" s="77">
        <v>-165.5</v>
      </c>
      <c r="BN28">
        <f t="shared" si="26"/>
        <v>357.9</v>
      </c>
      <c r="BO28">
        <f t="shared" si="25"/>
        <v>1.0383026939150855</v>
      </c>
      <c r="BY28" s="77">
        <v>53</v>
      </c>
      <c r="CF28" s="77">
        <v>52</v>
      </c>
    </row>
    <row r="29" spans="1:85" x14ac:dyDescent="0.15">
      <c r="A29" s="77">
        <v>252</v>
      </c>
      <c r="B29" s="77">
        <v>502.1</v>
      </c>
      <c r="C29" s="77">
        <v>-63</v>
      </c>
      <c r="D29">
        <f t="shared" si="21"/>
        <v>439.1</v>
      </c>
      <c r="E29">
        <f t="shared" si="22"/>
        <v>1.1453495382389347</v>
      </c>
      <c r="M29" s="77">
        <v>743</v>
      </c>
      <c r="N29" s="77">
        <v>621.79999999999995</v>
      </c>
      <c r="O29" s="77">
        <v>-135.6</v>
      </c>
      <c r="P29" s="77"/>
      <c r="Q29">
        <f t="shared" si="23"/>
        <v>486.19999999999993</v>
      </c>
      <c r="R29">
        <f t="shared" si="24"/>
        <v>1.3658063438976622</v>
      </c>
      <c r="Y29" s="77">
        <v>1664</v>
      </c>
      <c r="Z29" s="77">
        <v>567</v>
      </c>
      <c r="AA29" s="77">
        <v>-110.2</v>
      </c>
      <c r="AB29">
        <f t="shared" si="16"/>
        <v>456.8</v>
      </c>
      <c r="AC29">
        <f t="shared" si="15"/>
        <v>1.2495722569606631</v>
      </c>
      <c r="AK29" s="77">
        <v>749</v>
      </c>
      <c r="AL29" s="77">
        <v>655</v>
      </c>
      <c r="AM29" s="77">
        <v>-182.7</v>
      </c>
      <c r="AN29">
        <f t="shared" si="17"/>
        <v>472.3</v>
      </c>
      <c r="AO29">
        <f t="shared" si="18"/>
        <v>1.3964836721999225</v>
      </c>
      <c r="AR29" t="s">
        <v>157</v>
      </c>
      <c r="AS29">
        <v>7.07362</v>
      </c>
      <c r="AX29" s="77">
        <v>467</v>
      </c>
      <c r="AY29" s="77">
        <v>552.4</v>
      </c>
      <c r="AZ29" s="77">
        <v>-111.7</v>
      </c>
      <c r="BA29" s="77">
        <f t="shared" si="19"/>
        <v>440.7</v>
      </c>
      <c r="BB29">
        <f t="shared" si="20"/>
        <v>1.2074003809779814</v>
      </c>
      <c r="BK29" s="77">
        <v>743</v>
      </c>
      <c r="BL29" s="77">
        <v>503.1</v>
      </c>
      <c r="BM29" s="77">
        <v>-159.6</v>
      </c>
      <c r="BN29">
        <f t="shared" si="26"/>
        <v>343.5</v>
      </c>
      <c r="BO29">
        <f t="shared" si="25"/>
        <v>0.9901315878925</v>
      </c>
      <c r="BY29" s="77">
        <v>53</v>
      </c>
      <c r="CF29" s="77">
        <v>54</v>
      </c>
    </row>
    <row r="30" spans="1:85" x14ac:dyDescent="0.15">
      <c r="A30" s="77">
        <v>563</v>
      </c>
      <c r="B30" s="77">
        <v>562.29999999999995</v>
      </c>
      <c r="C30" s="77">
        <v>-123.3</v>
      </c>
      <c r="D30">
        <f t="shared" si="21"/>
        <v>438.99999999999994</v>
      </c>
      <c r="E30">
        <f t="shared" si="22"/>
        <v>1.2173421685297141</v>
      </c>
      <c r="M30" s="77">
        <v>462</v>
      </c>
      <c r="N30" s="77">
        <v>647.1</v>
      </c>
      <c r="O30" s="77">
        <v>-204.8</v>
      </c>
      <c r="P30" s="77"/>
      <c r="Q30">
        <f t="shared" si="23"/>
        <v>442.3</v>
      </c>
      <c r="R30">
        <f t="shared" si="24"/>
        <v>1.3408435075316236</v>
      </c>
      <c r="Y30" s="77">
        <v>656</v>
      </c>
      <c r="Z30" s="77">
        <v>611.29999999999995</v>
      </c>
      <c r="AA30" s="77">
        <v>-155.30000000000001</v>
      </c>
      <c r="AB30">
        <f t="shared" si="16"/>
        <v>455.99999999999994</v>
      </c>
      <c r="AC30">
        <f t="shared" si="15"/>
        <v>1.3082913124325024</v>
      </c>
      <c r="AK30" s="77">
        <v>674</v>
      </c>
      <c r="AL30" s="77">
        <v>624.79999999999995</v>
      </c>
      <c r="AM30" s="77">
        <v>-143.69999999999999</v>
      </c>
      <c r="AN30">
        <f t="shared" si="17"/>
        <v>481.09999999999997</v>
      </c>
      <c r="AO30">
        <f t="shared" si="18"/>
        <v>1.3631846115600417</v>
      </c>
      <c r="AR30" t="s">
        <v>158</v>
      </c>
      <c r="AS30">
        <v>-5.4517499999999997</v>
      </c>
      <c r="AX30" s="77">
        <v>570</v>
      </c>
      <c r="AY30" s="77">
        <v>548.6</v>
      </c>
      <c r="AZ30" s="77">
        <v>-88</v>
      </c>
      <c r="BA30" s="77">
        <f t="shared" si="19"/>
        <v>460.6</v>
      </c>
      <c r="BB30">
        <f t="shared" si="20"/>
        <v>1.2317403293312714</v>
      </c>
      <c r="BK30" s="77">
        <v>746</v>
      </c>
      <c r="BL30" s="77">
        <v>523.20000000000005</v>
      </c>
      <c r="BM30" s="77">
        <v>-150.9</v>
      </c>
      <c r="BN30">
        <f t="shared" si="26"/>
        <v>372.30000000000007</v>
      </c>
      <c r="BO30">
        <f t="shared" si="25"/>
        <v>1.0630867493312575</v>
      </c>
    </row>
    <row r="31" spans="1:85" x14ac:dyDescent="0.15">
      <c r="A31" s="77">
        <v>749</v>
      </c>
      <c r="B31" s="77">
        <v>539.29999999999995</v>
      </c>
      <c r="C31" s="77">
        <v>-126.3</v>
      </c>
      <c r="D31">
        <f t="shared" si="21"/>
        <v>412.99999999999994</v>
      </c>
      <c r="E31">
        <f t="shared" si="22"/>
        <v>1.1488509653360766</v>
      </c>
      <c r="M31" s="77">
        <v>471</v>
      </c>
      <c r="N31" s="77">
        <v>678</v>
      </c>
      <c r="O31" s="77">
        <v>-149</v>
      </c>
      <c r="P31" s="77"/>
      <c r="Q31">
        <f t="shared" si="23"/>
        <v>529</v>
      </c>
      <c r="R31">
        <f t="shared" si="24"/>
        <v>1.5074506894206394</v>
      </c>
      <c r="Y31" s="77"/>
      <c r="Z31" s="77"/>
      <c r="AA31" s="77"/>
      <c r="AB31" s="77"/>
      <c r="AK31" s="77"/>
      <c r="AL31" s="77"/>
      <c r="AM31" s="77"/>
      <c r="AN31" s="77"/>
      <c r="AX31" s="77"/>
      <c r="AY31" s="77"/>
      <c r="AZ31" s="77"/>
      <c r="BA31" s="77"/>
      <c r="BB31" s="77"/>
      <c r="BK31" s="77">
        <v>750</v>
      </c>
      <c r="BL31" s="77">
        <v>552.5</v>
      </c>
      <c r="BM31" s="77">
        <v>-173.5</v>
      </c>
      <c r="BN31">
        <f t="shared" si="26"/>
        <v>379</v>
      </c>
      <c r="BO31">
        <f t="shared" si="25"/>
        <v>1.1092305186109632</v>
      </c>
      <c r="BY31">
        <f>AVERAGE(BY20:BY29)</f>
        <v>52.8</v>
      </c>
      <c r="CF31">
        <f>AVERAGE(CF20:CF29)</f>
        <v>48.4</v>
      </c>
    </row>
    <row r="32" spans="1:85" x14ac:dyDescent="0.15">
      <c r="A32" s="77"/>
      <c r="B32" s="77"/>
      <c r="C32" s="77"/>
      <c r="D32" s="77"/>
      <c r="M32" s="77"/>
      <c r="N32" s="77"/>
      <c r="O32" s="77"/>
      <c r="P32" s="77"/>
      <c r="Q32" s="77"/>
      <c r="AC32">
        <f>AVERAGE(AC21:AC30)</f>
        <v>1.2649152706862201</v>
      </c>
      <c r="AO32">
        <f>AVERAGE(AO21:AO30)</f>
        <v>1.2636055268788904</v>
      </c>
      <c r="BB32" s="77">
        <f>AVERAGE(BB21:BB30)</f>
        <v>1.2149834265387291</v>
      </c>
      <c r="BK32" s="77">
        <v>657</v>
      </c>
      <c r="BL32" s="77">
        <v>569.9</v>
      </c>
      <c r="BM32" s="77">
        <v>-177.5</v>
      </c>
      <c r="BN32">
        <f t="shared" si="26"/>
        <v>392.4</v>
      </c>
      <c r="BO32">
        <f t="shared" si="25"/>
        <v>1.1535447155824383</v>
      </c>
    </row>
    <row r="33" spans="1:67" x14ac:dyDescent="0.15">
      <c r="A33" s="77"/>
      <c r="B33" s="77"/>
      <c r="C33" s="77"/>
      <c r="D33" s="77"/>
      <c r="E33">
        <f>AVERAGE(E22:E31)</f>
        <v>1.1707949697862783</v>
      </c>
      <c r="R33">
        <f>AVERAGE(R22:R31)</f>
        <v>1.4359003833944859</v>
      </c>
      <c r="BK33" s="77">
        <v>679</v>
      </c>
      <c r="BL33" s="77">
        <v>591.5</v>
      </c>
      <c r="BM33" s="77">
        <v>-247</v>
      </c>
      <c r="BN33">
        <f t="shared" si="26"/>
        <v>344.5</v>
      </c>
      <c r="BO33">
        <f t="shared" si="25"/>
        <v>1.0973348678852934</v>
      </c>
    </row>
    <row r="34" spans="1:67" x14ac:dyDescent="0.15">
      <c r="A34" t="s">
        <v>383</v>
      </c>
      <c r="B34" s="77"/>
      <c r="C34" s="77"/>
      <c r="D34" s="77"/>
      <c r="Y34" s="77" t="s">
        <v>302</v>
      </c>
      <c r="AK34" s="77" t="s">
        <v>303</v>
      </c>
      <c r="AX34" s="77" t="s">
        <v>304</v>
      </c>
      <c r="BK34" s="77"/>
      <c r="BL34" s="77"/>
      <c r="BM34" s="77"/>
      <c r="BN34" s="77"/>
    </row>
    <row r="35" spans="1:67" x14ac:dyDescent="0.15">
      <c r="A35">
        <v>407.15</v>
      </c>
      <c r="M35" s="77" t="s">
        <v>301</v>
      </c>
      <c r="Z35" s="77" t="s">
        <v>308</v>
      </c>
      <c r="AL35" s="77" t="s">
        <v>308</v>
      </c>
      <c r="AY35" s="77" t="s">
        <v>308</v>
      </c>
      <c r="BO35">
        <f>AVERAGE(BO24:BO33)</f>
        <v>1.081628557550145</v>
      </c>
    </row>
    <row r="36" spans="1:67" x14ac:dyDescent="0.15">
      <c r="N36" s="77" t="s">
        <v>308</v>
      </c>
      <c r="Z36" s="77">
        <v>29</v>
      </c>
      <c r="AL36" s="77">
        <v>60</v>
      </c>
      <c r="AY36" s="77">
        <v>55</v>
      </c>
    </row>
    <row r="37" spans="1:67" x14ac:dyDescent="0.15">
      <c r="A37" s="77" t="s">
        <v>300</v>
      </c>
      <c r="N37" s="77">
        <v>38</v>
      </c>
      <c r="Z37" s="77">
        <v>22</v>
      </c>
      <c r="AL37" s="77">
        <v>60</v>
      </c>
      <c r="AY37" s="77">
        <v>43</v>
      </c>
      <c r="BK37" s="77" t="s">
        <v>305</v>
      </c>
    </row>
    <row r="38" spans="1:67" x14ac:dyDescent="0.15">
      <c r="B38" s="77" t="s">
        <v>308</v>
      </c>
      <c r="N38" s="77">
        <v>19</v>
      </c>
      <c r="Z38" s="77">
        <v>23</v>
      </c>
      <c r="AL38" s="77">
        <v>60</v>
      </c>
      <c r="AY38" s="77">
        <v>60</v>
      </c>
      <c r="BL38" s="77" t="s">
        <v>308</v>
      </c>
    </row>
    <row r="39" spans="1:67" x14ac:dyDescent="0.15">
      <c r="B39" s="77">
        <v>60</v>
      </c>
      <c r="N39" s="77">
        <v>53</v>
      </c>
      <c r="Z39" s="77">
        <v>22</v>
      </c>
      <c r="AL39" s="77">
        <v>52</v>
      </c>
      <c r="AY39" s="77">
        <v>53</v>
      </c>
      <c r="BL39" s="77">
        <v>60</v>
      </c>
    </row>
    <row r="40" spans="1:67" x14ac:dyDescent="0.15">
      <c r="B40" s="77">
        <v>60</v>
      </c>
      <c r="N40" s="77">
        <v>27</v>
      </c>
      <c r="Z40" s="77">
        <v>23</v>
      </c>
      <c r="AL40" s="77">
        <v>53</v>
      </c>
      <c r="AY40" s="77">
        <v>60</v>
      </c>
      <c r="BL40" s="77">
        <v>60</v>
      </c>
    </row>
    <row r="41" spans="1:67" x14ac:dyDescent="0.15">
      <c r="B41" s="77">
        <v>54</v>
      </c>
      <c r="N41" s="77">
        <v>11</v>
      </c>
      <c r="Z41" s="77">
        <v>30</v>
      </c>
      <c r="AL41" s="77">
        <v>45</v>
      </c>
      <c r="AY41" s="77">
        <v>57</v>
      </c>
      <c r="BL41" s="77">
        <v>60</v>
      </c>
    </row>
    <row r="42" spans="1:67" x14ac:dyDescent="0.15">
      <c r="B42" s="77">
        <v>43</v>
      </c>
      <c r="N42" s="77">
        <v>23</v>
      </c>
      <c r="Z42" s="77">
        <v>25</v>
      </c>
      <c r="AL42" s="77">
        <v>35</v>
      </c>
      <c r="AY42" s="77">
        <v>29</v>
      </c>
      <c r="BL42" s="77">
        <v>25</v>
      </c>
    </row>
    <row r="43" spans="1:67" x14ac:dyDescent="0.15">
      <c r="B43" s="77">
        <v>55</v>
      </c>
      <c r="N43" s="77">
        <v>22</v>
      </c>
      <c r="Z43" s="77">
        <v>27</v>
      </c>
      <c r="AL43" s="77">
        <v>38</v>
      </c>
      <c r="AY43" s="77">
        <v>55</v>
      </c>
      <c r="BL43" s="77">
        <v>50</v>
      </c>
    </row>
    <row r="44" spans="1:67" x14ac:dyDescent="0.15">
      <c r="B44" s="77">
        <v>52</v>
      </c>
      <c r="N44" s="77">
        <v>23</v>
      </c>
      <c r="Z44" s="77">
        <v>21</v>
      </c>
      <c r="AL44" s="77">
        <v>54</v>
      </c>
      <c r="AY44" s="77">
        <v>55</v>
      </c>
      <c r="BL44" s="77">
        <v>40</v>
      </c>
    </row>
    <row r="45" spans="1:67" x14ac:dyDescent="0.15">
      <c r="B45" s="77">
        <v>52</v>
      </c>
      <c r="N45" s="77">
        <v>21</v>
      </c>
      <c r="Z45" s="77">
        <v>30</v>
      </c>
      <c r="AL45" s="77">
        <v>48</v>
      </c>
      <c r="AY45" s="77">
        <v>60</v>
      </c>
      <c r="BL45" s="77">
        <v>23</v>
      </c>
    </row>
    <row r="46" spans="1:67" x14ac:dyDescent="0.15">
      <c r="B46" s="77">
        <v>60</v>
      </c>
      <c r="N46" s="77">
        <v>20</v>
      </c>
      <c r="BL46" s="77">
        <v>55</v>
      </c>
    </row>
    <row r="47" spans="1:67" x14ac:dyDescent="0.15">
      <c r="B47" s="77">
        <v>45</v>
      </c>
      <c r="Z47">
        <f>AVERAGE(Z36:Z45)</f>
        <v>25.2</v>
      </c>
      <c r="AL47">
        <f>AVERAGE(AL36:AL45)</f>
        <v>50.5</v>
      </c>
      <c r="AY47">
        <f>AVERAGE(AY36:AY45)</f>
        <v>52.7</v>
      </c>
      <c r="BL47" s="77">
        <v>25</v>
      </c>
    </row>
    <row r="48" spans="1:67" x14ac:dyDescent="0.15">
      <c r="B48" s="77">
        <v>51</v>
      </c>
      <c r="N48">
        <f>AVERAGE(N37:N46)</f>
        <v>25.7</v>
      </c>
      <c r="BL48" s="77">
        <v>35</v>
      </c>
    </row>
    <row r="50" spans="2:65" x14ac:dyDescent="0.15">
      <c r="B50">
        <f>AVERAGE(B39:B48)</f>
        <v>53.2</v>
      </c>
      <c r="BL50">
        <f>AVERAGE(BL39:BL48)</f>
        <v>43.3</v>
      </c>
      <c r="BM50">
        <f>MEDIAN(BL39:BL48)</f>
        <v>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"/>
  <sheetViews>
    <sheetView topLeftCell="A42" workbookViewId="0">
      <selection activeCell="C74" sqref="C74"/>
    </sheetView>
  </sheetViews>
  <sheetFormatPr defaultRowHeight="10.5" x14ac:dyDescent="0.15"/>
  <sheetData>
    <row r="2" spans="1:11" x14ac:dyDescent="0.15">
      <c r="A2" s="77" t="s">
        <v>385</v>
      </c>
      <c r="B2" s="77"/>
      <c r="C2" s="77"/>
      <c r="D2" s="77"/>
      <c r="E2" s="77" t="s">
        <v>28</v>
      </c>
      <c r="F2" s="77"/>
      <c r="K2" s="77"/>
    </row>
    <row r="3" spans="1:11" x14ac:dyDescent="0.15">
      <c r="A3" s="77"/>
      <c r="B3" s="77"/>
      <c r="C3" s="77"/>
      <c r="D3" s="77"/>
      <c r="E3" s="77"/>
      <c r="F3" s="77"/>
      <c r="K3" s="77"/>
    </row>
    <row r="4" spans="1:11" x14ac:dyDescent="0.15">
      <c r="A4" s="77" t="s">
        <v>223</v>
      </c>
      <c r="B4" s="77" t="s">
        <v>224</v>
      </c>
      <c r="C4" s="77" t="s">
        <v>225</v>
      </c>
      <c r="D4" s="77" t="s">
        <v>368</v>
      </c>
      <c r="E4" s="77" t="s">
        <v>384</v>
      </c>
      <c r="F4" s="77" t="s">
        <v>386</v>
      </c>
      <c r="G4" s="77" t="s">
        <v>144</v>
      </c>
      <c r="H4" t="s">
        <v>143</v>
      </c>
      <c r="I4" t="s">
        <v>145</v>
      </c>
      <c r="J4" t="s">
        <v>146</v>
      </c>
      <c r="K4" s="77" t="s">
        <v>147</v>
      </c>
    </row>
    <row r="5" spans="1:11" x14ac:dyDescent="0.15">
      <c r="A5" s="77">
        <v>1</v>
      </c>
      <c r="B5" s="77">
        <v>55</v>
      </c>
      <c r="C5" s="77">
        <v>55</v>
      </c>
      <c r="D5">
        <f>(B5+C5)/2</f>
        <v>55</v>
      </c>
      <c r="E5" s="77">
        <v>85</v>
      </c>
      <c r="F5" s="77">
        <v>10</v>
      </c>
      <c r="G5">
        <f>EXP(-3.53769+1.70873*LN(D5/10)+1.35448*LN(E5/10))</f>
        <v>9.7176228400704794</v>
      </c>
      <c r="H5">
        <f>G27</f>
        <v>188.16372598785193</v>
      </c>
      <c r="I5">
        <f>H5/F5</f>
        <v>18.816372598785193</v>
      </c>
      <c r="J5">
        <f>H5*0.33/0.8</f>
        <v>77.617536969988919</v>
      </c>
      <c r="K5" s="77">
        <f>J5/F5</f>
        <v>7.7617536969988921</v>
      </c>
    </row>
    <row r="6" spans="1:11" x14ac:dyDescent="0.15">
      <c r="A6" s="77">
        <v>2</v>
      </c>
      <c r="B6" s="77">
        <v>95</v>
      </c>
      <c r="C6" s="77">
        <v>97</v>
      </c>
      <c r="D6">
        <f t="shared" ref="D6:D24" si="0">(B6+C6)/2</f>
        <v>96</v>
      </c>
      <c r="E6" s="77">
        <v>115</v>
      </c>
      <c r="F6" s="77"/>
      <c r="G6">
        <f t="shared" ref="G6:G24" si="1">EXP(-3.53769+1.70873*LN(D6/10)+1.35448*LN(E6/10))</f>
        <v>37.908018958328206</v>
      </c>
      <c r="K6" s="77"/>
    </row>
    <row r="7" spans="1:11" x14ac:dyDescent="0.15">
      <c r="A7" s="77">
        <v>3</v>
      </c>
      <c r="B7" s="77">
        <v>108</v>
      </c>
      <c r="C7" s="77">
        <v>109</v>
      </c>
      <c r="D7">
        <f t="shared" si="0"/>
        <v>108.5</v>
      </c>
      <c r="E7" s="77">
        <v>125</v>
      </c>
      <c r="F7" s="77"/>
      <c r="G7">
        <f t="shared" si="1"/>
        <v>52.313440745099861</v>
      </c>
      <c r="K7" s="77"/>
    </row>
    <row r="8" spans="1:11" x14ac:dyDescent="0.15">
      <c r="A8" s="77">
        <v>4</v>
      </c>
      <c r="B8" s="77">
        <v>135</v>
      </c>
      <c r="C8" s="77">
        <v>131</v>
      </c>
      <c r="D8">
        <f t="shared" si="0"/>
        <v>133</v>
      </c>
      <c r="E8" s="77">
        <v>145</v>
      </c>
      <c r="F8" s="77"/>
      <c r="G8">
        <f t="shared" si="1"/>
        <v>90.575241455948927</v>
      </c>
      <c r="K8" s="77"/>
    </row>
    <row r="9" spans="1:11" x14ac:dyDescent="0.15">
      <c r="A9" s="77">
        <v>5</v>
      </c>
      <c r="B9" s="77">
        <v>93</v>
      </c>
      <c r="C9" s="77">
        <v>91</v>
      </c>
      <c r="D9">
        <f t="shared" si="0"/>
        <v>92</v>
      </c>
      <c r="E9" s="77">
        <v>120</v>
      </c>
      <c r="F9" s="77"/>
      <c r="G9">
        <f t="shared" si="1"/>
        <v>37.34077631415893</v>
      </c>
      <c r="K9" s="77"/>
    </row>
    <row r="10" spans="1:11" x14ac:dyDescent="0.15">
      <c r="A10" s="77">
        <v>6</v>
      </c>
      <c r="B10" s="77">
        <v>50</v>
      </c>
      <c r="C10" s="77">
        <v>52</v>
      </c>
      <c r="D10">
        <f t="shared" si="0"/>
        <v>51</v>
      </c>
      <c r="E10" s="77">
        <v>74</v>
      </c>
      <c r="F10" s="77"/>
      <c r="G10">
        <f t="shared" si="1"/>
        <v>7.0795250217939181</v>
      </c>
      <c r="K10" s="77"/>
    </row>
    <row r="11" spans="1:11" x14ac:dyDescent="0.15">
      <c r="A11" s="77">
        <v>7</v>
      </c>
      <c r="B11" s="77">
        <v>64</v>
      </c>
      <c r="C11" s="77">
        <v>71</v>
      </c>
      <c r="D11">
        <f t="shared" si="0"/>
        <v>67.5</v>
      </c>
      <c r="E11" s="77">
        <v>99</v>
      </c>
      <c r="F11" s="77"/>
      <c r="G11">
        <f t="shared" si="1"/>
        <v>16.952156319467921</v>
      </c>
      <c r="K11" s="77"/>
    </row>
    <row r="12" spans="1:11" x14ac:dyDescent="0.15">
      <c r="A12" s="77">
        <v>8</v>
      </c>
      <c r="B12" s="77">
        <v>126</v>
      </c>
      <c r="C12" s="77">
        <v>117</v>
      </c>
      <c r="D12">
        <f t="shared" si="0"/>
        <v>121.5</v>
      </c>
      <c r="E12" s="77">
        <v>132</v>
      </c>
      <c r="F12" s="77"/>
      <c r="G12">
        <f t="shared" si="1"/>
        <v>68.335087688815165</v>
      </c>
      <c r="K12" s="77"/>
    </row>
    <row r="13" spans="1:11" x14ac:dyDescent="0.15">
      <c r="A13" s="77">
        <v>9</v>
      </c>
      <c r="B13" s="77">
        <v>43</v>
      </c>
      <c r="C13" s="77">
        <v>46</v>
      </c>
      <c r="D13">
        <f t="shared" si="0"/>
        <v>44.5</v>
      </c>
      <c r="E13" s="77">
        <v>78</v>
      </c>
      <c r="F13" s="77"/>
      <c r="G13">
        <f t="shared" si="1"/>
        <v>6.0227835193029753</v>
      </c>
      <c r="K13" s="77"/>
    </row>
    <row r="14" spans="1:11" x14ac:dyDescent="0.15">
      <c r="A14" s="77">
        <v>10</v>
      </c>
      <c r="B14" s="77">
        <v>43</v>
      </c>
      <c r="C14" s="77">
        <v>41</v>
      </c>
      <c r="D14">
        <f t="shared" si="0"/>
        <v>42</v>
      </c>
      <c r="E14" s="77">
        <v>79</v>
      </c>
      <c r="F14" s="77"/>
      <c r="G14">
        <f t="shared" si="1"/>
        <v>5.5511563163656241</v>
      </c>
      <c r="K14" s="77"/>
    </row>
    <row r="15" spans="1:11" x14ac:dyDescent="0.15">
      <c r="A15" s="77">
        <v>11</v>
      </c>
      <c r="B15" s="77">
        <v>51</v>
      </c>
      <c r="C15" s="77">
        <v>45</v>
      </c>
      <c r="D15">
        <f t="shared" si="0"/>
        <v>48</v>
      </c>
      <c r="E15" s="77">
        <v>100</v>
      </c>
      <c r="F15" s="77"/>
      <c r="G15">
        <f t="shared" si="1"/>
        <v>9.5970574338023251</v>
      </c>
      <c r="H15" s="77"/>
      <c r="I15" s="77"/>
      <c r="J15" s="77"/>
      <c r="K15" s="77"/>
    </row>
    <row r="16" spans="1:11" x14ac:dyDescent="0.15">
      <c r="A16" s="77">
        <v>12</v>
      </c>
      <c r="B16" s="77">
        <v>55</v>
      </c>
      <c r="C16" s="77">
        <v>49</v>
      </c>
      <c r="D16">
        <f t="shared" si="0"/>
        <v>52</v>
      </c>
      <c r="E16" s="77">
        <v>99</v>
      </c>
      <c r="F16" s="77"/>
      <c r="G16">
        <f t="shared" si="1"/>
        <v>10.854881983142802</v>
      </c>
      <c r="H16" s="77"/>
      <c r="I16" s="77"/>
      <c r="J16" s="77"/>
      <c r="K16" s="77"/>
    </row>
    <row r="17" spans="1:11" x14ac:dyDescent="0.15">
      <c r="A17" s="77">
        <v>13</v>
      </c>
      <c r="B17" s="77">
        <v>35</v>
      </c>
      <c r="C17" s="77">
        <v>33</v>
      </c>
      <c r="D17">
        <f t="shared" si="0"/>
        <v>34</v>
      </c>
      <c r="E17" s="77">
        <v>75</v>
      </c>
      <c r="F17" s="77"/>
      <c r="G17">
        <f t="shared" si="1"/>
        <v>3.6058503965049935</v>
      </c>
      <c r="H17" s="77"/>
      <c r="I17" s="77"/>
      <c r="J17" s="77"/>
      <c r="K17" s="77"/>
    </row>
    <row r="18" spans="1:11" x14ac:dyDescent="0.15">
      <c r="A18" s="77">
        <v>14</v>
      </c>
      <c r="B18" s="77">
        <v>64</v>
      </c>
      <c r="C18" s="77">
        <v>65</v>
      </c>
      <c r="D18">
        <f t="shared" si="0"/>
        <v>64.5</v>
      </c>
      <c r="E18" s="77">
        <v>115</v>
      </c>
      <c r="F18" s="77"/>
      <c r="G18">
        <f t="shared" si="1"/>
        <v>19.213820818648376</v>
      </c>
      <c r="H18" s="77"/>
      <c r="I18" s="77"/>
      <c r="J18" s="77"/>
      <c r="K18" s="77"/>
    </row>
    <row r="19" spans="1:11" x14ac:dyDescent="0.15">
      <c r="A19" s="77">
        <v>15</v>
      </c>
      <c r="B19" s="77">
        <v>41</v>
      </c>
      <c r="C19" s="77">
        <v>40</v>
      </c>
      <c r="D19">
        <f t="shared" si="0"/>
        <v>40.5</v>
      </c>
      <c r="E19" s="77">
        <v>76</v>
      </c>
      <c r="F19" s="77"/>
      <c r="G19">
        <f t="shared" si="1"/>
        <v>4.9501888841463026</v>
      </c>
      <c r="H19" s="77"/>
      <c r="I19" s="77"/>
      <c r="J19" s="77"/>
      <c r="K19" s="77"/>
    </row>
    <row r="20" spans="1:11" x14ac:dyDescent="0.15">
      <c r="A20" s="77">
        <v>16</v>
      </c>
      <c r="B20" s="77">
        <v>54</v>
      </c>
      <c r="C20" s="77">
        <v>59</v>
      </c>
      <c r="D20">
        <f t="shared" si="0"/>
        <v>56.5</v>
      </c>
      <c r="E20" s="77">
        <v>94</v>
      </c>
      <c r="F20" s="77"/>
      <c r="G20">
        <f t="shared" si="1"/>
        <v>11.660863556262056</v>
      </c>
      <c r="H20" s="77"/>
      <c r="I20" s="77"/>
      <c r="J20" s="77"/>
      <c r="K20" s="77"/>
    </row>
    <row r="21" spans="1:11" x14ac:dyDescent="0.15">
      <c r="A21" s="77">
        <v>17</v>
      </c>
      <c r="B21" s="77">
        <v>119</v>
      </c>
      <c r="C21" s="77">
        <v>123</v>
      </c>
      <c r="D21">
        <f t="shared" si="0"/>
        <v>121</v>
      </c>
      <c r="E21" s="77">
        <v>131</v>
      </c>
      <c r="F21" s="77"/>
      <c r="G21">
        <f t="shared" si="1"/>
        <v>67.159928433494812</v>
      </c>
      <c r="H21" s="77"/>
      <c r="I21" s="77"/>
      <c r="J21" s="77"/>
      <c r="K21" s="77"/>
    </row>
    <row r="22" spans="1:11" x14ac:dyDescent="0.15">
      <c r="A22" s="77">
        <v>18</v>
      </c>
      <c r="B22" s="77">
        <v>55</v>
      </c>
      <c r="C22" s="77">
        <v>56</v>
      </c>
      <c r="D22">
        <f t="shared" si="0"/>
        <v>55.5</v>
      </c>
      <c r="E22" s="77">
        <v>85</v>
      </c>
      <c r="F22" s="77"/>
      <c r="G22">
        <f t="shared" si="1"/>
        <v>9.8690613759071883</v>
      </c>
      <c r="H22" s="77"/>
      <c r="I22" s="77"/>
      <c r="J22" s="77"/>
      <c r="K22" s="77"/>
    </row>
    <row r="23" spans="1:11" x14ac:dyDescent="0.15">
      <c r="A23" s="77">
        <v>19</v>
      </c>
      <c r="B23" s="77">
        <v>99</v>
      </c>
      <c r="C23" s="77">
        <v>99</v>
      </c>
      <c r="D23">
        <f t="shared" si="0"/>
        <v>99</v>
      </c>
      <c r="E23" s="77">
        <v>133</v>
      </c>
      <c r="F23" s="77"/>
      <c r="G23">
        <f t="shared" si="1"/>
        <v>48.652711698717326</v>
      </c>
      <c r="H23" s="77"/>
      <c r="I23" s="77"/>
      <c r="J23" s="77"/>
      <c r="K23" s="77"/>
    </row>
    <row r="24" spans="1:11" x14ac:dyDescent="0.15">
      <c r="A24" s="77">
        <v>20</v>
      </c>
      <c r="B24" s="77">
        <v>64</v>
      </c>
      <c r="C24" s="77">
        <v>61</v>
      </c>
      <c r="D24">
        <f t="shared" si="0"/>
        <v>62.5</v>
      </c>
      <c r="E24" s="77">
        <v>98</v>
      </c>
      <c r="F24" s="77"/>
      <c r="G24">
        <f t="shared" si="1"/>
        <v>14.660227551988584</v>
      </c>
      <c r="H24" s="77"/>
      <c r="I24" s="77"/>
      <c r="J24" s="77"/>
      <c r="K24" s="77"/>
    </row>
    <row r="25" spans="1:11" x14ac:dyDescent="0.15">
      <c r="A25" s="77"/>
      <c r="B25" s="77"/>
      <c r="C25" s="77"/>
      <c r="D25" s="77">
        <f>AVERAGE(D5:D24)</f>
        <v>72.224999999999994</v>
      </c>
      <c r="E25" s="77">
        <f>AVERAGE(E5:E24)</f>
        <v>102.9</v>
      </c>
      <c r="F25" s="77"/>
      <c r="G25" s="77"/>
      <c r="H25" s="77"/>
      <c r="I25" s="77"/>
      <c r="J25" s="77"/>
      <c r="K25" s="77"/>
    </row>
    <row r="26" spans="1:11" ht="15" x14ac:dyDescent="0.25">
      <c r="A26" s="77"/>
      <c r="B26" s="77"/>
      <c r="C26" s="82" t="s">
        <v>357</v>
      </c>
      <c r="D26" s="82"/>
      <c r="E26" s="82"/>
      <c r="F26" s="82"/>
      <c r="G26" s="77">
        <f>SUM(G5:G24)</f>
        <v>532.02040131196668</v>
      </c>
      <c r="H26" s="82" t="s">
        <v>330</v>
      </c>
      <c r="I26" s="98">
        <f>PI()*3^2</f>
        <v>28.274333882308138</v>
      </c>
      <c r="J26" s="82" t="s">
        <v>326</v>
      </c>
      <c r="K26" s="77"/>
    </row>
    <row r="27" spans="1:11" ht="15" x14ac:dyDescent="0.25">
      <c r="B27" s="77"/>
      <c r="C27" s="82" t="s">
        <v>365</v>
      </c>
      <c r="D27" s="82"/>
      <c r="E27" s="82"/>
      <c r="F27" s="82"/>
      <c r="G27" s="77">
        <f>(G26*I27)/I26/1000</f>
        <v>188.16372598785193</v>
      </c>
      <c r="H27" s="82" t="s">
        <v>360</v>
      </c>
      <c r="I27" s="82">
        <v>10000</v>
      </c>
      <c r="J27" s="82" t="s">
        <v>326</v>
      </c>
      <c r="K27" s="77"/>
    </row>
    <row r="28" spans="1:11" x14ac:dyDescent="0.15">
      <c r="A28" s="77" t="s">
        <v>387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</row>
    <row r="29" spans="1:11" x14ac:dyDescent="0.15">
      <c r="A29" s="77" t="s">
        <v>228</v>
      </c>
      <c r="B29" s="77" t="s">
        <v>229</v>
      </c>
      <c r="C29" s="77" t="s">
        <v>230</v>
      </c>
      <c r="D29" s="77"/>
      <c r="E29" s="77" t="s">
        <v>251</v>
      </c>
      <c r="F29" s="77"/>
      <c r="G29" s="77"/>
      <c r="H29" s="77"/>
      <c r="I29" s="77"/>
      <c r="J29" s="77"/>
      <c r="K29" s="77"/>
    </row>
    <row r="30" spans="1:11" x14ac:dyDescent="0.15">
      <c r="A30" s="77">
        <v>574</v>
      </c>
      <c r="B30" s="77">
        <v>422.8</v>
      </c>
      <c r="C30" s="77"/>
      <c r="D30" s="77"/>
      <c r="E30" s="77">
        <f>B30/$A$42</f>
        <v>1.0384379221417168</v>
      </c>
      <c r="F30" s="77"/>
      <c r="G30" s="77"/>
      <c r="H30" s="77"/>
      <c r="I30" s="77"/>
      <c r="J30" s="77"/>
      <c r="K30" s="77"/>
    </row>
    <row r="31" spans="1:11" x14ac:dyDescent="0.15">
      <c r="A31" s="77">
        <v>648</v>
      </c>
      <c r="B31" s="77">
        <v>455.6</v>
      </c>
      <c r="C31" s="77"/>
      <c r="D31" s="77"/>
      <c r="E31" s="77">
        <f t="shared" ref="E31:E39" si="2">B31/$A$42</f>
        <v>1.1189979123173279</v>
      </c>
      <c r="F31" s="77"/>
    </row>
    <row r="32" spans="1:11" x14ac:dyDescent="0.15">
      <c r="A32" s="77">
        <v>1664</v>
      </c>
      <c r="B32" s="77">
        <v>435.8</v>
      </c>
      <c r="C32" s="77"/>
      <c r="D32" s="77"/>
      <c r="E32" s="77">
        <f t="shared" si="2"/>
        <v>1.070367186540587</v>
      </c>
      <c r="F32" s="77"/>
    </row>
    <row r="33" spans="1:6" x14ac:dyDescent="0.15">
      <c r="A33" s="77">
        <v>641</v>
      </c>
      <c r="B33" s="77">
        <v>530</v>
      </c>
      <c r="C33" s="77"/>
      <c r="D33" s="77"/>
      <c r="E33" s="77">
        <f t="shared" si="2"/>
        <v>1.3017315485693235</v>
      </c>
      <c r="F33" s="77"/>
    </row>
    <row r="34" spans="1:6" x14ac:dyDescent="0.15">
      <c r="A34" s="77">
        <v>656</v>
      </c>
      <c r="B34" s="77">
        <v>405.9</v>
      </c>
      <c r="C34" s="77"/>
      <c r="D34" s="77"/>
      <c r="E34" s="77">
        <f t="shared" si="2"/>
        <v>0.99692987842318559</v>
      </c>
      <c r="F34" s="77"/>
    </row>
    <row r="35" spans="1:6" x14ac:dyDescent="0.15">
      <c r="A35" s="77">
        <v>758</v>
      </c>
      <c r="B35" s="77">
        <v>544.5</v>
      </c>
      <c r="C35" s="77"/>
      <c r="D35" s="77"/>
      <c r="E35" s="77">
        <f t="shared" si="2"/>
        <v>1.337344958860371</v>
      </c>
      <c r="F35" s="77"/>
    </row>
    <row r="36" spans="1:6" x14ac:dyDescent="0.15">
      <c r="A36" s="77">
        <v>467</v>
      </c>
      <c r="B36" s="77">
        <v>475.8</v>
      </c>
      <c r="C36" s="77"/>
      <c r="D36" s="77"/>
      <c r="E36" s="77">
        <f t="shared" si="2"/>
        <v>1.1686110769986493</v>
      </c>
      <c r="F36" s="77"/>
    </row>
    <row r="37" spans="1:6" x14ac:dyDescent="0.15">
      <c r="A37" s="77">
        <v>464</v>
      </c>
      <c r="B37" s="77">
        <v>553.79999999999995</v>
      </c>
      <c r="C37" s="77"/>
      <c r="D37" s="77"/>
      <c r="E37" s="77">
        <f t="shared" si="2"/>
        <v>1.3601866633918702</v>
      </c>
      <c r="F37" s="77"/>
    </row>
    <row r="38" spans="1:6" x14ac:dyDescent="0.15">
      <c r="A38" s="77">
        <v>570</v>
      </c>
      <c r="B38" s="77">
        <v>554</v>
      </c>
      <c r="C38" s="77"/>
      <c r="D38" s="77"/>
      <c r="E38" s="77">
        <f t="shared" si="2"/>
        <v>1.3606778828441608</v>
      </c>
      <c r="F38" s="77"/>
    </row>
    <row r="39" spans="1:6" x14ac:dyDescent="0.15">
      <c r="A39" s="77">
        <v>248</v>
      </c>
      <c r="B39" s="77">
        <v>481.4</v>
      </c>
      <c r="C39" s="77"/>
      <c r="D39" s="77"/>
      <c r="E39" s="77">
        <f t="shared" si="2"/>
        <v>1.1823652216627778</v>
      </c>
      <c r="F39" s="77"/>
    </row>
    <row r="41" spans="1:6" x14ac:dyDescent="0.15">
      <c r="A41" t="s">
        <v>383</v>
      </c>
      <c r="E41">
        <f>AVERAGE(E30:E39)</f>
        <v>1.1935650251749972</v>
      </c>
    </row>
    <row r="42" spans="1:6" x14ac:dyDescent="0.15">
      <c r="A42">
        <v>407.15</v>
      </c>
    </row>
    <row r="44" spans="1:6" x14ac:dyDescent="0.15">
      <c r="A44" s="77" t="s">
        <v>388</v>
      </c>
      <c r="B44" s="77"/>
      <c r="C44" s="77"/>
    </row>
    <row r="45" spans="1:6" x14ac:dyDescent="0.15">
      <c r="A45" s="77"/>
      <c r="B45" s="77"/>
      <c r="C45" s="77"/>
      <c r="E45" s="76" t="s">
        <v>601</v>
      </c>
    </row>
    <row r="46" spans="1:6" x14ac:dyDescent="0.15">
      <c r="A46" s="77" t="s">
        <v>228</v>
      </c>
      <c r="B46" s="77" t="s">
        <v>229</v>
      </c>
      <c r="C46" s="77" t="s">
        <v>230</v>
      </c>
      <c r="D46" s="77" t="s">
        <v>382</v>
      </c>
      <c r="E46" s="77" t="s">
        <v>251</v>
      </c>
      <c r="F46" s="77"/>
    </row>
    <row r="47" spans="1:6" x14ac:dyDescent="0.15">
      <c r="A47" s="77">
        <v>743</v>
      </c>
      <c r="B47" s="77">
        <v>579.4</v>
      </c>
      <c r="C47" s="77"/>
      <c r="D47">
        <f>B47+C47</f>
        <v>579.4</v>
      </c>
      <c r="E47">
        <f>D47/($A$42-((-C47)/2.65))</f>
        <v>1.4230627532850302</v>
      </c>
    </row>
    <row r="48" spans="1:6" x14ac:dyDescent="0.15">
      <c r="A48" s="77">
        <v>754</v>
      </c>
      <c r="B48" s="77">
        <v>557.79999999999995</v>
      </c>
      <c r="C48" s="77"/>
      <c r="D48">
        <f t="shared" ref="D48:D56" si="3">B48+C48</f>
        <v>557.79999999999995</v>
      </c>
      <c r="E48">
        <f t="shared" ref="E48:E56" si="4">D48/($A$42-((-C48)/2.65))</f>
        <v>1.3700110524376765</v>
      </c>
    </row>
    <row r="49" spans="1:5" x14ac:dyDescent="0.15">
      <c r="A49" s="77">
        <v>471</v>
      </c>
      <c r="B49" s="77">
        <v>622.9</v>
      </c>
      <c r="C49" s="77">
        <v>-10.8</v>
      </c>
      <c r="D49">
        <f t="shared" si="3"/>
        <v>612.1</v>
      </c>
      <c r="E49">
        <f t="shared" si="4"/>
        <v>1.5185777245183838</v>
      </c>
    </row>
    <row r="50" spans="1:5" x14ac:dyDescent="0.15">
      <c r="A50" s="77">
        <v>679</v>
      </c>
      <c r="B50" s="77">
        <v>624.1</v>
      </c>
      <c r="C50" s="77">
        <v>-4.8</v>
      </c>
      <c r="D50">
        <f t="shared" si="3"/>
        <v>619.30000000000007</v>
      </c>
      <c r="E50">
        <f t="shared" si="4"/>
        <v>1.527858138663452</v>
      </c>
    </row>
    <row r="51" spans="1:5" x14ac:dyDescent="0.15">
      <c r="A51" s="77">
        <v>750</v>
      </c>
      <c r="B51" s="77">
        <v>580.20000000000005</v>
      </c>
      <c r="C51" s="77"/>
      <c r="D51">
        <f t="shared" si="3"/>
        <v>580.20000000000005</v>
      </c>
      <c r="E51">
        <f t="shared" si="4"/>
        <v>1.4250276310941916</v>
      </c>
    </row>
    <row r="52" spans="1:5" x14ac:dyDescent="0.15">
      <c r="A52" s="77">
        <v>462</v>
      </c>
      <c r="B52" s="77">
        <v>618.4</v>
      </c>
      <c r="C52" s="77"/>
      <c r="D52">
        <f t="shared" si="3"/>
        <v>618.4</v>
      </c>
      <c r="E52">
        <f t="shared" si="4"/>
        <v>1.5188505464816406</v>
      </c>
    </row>
    <row r="53" spans="1:5" x14ac:dyDescent="0.15">
      <c r="A53" s="77">
        <v>757</v>
      </c>
      <c r="B53" s="77">
        <v>619.29999999999995</v>
      </c>
      <c r="C53" s="77"/>
      <c r="D53">
        <f t="shared" si="3"/>
        <v>619.29999999999995</v>
      </c>
      <c r="E53">
        <f t="shared" si="4"/>
        <v>1.521061034016947</v>
      </c>
    </row>
    <row r="54" spans="1:5" x14ac:dyDescent="0.15">
      <c r="A54" s="77">
        <v>657</v>
      </c>
      <c r="B54" s="77">
        <v>584.6</v>
      </c>
      <c r="C54" s="77">
        <v>-7.2</v>
      </c>
      <c r="D54">
        <f t="shared" si="3"/>
        <v>577.4</v>
      </c>
      <c r="E54">
        <f t="shared" si="4"/>
        <v>1.4276776946062391</v>
      </c>
    </row>
    <row r="55" spans="1:5" x14ac:dyDescent="0.15">
      <c r="A55" s="77">
        <v>746</v>
      </c>
      <c r="B55" s="77">
        <v>610.5</v>
      </c>
      <c r="C55" s="77"/>
      <c r="D55">
        <f t="shared" si="3"/>
        <v>610.5</v>
      </c>
      <c r="E55">
        <f t="shared" si="4"/>
        <v>1.4994473781161735</v>
      </c>
    </row>
    <row r="56" spans="1:5" x14ac:dyDescent="0.15">
      <c r="A56" s="77">
        <v>645</v>
      </c>
      <c r="B56" s="77">
        <v>583.9</v>
      </c>
      <c r="C56" s="77"/>
      <c r="D56">
        <f t="shared" si="3"/>
        <v>583.9</v>
      </c>
      <c r="E56">
        <f t="shared" si="4"/>
        <v>1.4341151909615621</v>
      </c>
    </row>
    <row r="57" spans="1:5" x14ac:dyDescent="0.15">
      <c r="A57" s="77"/>
      <c r="B57" s="77"/>
      <c r="C57" s="77"/>
    </row>
    <row r="58" spans="1:5" x14ac:dyDescent="0.15">
      <c r="A58" s="77"/>
      <c r="B58" s="77"/>
      <c r="C58" s="77"/>
      <c r="E58">
        <f>AVERAGE(E47:E56)</f>
        <v>1.4665689144181295</v>
      </c>
    </row>
    <row r="59" spans="1:5" x14ac:dyDescent="0.15">
      <c r="A59" s="77"/>
      <c r="B59" s="77"/>
      <c r="C59" s="77"/>
    </row>
    <row r="60" spans="1:5" x14ac:dyDescent="0.15">
      <c r="A60" s="77"/>
      <c r="B60" s="77"/>
      <c r="C60" s="77"/>
    </row>
    <row r="61" spans="1:5" x14ac:dyDescent="0.15">
      <c r="A61" s="77" t="s">
        <v>389</v>
      </c>
      <c r="B61" s="77"/>
      <c r="C61" s="77"/>
    </row>
    <row r="62" spans="1:5" x14ac:dyDescent="0.15">
      <c r="A62" s="77"/>
      <c r="B62" s="77" t="s">
        <v>308</v>
      </c>
      <c r="C62" s="77"/>
    </row>
    <row r="63" spans="1:5" x14ac:dyDescent="0.15">
      <c r="A63" s="77"/>
      <c r="B63" s="77">
        <v>52</v>
      </c>
      <c r="C63" s="77"/>
    </row>
    <row r="64" spans="1:5" x14ac:dyDescent="0.15">
      <c r="A64" s="77"/>
      <c r="B64" s="77">
        <v>60</v>
      </c>
      <c r="C64" s="77"/>
    </row>
    <row r="65" spans="1:3" x14ac:dyDescent="0.15">
      <c r="A65" s="77"/>
      <c r="B65" s="77">
        <v>24</v>
      </c>
      <c r="C65" s="77"/>
    </row>
    <row r="66" spans="1:3" x14ac:dyDescent="0.15">
      <c r="A66" s="77"/>
      <c r="B66" s="77">
        <v>60</v>
      </c>
      <c r="C66" s="77"/>
    </row>
    <row r="67" spans="1:3" x14ac:dyDescent="0.15">
      <c r="A67" s="77"/>
      <c r="B67" s="77">
        <v>39</v>
      </c>
      <c r="C67" s="77"/>
    </row>
    <row r="68" spans="1:3" x14ac:dyDescent="0.15">
      <c r="A68" s="77"/>
      <c r="B68" s="77">
        <v>33</v>
      </c>
      <c r="C68" s="77"/>
    </row>
    <row r="69" spans="1:3" x14ac:dyDescent="0.15">
      <c r="A69" s="77"/>
      <c r="B69" s="77">
        <v>53</v>
      </c>
      <c r="C69" s="77"/>
    </row>
    <row r="70" spans="1:3" x14ac:dyDescent="0.15">
      <c r="A70" s="77"/>
      <c r="B70" s="77">
        <v>25</v>
      </c>
      <c r="C70" s="77"/>
    </row>
    <row r="71" spans="1:3" x14ac:dyDescent="0.15">
      <c r="A71" s="77"/>
      <c r="B71" s="77">
        <v>30</v>
      </c>
      <c r="C71" s="77"/>
    </row>
    <row r="72" spans="1:3" x14ac:dyDescent="0.15">
      <c r="A72" s="77"/>
      <c r="B72" s="77">
        <v>30</v>
      </c>
      <c r="C72" s="77"/>
    </row>
    <row r="74" spans="1:3" x14ac:dyDescent="0.15">
      <c r="B74">
        <f>AVERAGE(B63:B72)</f>
        <v>40.6</v>
      </c>
      <c r="C74">
        <f>(B67+B68+B71+B72)/4</f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1"/>
  <sheetViews>
    <sheetView topLeftCell="A16" workbookViewId="0">
      <selection activeCell="BD21" sqref="BD21"/>
    </sheetView>
  </sheetViews>
  <sheetFormatPr defaultRowHeight="10.5" x14ac:dyDescent="0.15"/>
  <cols>
    <col min="58" max="58" width="10.5" customWidth="1" collapsed="1"/>
  </cols>
  <sheetData>
    <row r="1" spans="1:62" s="74" customFormat="1" ht="14.25" x14ac:dyDescent="0.25">
      <c r="A1" s="74" t="s">
        <v>377</v>
      </c>
      <c r="G1" s="102" t="s">
        <v>372</v>
      </c>
      <c r="H1" s="102"/>
      <c r="I1" s="102"/>
      <c r="J1" s="102"/>
      <c r="K1" s="102"/>
      <c r="N1" s="74" t="s">
        <v>378</v>
      </c>
      <c r="AA1" s="74" t="s">
        <v>234</v>
      </c>
      <c r="AD1" s="74" t="s">
        <v>380</v>
      </c>
      <c r="AN1" s="74" t="s">
        <v>236</v>
      </c>
      <c r="AQ1" s="74" t="s">
        <v>381</v>
      </c>
      <c r="AZ1" s="74" t="s">
        <v>238</v>
      </c>
    </row>
    <row r="2" spans="1:62" x14ac:dyDescent="0.15">
      <c r="AN2" t="s">
        <v>242</v>
      </c>
    </row>
    <row r="3" spans="1:62" x14ac:dyDescent="0.15">
      <c r="A3" t="s">
        <v>223</v>
      </c>
      <c r="B3" t="s">
        <v>224</v>
      </c>
      <c r="C3" t="s">
        <v>225</v>
      </c>
      <c r="D3" t="s">
        <v>368</v>
      </c>
      <c r="E3" t="s">
        <v>226</v>
      </c>
      <c r="F3" t="s">
        <v>369</v>
      </c>
      <c r="G3" s="101" t="s">
        <v>84</v>
      </c>
      <c r="H3" t="s">
        <v>144</v>
      </c>
      <c r="I3" t="s">
        <v>143</v>
      </c>
      <c r="J3" t="s">
        <v>145</v>
      </c>
      <c r="K3" t="s">
        <v>146</v>
      </c>
      <c r="L3" t="s">
        <v>147</v>
      </c>
      <c r="N3" t="s">
        <v>223</v>
      </c>
      <c r="O3" t="s">
        <v>224</v>
      </c>
      <c r="P3" t="s">
        <v>225</v>
      </c>
      <c r="Q3" t="s">
        <v>368</v>
      </c>
      <c r="R3" t="s">
        <v>226</v>
      </c>
      <c r="S3" t="s">
        <v>369</v>
      </c>
      <c r="T3" s="101" t="s">
        <v>84</v>
      </c>
      <c r="U3" t="s">
        <v>144</v>
      </c>
      <c r="V3" t="s">
        <v>143</v>
      </c>
      <c r="W3" t="s">
        <v>145</v>
      </c>
      <c r="X3" t="s">
        <v>146</v>
      </c>
      <c r="Y3" t="s">
        <v>147</v>
      </c>
      <c r="AA3" t="s">
        <v>223</v>
      </c>
      <c r="AB3" t="s">
        <v>224</v>
      </c>
      <c r="AC3" t="s">
        <v>225</v>
      </c>
      <c r="AD3" t="s">
        <v>368</v>
      </c>
      <c r="AE3" t="s">
        <v>226</v>
      </c>
      <c r="AF3" t="s">
        <v>369</v>
      </c>
      <c r="AG3" s="101" t="s">
        <v>84</v>
      </c>
      <c r="AH3" t="s">
        <v>144</v>
      </c>
      <c r="AI3" t="s">
        <v>143</v>
      </c>
      <c r="AJ3" t="s">
        <v>145</v>
      </c>
      <c r="AK3" t="s">
        <v>146</v>
      </c>
      <c r="AL3" t="s">
        <v>147</v>
      </c>
      <c r="AN3" t="s">
        <v>223</v>
      </c>
      <c r="AO3" t="s">
        <v>224</v>
      </c>
      <c r="AP3" t="s">
        <v>225</v>
      </c>
      <c r="AQ3" t="s">
        <v>368</v>
      </c>
      <c r="AR3" t="s">
        <v>226</v>
      </c>
      <c r="AS3" s="101" t="s">
        <v>84</v>
      </c>
      <c r="AT3" t="s">
        <v>144</v>
      </c>
      <c r="AU3" t="s">
        <v>143</v>
      </c>
      <c r="AV3" t="s">
        <v>145</v>
      </c>
      <c r="AW3" t="s">
        <v>146</v>
      </c>
      <c r="AX3" t="s">
        <v>147</v>
      </c>
      <c r="AZ3" t="s">
        <v>223</v>
      </c>
      <c r="BA3" t="s">
        <v>224</v>
      </c>
      <c r="BB3" t="s">
        <v>225</v>
      </c>
      <c r="BC3" t="s">
        <v>358</v>
      </c>
      <c r="BD3" t="s">
        <v>226</v>
      </c>
      <c r="BE3" s="101" t="s">
        <v>84</v>
      </c>
      <c r="BF3" t="s">
        <v>144</v>
      </c>
      <c r="BG3" t="s">
        <v>143</v>
      </c>
      <c r="BH3" t="s">
        <v>145</v>
      </c>
      <c r="BI3" t="s">
        <v>146</v>
      </c>
      <c r="BJ3" t="s">
        <v>147</v>
      </c>
    </row>
    <row r="4" spans="1:62" x14ac:dyDescent="0.15">
      <c r="A4">
        <v>1</v>
      </c>
      <c r="B4">
        <v>198</v>
      </c>
      <c r="C4">
        <v>200</v>
      </c>
      <c r="D4">
        <f>(B4+C4)/2</f>
        <v>199</v>
      </c>
      <c r="E4">
        <v>24</v>
      </c>
      <c r="F4">
        <f>E4*10</f>
        <v>240</v>
      </c>
      <c r="G4" s="101">
        <v>15</v>
      </c>
      <c r="H4">
        <f>EXP(-3.53769+1.70873*LN(D4/10)+1.35448*LN(F4/10))</f>
        <v>356.8276454438514</v>
      </c>
      <c r="I4" s="97">
        <f>H15</f>
        <v>187.38419909374619</v>
      </c>
      <c r="J4">
        <f>I4/G4</f>
        <v>12.49227993958308</v>
      </c>
      <c r="K4">
        <f>I4*0.33/0.8</f>
        <v>77.295982126170301</v>
      </c>
      <c r="L4">
        <f>K4/G4</f>
        <v>5.1530654750780203</v>
      </c>
      <c r="N4">
        <v>1</v>
      </c>
      <c r="O4">
        <v>208</v>
      </c>
      <c r="P4">
        <v>204</v>
      </c>
      <c r="Q4">
        <f>(O4+P4)/2</f>
        <v>206</v>
      </c>
      <c r="R4">
        <v>22.1</v>
      </c>
      <c r="S4">
        <f>R4*10</f>
        <v>221</v>
      </c>
      <c r="T4" s="76">
        <v>15</v>
      </c>
      <c r="U4">
        <f>EXP(-3.53769+1.70873*LN(Q4/10)+1.35448*LN(S4/10))</f>
        <v>338.53029263208589</v>
      </c>
      <c r="V4" s="97">
        <f>U15</f>
        <v>105.09410552321242</v>
      </c>
      <c r="W4">
        <f>V4/T4</f>
        <v>7.006273701547495</v>
      </c>
      <c r="X4">
        <f>V4*0.33/0.8</f>
        <v>43.351318528325123</v>
      </c>
      <c r="Y4">
        <f>X4/T4</f>
        <v>2.8900879018883416</v>
      </c>
      <c r="AA4">
        <v>1</v>
      </c>
      <c r="AB4">
        <v>184</v>
      </c>
      <c r="AC4">
        <v>184</v>
      </c>
      <c r="AD4">
        <f>(AB4+AC4)/2</f>
        <v>184</v>
      </c>
      <c r="AE4">
        <v>20.3</v>
      </c>
      <c r="AF4">
        <f>AE4*10</f>
        <v>203</v>
      </c>
      <c r="AG4">
        <v>30</v>
      </c>
      <c r="AH4">
        <f>EXP(-3.53769+1.70873*LN(D4/10)+1.35448*LN(AF4/10))</f>
        <v>284.42463209875649</v>
      </c>
      <c r="AI4" s="97">
        <f>AH15</f>
        <v>101.5243057040424</v>
      </c>
      <c r="AJ4">
        <f>AI4/AG4</f>
        <v>3.3841435234680803</v>
      </c>
      <c r="AK4">
        <f>AI4*0.33/0.8</f>
        <v>41.878776102917485</v>
      </c>
      <c r="AL4">
        <f>AK4/AG4</f>
        <v>1.3959592034305828</v>
      </c>
      <c r="AN4">
        <v>1</v>
      </c>
      <c r="AO4">
        <v>370</v>
      </c>
      <c r="AP4">
        <v>271</v>
      </c>
      <c r="AQ4">
        <f>(AO4+AP4)/2</f>
        <v>320.5</v>
      </c>
      <c r="AR4">
        <v>229</v>
      </c>
      <c r="AS4">
        <v>30</v>
      </c>
      <c r="AT4">
        <f>EXP(-3.53769+1.70873*LN(AQ4/10)+1.35448*LN(AR4/10))</f>
        <v>756.00428091517938</v>
      </c>
      <c r="AU4" s="97">
        <f>AT15</f>
        <v>356.44730107417968</v>
      </c>
      <c r="AV4">
        <f>AU4/AS4</f>
        <v>11.881576702472655</v>
      </c>
      <c r="AW4">
        <f>AU4*0.33/0.8</f>
        <v>147.03451169309912</v>
      </c>
      <c r="AX4">
        <f>AW4/AS4</f>
        <v>4.9011503897699704</v>
      </c>
      <c r="AZ4" t="s">
        <v>243</v>
      </c>
      <c r="BA4">
        <v>88</v>
      </c>
      <c r="BB4">
        <v>88</v>
      </c>
      <c r="BC4">
        <f>((BA4+BB4)/2)/10</f>
        <v>8.8000000000000007</v>
      </c>
      <c r="BD4">
        <v>12.4</v>
      </c>
      <c r="BE4">
        <v>30</v>
      </c>
      <c r="BF4">
        <f>10^(-0.89359)*(BC4)^2.27954*((BC4)+20)^(-1.18672)*(BD4)^7.07362*((BD4)-1.3)^(-5.45175)</f>
        <v>36.569222627684638</v>
      </c>
      <c r="BG4">
        <f>BF15</f>
        <v>51.987280910602209</v>
      </c>
      <c r="BH4">
        <f>BG4/BE4</f>
        <v>1.7329093636867403</v>
      </c>
      <c r="BI4">
        <f>BG4/0.85*0.438</f>
        <v>26.78874004569855</v>
      </c>
      <c r="BJ4">
        <f>BI4/BE4</f>
        <v>0.89295800152328497</v>
      </c>
    </row>
    <row r="5" spans="1:62" x14ac:dyDescent="0.15">
      <c r="A5">
        <v>2</v>
      </c>
      <c r="B5">
        <v>221</v>
      </c>
      <c r="C5">
        <v>200</v>
      </c>
      <c r="D5">
        <f t="shared" ref="D5:D10" si="0">(B5+C5)/2</f>
        <v>210.5</v>
      </c>
      <c r="E5">
        <v>26.1</v>
      </c>
      <c r="F5">
        <f t="shared" ref="F5:F10" si="1">E5*10</f>
        <v>261</v>
      </c>
      <c r="H5">
        <f t="shared" ref="H5:H10" si="2">EXP(-3.53769+1.70873*LN(D5/10)+1.35448*LN(F5/10))</f>
        <v>440.04039902353128</v>
      </c>
      <c r="N5">
        <v>2</v>
      </c>
      <c r="O5">
        <v>198</v>
      </c>
      <c r="P5">
        <v>204</v>
      </c>
      <c r="Q5">
        <f>(O5+P5)/2</f>
        <v>201</v>
      </c>
      <c r="R5">
        <v>22.8</v>
      </c>
      <c r="S5">
        <f>R5*10</f>
        <v>228</v>
      </c>
      <c r="U5">
        <f>EXP(-3.53769+1.70873*LN(Q5/10)+1.35448*LN(S5/10))</f>
        <v>338.61527480881102</v>
      </c>
      <c r="AA5">
        <v>2</v>
      </c>
      <c r="AB5">
        <v>265</v>
      </c>
      <c r="AC5">
        <v>260</v>
      </c>
      <c r="AD5">
        <f>(AB5+AC5)/2</f>
        <v>262.5</v>
      </c>
      <c r="AE5">
        <v>25.5</v>
      </c>
      <c r="AF5">
        <f>AE5*10</f>
        <v>255</v>
      </c>
      <c r="AH5">
        <f>EXP(-3.53769+1.70873*LN(D5/10)+1.35448*LN(AF5/10))</f>
        <v>426.39476006406596</v>
      </c>
      <c r="AN5">
        <v>2</v>
      </c>
      <c r="AO5">
        <v>392</v>
      </c>
      <c r="AP5">
        <v>448</v>
      </c>
      <c r="AQ5">
        <f t="shared" ref="AQ5:AQ11" si="3">(AO5+AP5)/2</f>
        <v>420</v>
      </c>
      <c r="AR5">
        <v>245</v>
      </c>
      <c r="AT5">
        <f t="shared" ref="AT5:AT11" si="4">EXP(-3.53769+1.70873*LN(AQ5/10)+1.35448*LN(AR5/10))</f>
        <v>1314.9014135399736</v>
      </c>
      <c r="AZ5">
        <v>2</v>
      </c>
      <c r="BA5">
        <v>110</v>
      </c>
      <c r="BB5">
        <v>115</v>
      </c>
      <c r="BC5">
        <f t="shared" ref="BC5:BC13" si="5">((BA5+BB5)/2)/10</f>
        <v>11.25</v>
      </c>
      <c r="BD5">
        <v>16.100000000000001</v>
      </c>
      <c r="BF5">
        <f>10^(-0.89359)*(BC5)^2.27954*((BC5)+20)^(-1.18672)*(BD5)^7.07362*((BD5)-1.3)^(-5.45175)</f>
        <v>76.778416277810322</v>
      </c>
    </row>
    <row r="6" spans="1:62" x14ac:dyDescent="0.15">
      <c r="A6">
        <v>3</v>
      </c>
      <c r="B6">
        <v>270</v>
      </c>
      <c r="C6">
        <v>267</v>
      </c>
      <c r="D6">
        <f t="shared" si="0"/>
        <v>268.5</v>
      </c>
      <c r="E6">
        <v>24.1</v>
      </c>
      <c r="F6">
        <f t="shared" si="1"/>
        <v>241</v>
      </c>
      <c r="H6">
        <f t="shared" si="2"/>
        <v>598.68058568601066</v>
      </c>
      <c r="N6">
        <v>3</v>
      </c>
      <c r="O6">
        <v>194</v>
      </c>
      <c r="P6">
        <v>222</v>
      </c>
      <c r="Q6">
        <f>(O6+P6)/2</f>
        <v>208</v>
      </c>
      <c r="R6">
        <v>20.6</v>
      </c>
      <c r="S6">
        <f>R6*10</f>
        <v>206</v>
      </c>
      <c r="U6">
        <f>EXP(-3.53769+1.70873*LN(Q6/10)+1.35448*LN(S6/10))</f>
        <v>312.91183492943918</v>
      </c>
      <c r="AA6">
        <v>3</v>
      </c>
      <c r="AB6">
        <v>234</v>
      </c>
      <c r="AC6">
        <v>240</v>
      </c>
      <c r="AD6">
        <f>(AB6+AC6)/2</f>
        <v>237</v>
      </c>
      <c r="AE6">
        <v>23.2</v>
      </c>
      <c r="AF6">
        <f>AE6*10</f>
        <v>232</v>
      </c>
      <c r="AH6">
        <f>EXP(-3.53769+1.70873*LN(D6/10)+1.35448*LN(AF6/10))</f>
        <v>568.60005426680641</v>
      </c>
      <c r="AN6">
        <v>3</v>
      </c>
      <c r="AO6">
        <v>334</v>
      </c>
      <c r="AP6">
        <v>308</v>
      </c>
      <c r="AQ6">
        <f t="shared" si="3"/>
        <v>321</v>
      </c>
      <c r="AR6">
        <v>240</v>
      </c>
      <c r="AT6">
        <f t="shared" si="4"/>
        <v>807.75493682098295</v>
      </c>
      <c r="AZ6">
        <v>3</v>
      </c>
      <c r="BA6">
        <v>130</v>
      </c>
      <c r="BB6">
        <v>130</v>
      </c>
      <c r="BC6">
        <f t="shared" si="5"/>
        <v>13</v>
      </c>
      <c r="BD6">
        <v>14.3</v>
      </c>
      <c r="BF6">
        <f t="shared" ref="BF6:BF13" si="6">10^(-0.89359)*(BC6)^2.27954*((BC6)+20)^(-1.18672)*(BD6)^7.07362*((BD6)-1.3)^(-5.45175)</f>
        <v>87.721287442531576</v>
      </c>
    </row>
    <row r="7" spans="1:62" x14ac:dyDescent="0.15">
      <c r="A7">
        <v>4</v>
      </c>
      <c r="B7">
        <v>194</v>
      </c>
      <c r="C7">
        <v>180</v>
      </c>
      <c r="D7">
        <f t="shared" si="0"/>
        <v>187</v>
      </c>
      <c r="E7">
        <v>22.3</v>
      </c>
      <c r="F7">
        <f t="shared" si="1"/>
        <v>223</v>
      </c>
      <c r="H7">
        <f t="shared" si="2"/>
        <v>290.46020099702133</v>
      </c>
      <c r="N7">
        <v>4</v>
      </c>
      <c r="O7">
        <v>211</v>
      </c>
      <c r="P7">
        <v>194</v>
      </c>
      <c r="Q7">
        <f>(O7+P7)/2</f>
        <v>202.5</v>
      </c>
      <c r="R7">
        <v>22</v>
      </c>
      <c r="S7">
        <f>R7*10</f>
        <v>220</v>
      </c>
      <c r="U7">
        <f>EXP(-3.53769+1.70873*LN(Q7/10)+1.35448*LN(S7/10))</f>
        <v>326.74809508817378</v>
      </c>
      <c r="AA7">
        <v>4</v>
      </c>
      <c r="AB7">
        <v>238</v>
      </c>
      <c r="AC7">
        <v>245</v>
      </c>
      <c r="AD7">
        <f>(AB7+AC7)/2</f>
        <v>241.5</v>
      </c>
      <c r="AE7">
        <v>21.9</v>
      </c>
      <c r="AF7">
        <f>AE7*10</f>
        <v>219</v>
      </c>
      <c r="AH7">
        <f>EXP(-3.53769+1.70873*LN(D7/10)+1.35448*LN(AF7/10))</f>
        <v>283.42581707742818</v>
      </c>
      <c r="AN7">
        <v>4</v>
      </c>
      <c r="AO7">
        <v>80</v>
      </c>
      <c r="AP7">
        <v>88</v>
      </c>
      <c r="AQ7">
        <f t="shared" si="3"/>
        <v>84</v>
      </c>
      <c r="AR7">
        <v>99</v>
      </c>
      <c r="AT7">
        <f t="shared" si="4"/>
        <v>24.632724929573648</v>
      </c>
      <c r="AZ7">
        <v>4</v>
      </c>
      <c r="BA7">
        <v>164</v>
      </c>
      <c r="BB7">
        <v>170</v>
      </c>
      <c r="BC7">
        <f t="shared" si="5"/>
        <v>16.7</v>
      </c>
      <c r="BD7">
        <v>17.399999999999999</v>
      </c>
      <c r="BF7">
        <f t="shared" si="6"/>
        <v>170.876207623402</v>
      </c>
    </row>
    <row r="8" spans="1:62" x14ac:dyDescent="0.15">
      <c r="A8">
        <v>5</v>
      </c>
      <c r="B8">
        <v>147</v>
      </c>
      <c r="C8">
        <v>143</v>
      </c>
      <c r="D8">
        <f t="shared" si="0"/>
        <v>145</v>
      </c>
      <c r="E8">
        <v>22.3</v>
      </c>
      <c r="F8">
        <f t="shared" si="1"/>
        <v>223</v>
      </c>
      <c r="H8">
        <f t="shared" si="2"/>
        <v>188.06893778915611</v>
      </c>
      <c r="N8">
        <v>5</v>
      </c>
      <c r="O8">
        <v>188</v>
      </c>
      <c r="P8">
        <v>198</v>
      </c>
      <c r="Q8">
        <f>(O8+P8)/2</f>
        <v>193</v>
      </c>
      <c r="R8">
        <v>22</v>
      </c>
      <c r="S8">
        <f>R8*10</f>
        <v>220</v>
      </c>
      <c r="U8">
        <f>EXP(-3.53769+1.70873*LN(Q8/10)+1.35448*LN(S8/10))</f>
        <v>300.99256479333167</v>
      </c>
      <c r="AN8">
        <v>5</v>
      </c>
      <c r="AO8">
        <v>209</v>
      </c>
      <c r="AP8">
        <v>200</v>
      </c>
      <c r="AQ8">
        <f t="shared" si="3"/>
        <v>204.5</v>
      </c>
      <c r="AR8">
        <v>203</v>
      </c>
      <c r="AT8">
        <f t="shared" si="4"/>
        <v>297.98813447927881</v>
      </c>
      <c r="AZ8">
        <v>5</v>
      </c>
      <c r="BA8">
        <v>124</v>
      </c>
      <c r="BB8">
        <v>122</v>
      </c>
      <c r="BC8">
        <f t="shared" si="5"/>
        <v>12.3</v>
      </c>
      <c r="BD8">
        <v>14</v>
      </c>
      <c r="BF8">
        <f t="shared" si="6"/>
        <v>77.536062126921735</v>
      </c>
    </row>
    <row r="9" spans="1:62" x14ac:dyDescent="0.15">
      <c r="A9">
        <v>6</v>
      </c>
      <c r="B9">
        <v>174</v>
      </c>
      <c r="C9">
        <v>186</v>
      </c>
      <c r="D9">
        <f t="shared" si="0"/>
        <v>180</v>
      </c>
      <c r="E9">
        <v>23.5</v>
      </c>
      <c r="F9">
        <f t="shared" si="1"/>
        <v>235</v>
      </c>
      <c r="H9">
        <f t="shared" si="2"/>
        <v>292.15043685481385</v>
      </c>
      <c r="AN9">
        <v>6</v>
      </c>
      <c r="AO9">
        <v>228</v>
      </c>
      <c r="AP9">
        <v>231</v>
      </c>
      <c r="AQ9">
        <f t="shared" si="3"/>
        <v>229.5</v>
      </c>
      <c r="AR9">
        <v>224</v>
      </c>
      <c r="AT9">
        <f t="shared" si="4"/>
        <v>414.66262807096422</v>
      </c>
      <c r="AZ9">
        <v>6</v>
      </c>
      <c r="BA9">
        <v>100</v>
      </c>
      <c r="BB9">
        <v>99</v>
      </c>
      <c r="BC9">
        <f t="shared" si="5"/>
        <v>9.9499999999999993</v>
      </c>
      <c r="BD9">
        <v>14</v>
      </c>
      <c r="BF9">
        <f t="shared" si="6"/>
        <v>52.303438784436921</v>
      </c>
    </row>
    <row r="10" spans="1:62" x14ac:dyDescent="0.15">
      <c r="A10">
        <v>7</v>
      </c>
      <c r="B10">
        <v>288</v>
      </c>
      <c r="C10">
        <v>278</v>
      </c>
      <c r="D10">
        <f t="shared" si="0"/>
        <v>283</v>
      </c>
      <c r="E10">
        <v>25.8</v>
      </c>
      <c r="F10">
        <f t="shared" si="1"/>
        <v>258</v>
      </c>
      <c r="H10">
        <f t="shared" si="2"/>
        <v>718.3274282370445</v>
      </c>
      <c r="AN10">
        <v>7</v>
      </c>
      <c r="AO10">
        <v>330</v>
      </c>
      <c r="AP10">
        <v>301</v>
      </c>
      <c r="AQ10">
        <f t="shared" si="3"/>
        <v>315.5</v>
      </c>
      <c r="AR10">
        <v>212</v>
      </c>
      <c r="AT10">
        <f t="shared" si="4"/>
        <v>662.95085302400253</v>
      </c>
      <c r="AZ10">
        <v>7</v>
      </c>
      <c r="BA10">
        <v>117</v>
      </c>
      <c r="BB10">
        <v>130</v>
      </c>
      <c r="BC10">
        <f t="shared" si="5"/>
        <v>12.35</v>
      </c>
      <c r="BD10">
        <v>15.1</v>
      </c>
      <c r="BF10">
        <f t="shared" si="6"/>
        <v>84.802682393275859</v>
      </c>
    </row>
    <row r="11" spans="1:62" x14ac:dyDescent="0.15">
      <c r="AN11">
        <v>8</v>
      </c>
      <c r="AO11">
        <v>422</v>
      </c>
      <c r="AP11">
        <v>380</v>
      </c>
      <c r="AQ11">
        <f t="shared" si="3"/>
        <v>401</v>
      </c>
      <c r="AR11">
        <v>244</v>
      </c>
      <c r="AT11">
        <f t="shared" si="4"/>
        <v>1208.1849182081494</v>
      </c>
      <c r="AZ11">
        <v>8</v>
      </c>
      <c r="BA11">
        <v>125</v>
      </c>
      <c r="BB11">
        <v>119</v>
      </c>
      <c r="BC11">
        <f t="shared" si="5"/>
        <v>12.2</v>
      </c>
      <c r="BD11">
        <v>15.3</v>
      </c>
      <c r="BF11">
        <f t="shared" si="6"/>
        <v>84.151419980715886</v>
      </c>
    </row>
    <row r="12" spans="1:62" x14ac:dyDescent="0.15">
      <c r="AZ12" t="s">
        <v>244</v>
      </c>
      <c r="BA12">
        <v>140</v>
      </c>
      <c r="BB12">
        <v>135</v>
      </c>
      <c r="BC12">
        <f t="shared" si="5"/>
        <v>13.75</v>
      </c>
      <c r="BD12">
        <v>13.2</v>
      </c>
      <c r="BF12">
        <f t="shared" si="6"/>
        <v>89.224577516425697</v>
      </c>
    </row>
    <row r="13" spans="1:62" x14ac:dyDescent="0.15">
      <c r="AZ13">
        <v>10</v>
      </c>
      <c r="BA13">
        <v>94</v>
      </c>
      <c r="BB13">
        <v>92</v>
      </c>
      <c r="BC13">
        <f t="shared" si="5"/>
        <v>9.3000000000000007</v>
      </c>
      <c r="BD13">
        <v>12.3</v>
      </c>
      <c r="BF13">
        <f t="shared" si="6"/>
        <v>40.318698192193636</v>
      </c>
    </row>
    <row r="14" spans="1:62" ht="15" x14ac:dyDescent="0.25">
      <c r="E14" s="82" t="s">
        <v>357</v>
      </c>
      <c r="F14" s="82"/>
      <c r="G14" s="82"/>
      <c r="H14" s="98">
        <f>SUM(H4:H10)</f>
        <v>2884.5556340314288</v>
      </c>
      <c r="I14" s="82" t="s">
        <v>330</v>
      </c>
      <c r="J14" s="98">
        <f>PI()*7^2</f>
        <v>153.93804002589985</v>
      </c>
      <c r="K14" s="82" t="s">
        <v>326</v>
      </c>
      <c r="R14" s="82" t="s">
        <v>357</v>
      </c>
      <c r="S14" s="82"/>
      <c r="T14" s="82"/>
      <c r="U14" s="98">
        <f>SUM(U4:U8)</f>
        <v>1617.7980622518417</v>
      </c>
      <c r="V14" s="82" t="s">
        <v>330</v>
      </c>
      <c r="W14" s="82">
        <f>PI()*7^2</f>
        <v>153.93804002589985</v>
      </c>
      <c r="X14" s="82" t="s">
        <v>326</v>
      </c>
      <c r="AE14" s="82" t="s">
        <v>357</v>
      </c>
      <c r="AF14" s="82"/>
      <c r="AG14" s="82"/>
      <c r="AH14" s="98">
        <f>SUM(AH4:AH8)</f>
        <v>1562.8452635070571</v>
      </c>
      <c r="AI14" s="82" t="s">
        <v>330</v>
      </c>
      <c r="AJ14" s="82">
        <f>PI()*7^2</f>
        <v>153.93804002589985</v>
      </c>
      <c r="AK14" s="82" t="s">
        <v>326</v>
      </c>
      <c r="AQ14" s="82" t="s">
        <v>357</v>
      </c>
      <c r="AR14" s="82"/>
      <c r="AS14" s="82"/>
      <c r="AT14" s="98">
        <f>SUM(AT4:AT11)</f>
        <v>5487.0798899881047</v>
      </c>
      <c r="AU14" s="82" t="s">
        <v>330</v>
      </c>
      <c r="AV14" s="82">
        <f>PI()*7^2</f>
        <v>153.93804002589985</v>
      </c>
      <c r="AW14" s="82" t="s">
        <v>326</v>
      </c>
      <c r="BC14" s="82" t="s">
        <v>357</v>
      </c>
      <c r="BD14" s="82"/>
      <c r="BE14" s="82"/>
      <c r="BF14" s="98">
        <f>SUM(BF4:BF13)</f>
        <v>800.28201296539828</v>
      </c>
      <c r="BG14" s="82" t="s">
        <v>330</v>
      </c>
      <c r="BH14" s="82">
        <f>PI()*7^2</f>
        <v>153.93804002589985</v>
      </c>
      <c r="BI14" s="82" t="s">
        <v>326</v>
      </c>
    </row>
    <row r="15" spans="1:62" ht="15" x14ac:dyDescent="0.25">
      <c r="E15" s="82" t="s">
        <v>365</v>
      </c>
      <c r="F15" s="82"/>
      <c r="G15" s="82"/>
      <c r="H15" s="100">
        <f>((H14*J15)/J14)/1000</f>
        <v>187.38419909374619</v>
      </c>
      <c r="I15" s="82" t="s">
        <v>360</v>
      </c>
      <c r="J15" s="82">
        <v>10000</v>
      </c>
      <c r="K15" s="82" t="s">
        <v>326</v>
      </c>
      <c r="R15" s="82" t="s">
        <v>365</v>
      </c>
      <c r="S15" s="82"/>
      <c r="T15" s="82"/>
      <c r="U15" s="100">
        <f>((U14*W15)/W14)/1000</f>
        <v>105.09410552321242</v>
      </c>
      <c r="V15" s="82" t="s">
        <v>360</v>
      </c>
      <c r="W15" s="82">
        <v>10000</v>
      </c>
      <c r="X15" s="82" t="s">
        <v>326</v>
      </c>
      <c r="AE15" s="82" t="s">
        <v>365</v>
      </c>
      <c r="AF15" s="82"/>
      <c r="AG15" s="82"/>
      <c r="AH15" s="98">
        <f>((AH14*AJ15)/AJ14)/1000</f>
        <v>101.5243057040424</v>
      </c>
      <c r="AI15" s="82" t="s">
        <v>360</v>
      </c>
      <c r="AJ15" s="82">
        <v>10000</v>
      </c>
      <c r="AK15" s="82" t="s">
        <v>326</v>
      </c>
      <c r="AQ15" s="82" t="s">
        <v>365</v>
      </c>
      <c r="AR15" s="82"/>
      <c r="AS15" s="82"/>
      <c r="AT15" s="98">
        <f>((AT14*AV15)/AV14)/1000</f>
        <v>356.44730107417968</v>
      </c>
      <c r="AU15" s="82" t="s">
        <v>360</v>
      </c>
      <c r="AV15" s="82">
        <v>10000</v>
      </c>
      <c r="AW15" s="82" t="s">
        <v>326</v>
      </c>
      <c r="BC15" s="82" t="s">
        <v>365</v>
      </c>
      <c r="BD15" s="82"/>
      <c r="BE15" s="82"/>
      <c r="BF15" s="98">
        <f>((BF14*BH15)/BH14)/1000</f>
        <v>51.987280910602209</v>
      </c>
      <c r="BG15" s="82" t="s">
        <v>360</v>
      </c>
      <c r="BH15" s="82">
        <v>10000</v>
      </c>
      <c r="BI15" s="82" t="s">
        <v>326</v>
      </c>
    </row>
    <row r="20" spans="1:63" ht="14.25" x14ac:dyDescent="0.25">
      <c r="A20" s="74" t="s">
        <v>232</v>
      </c>
      <c r="B20" s="74"/>
      <c r="C20" s="74"/>
      <c r="D20" s="74"/>
      <c r="N20" s="74" t="s">
        <v>233</v>
      </c>
      <c r="O20" s="74"/>
      <c r="P20" s="74"/>
      <c r="Q20" s="74"/>
      <c r="AA20" s="74" t="s">
        <v>235</v>
      </c>
      <c r="AB20" s="74"/>
      <c r="AC20" s="74"/>
      <c r="AD20" s="74"/>
      <c r="AN20" s="74" t="s">
        <v>237</v>
      </c>
      <c r="AO20" s="74"/>
      <c r="AP20" s="74"/>
      <c r="AQ20" s="74"/>
      <c r="AZ20" s="74" t="s">
        <v>239</v>
      </c>
      <c r="BA20" s="74"/>
      <c r="BB20" s="74"/>
      <c r="BC20" s="74"/>
    </row>
    <row r="21" spans="1:63" x14ac:dyDescent="0.15">
      <c r="E21" s="76" t="s">
        <v>601</v>
      </c>
      <c r="R21" s="76" t="s">
        <v>602</v>
      </c>
      <c r="BD21" s="76" t="s">
        <v>602</v>
      </c>
      <c r="BH21" t="s">
        <v>373</v>
      </c>
    </row>
    <row r="22" spans="1:63" x14ac:dyDescent="0.15">
      <c r="A22" t="s">
        <v>228</v>
      </c>
      <c r="B22" t="s">
        <v>229</v>
      </c>
      <c r="C22" t="s">
        <v>230</v>
      </c>
      <c r="D22" t="s">
        <v>371</v>
      </c>
      <c r="E22" t="s">
        <v>231</v>
      </c>
      <c r="N22" t="s">
        <v>228</v>
      </c>
      <c r="O22" t="s">
        <v>229</v>
      </c>
      <c r="P22" t="s">
        <v>230</v>
      </c>
      <c r="Q22" t="s">
        <v>371</v>
      </c>
      <c r="R22" t="s">
        <v>231</v>
      </c>
      <c r="AA22" t="s">
        <v>228</v>
      </c>
      <c r="AB22" t="s">
        <v>229</v>
      </c>
      <c r="AC22" t="s">
        <v>230</v>
      </c>
      <c r="AD22" t="s">
        <v>231</v>
      </c>
      <c r="AN22" t="s">
        <v>228</v>
      </c>
      <c r="AO22" t="s">
        <v>229</v>
      </c>
      <c r="AP22" t="s">
        <v>230</v>
      </c>
      <c r="AQ22" t="s">
        <v>231</v>
      </c>
      <c r="AZ22" t="s">
        <v>228</v>
      </c>
      <c r="BA22" t="s">
        <v>229</v>
      </c>
      <c r="BB22" t="s">
        <v>230</v>
      </c>
      <c r="BC22" t="s">
        <v>371</v>
      </c>
      <c r="BD22" t="s">
        <v>231</v>
      </c>
      <c r="BH22" t="s">
        <v>153</v>
      </c>
      <c r="BK22" t="s">
        <v>159</v>
      </c>
    </row>
    <row r="23" spans="1:63" x14ac:dyDescent="0.15">
      <c r="A23">
        <v>759</v>
      </c>
      <c r="B23">
        <v>554.86</v>
      </c>
      <c r="D23">
        <f>B23-C23</f>
        <v>554.86</v>
      </c>
      <c r="E23">
        <f>D23/$A$36</f>
        <v>1.362790126489009</v>
      </c>
      <c r="N23">
        <v>673</v>
      </c>
      <c r="O23">
        <v>562.35</v>
      </c>
      <c r="Q23">
        <f>O23+P23</f>
        <v>562.35</v>
      </c>
      <c r="R23">
        <f>Q23/$A$36</f>
        <v>1.3811862949772813</v>
      </c>
      <c r="AA23">
        <v>744</v>
      </c>
      <c r="AB23">
        <v>549.25</v>
      </c>
      <c r="AD23">
        <f>AB23/$A$36</f>
        <v>1.3490114208522659</v>
      </c>
      <c r="AN23">
        <v>252</v>
      </c>
      <c r="AO23">
        <v>409.92</v>
      </c>
      <c r="AQ23">
        <f>AO23/$A$36</f>
        <v>1.006803389414221</v>
      </c>
      <c r="AZ23">
        <v>744</v>
      </c>
      <c r="BA23">
        <v>531.29999999999995</v>
      </c>
      <c r="BC23">
        <f>BA23+BB23</f>
        <v>531.29999999999995</v>
      </c>
      <c r="BD23">
        <f>BC23/$A$36</f>
        <v>1.3049244750092104</v>
      </c>
      <c r="BH23" t="s">
        <v>154</v>
      </c>
      <c r="BI23">
        <v>-0.89359</v>
      </c>
      <c r="BK23" t="s">
        <v>160</v>
      </c>
    </row>
    <row r="24" spans="1:63" x14ac:dyDescent="0.15">
      <c r="A24">
        <v>756</v>
      </c>
      <c r="B24">
        <v>550.73</v>
      </c>
      <c r="D24">
        <f t="shared" ref="D24:D30" si="7">B24-C24</f>
        <v>550.73</v>
      </c>
      <c r="E24">
        <f t="shared" ref="E24:E30" si="8">D24/$A$36</f>
        <v>1.3526464447992141</v>
      </c>
      <c r="N24">
        <v>674</v>
      </c>
      <c r="O24">
        <v>613.85</v>
      </c>
      <c r="Q24">
        <f t="shared" ref="Q24:Q32" si="9">O24+P24</f>
        <v>613.85</v>
      </c>
      <c r="R24">
        <f t="shared" ref="R24:R32" si="10">Q24/$A$36</f>
        <v>1.5076753039420363</v>
      </c>
      <c r="AA24">
        <v>746</v>
      </c>
      <c r="AB24">
        <v>546.16</v>
      </c>
      <c r="AD24">
        <f t="shared" ref="AD24:AD32" si="11">AB24/$A$36</f>
        <v>1.3414220803143804</v>
      </c>
      <c r="AN24">
        <v>249</v>
      </c>
      <c r="AO24">
        <v>446.99</v>
      </c>
      <c r="AQ24">
        <f t="shared" ref="AQ24:AQ32" si="12">AO24/$A$36</f>
        <v>1.0978509148962299</v>
      </c>
      <c r="AZ24">
        <v>745</v>
      </c>
      <c r="BA24">
        <v>601.13</v>
      </c>
      <c r="BB24">
        <v>-44.42</v>
      </c>
      <c r="BC24">
        <f t="shared" ref="BC24:BC32" si="13">BA24+BB24</f>
        <v>556.71</v>
      </c>
      <c r="BD24">
        <f>BC24/($A$36-((-BB24)/2.65))</f>
        <v>1.4260437736067917</v>
      </c>
      <c r="BH24" t="s">
        <v>155</v>
      </c>
      <c r="BI24">
        <v>2.2795399999999999</v>
      </c>
    </row>
    <row r="25" spans="1:63" x14ac:dyDescent="0.15">
      <c r="A25">
        <v>577</v>
      </c>
      <c r="B25">
        <v>567.5</v>
      </c>
      <c r="D25">
        <f t="shared" si="7"/>
        <v>567.5</v>
      </c>
      <c r="E25">
        <f t="shared" si="8"/>
        <v>1.3938351958737567</v>
      </c>
      <c r="N25">
        <v>677</v>
      </c>
      <c r="O25">
        <v>627.55999999999995</v>
      </c>
      <c r="Q25">
        <f t="shared" si="9"/>
        <v>627.55999999999995</v>
      </c>
      <c r="R25">
        <f t="shared" si="10"/>
        <v>1.541348397396537</v>
      </c>
      <c r="AA25">
        <v>743</v>
      </c>
      <c r="AB25">
        <v>566.09</v>
      </c>
      <c r="AD25">
        <f t="shared" si="11"/>
        <v>1.39037209873511</v>
      </c>
      <c r="AN25">
        <v>741</v>
      </c>
      <c r="AO25">
        <v>423.27</v>
      </c>
      <c r="AQ25">
        <f t="shared" si="12"/>
        <v>1.0395922878545991</v>
      </c>
      <c r="AZ25">
        <v>477</v>
      </c>
      <c r="BA25">
        <v>558.16999999999996</v>
      </c>
      <c r="BC25">
        <f t="shared" si="13"/>
        <v>558.16999999999996</v>
      </c>
      <c r="BD25">
        <f t="shared" ref="BD25:BD32" si="14">BC25/($A$36-((-BB25)/2.65))</f>
        <v>1.3709198084244136</v>
      </c>
      <c r="BH25" t="s">
        <v>156</v>
      </c>
      <c r="BI25">
        <v>-1.18672</v>
      </c>
    </row>
    <row r="26" spans="1:63" x14ac:dyDescent="0.15">
      <c r="A26">
        <v>754</v>
      </c>
      <c r="B26">
        <v>607.55999999999995</v>
      </c>
      <c r="D26">
        <f t="shared" si="7"/>
        <v>607.55999999999995</v>
      </c>
      <c r="E26">
        <f t="shared" si="8"/>
        <v>1.4922264521675057</v>
      </c>
      <c r="N26">
        <v>678</v>
      </c>
      <c r="O26">
        <v>614.61</v>
      </c>
      <c r="Q26">
        <f t="shared" si="9"/>
        <v>614.61</v>
      </c>
      <c r="R26">
        <f t="shared" si="10"/>
        <v>1.5095419378607393</v>
      </c>
      <c r="AA26">
        <v>757</v>
      </c>
      <c r="AB26">
        <v>589.24</v>
      </c>
      <c r="AD26">
        <f t="shared" si="11"/>
        <v>1.4472307503377135</v>
      </c>
      <c r="AN26">
        <v>641</v>
      </c>
      <c r="AO26">
        <v>374.29</v>
      </c>
      <c r="AQ26">
        <f t="shared" si="12"/>
        <v>0.91929264398870203</v>
      </c>
      <c r="AZ26">
        <v>748</v>
      </c>
      <c r="BA26">
        <v>579.58000000000004</v>
      </c>
      <c r="BC26">
        <f t="shared" si="13"/>
        <v>579.58000000000004</v>
      </c>
      <c r="BD26">
        <f t="shared" si="14"/>
        <v>1.4235048507920915</v>
      </c>
      <c r="BH26" t="s">
        <v>157</v>
      </c>
      <c r="BI26">
        <v>7.07362</v>
      </c>
    </row>
    <row r="27" spans="1:63" x14ac:dyDescent="0.15">
      <c r="A27">
        <v>752</v>
      </c>
      <c r="B27">
        <v>607.70000000000005</v>
      </c>
      <c r="D27">
        <f t="shared" si="7"/>
        <v>607.70000000000005</v>
      </c>
      <c r="E27">
        <f t="shared" si="8"/>
        <v>1.4925703057841093</v>
      </c>
      <c r="N27">
        <v>462</v>
      </c>
      <c r="O27">
        <v>619.01</v>
      </c>
      <c r="Q27">
        <f t="shared" si="9"/>
        <v>619.01</v>
      </c>
      <c r="R27">
        <f t="shared" si="10"/>
        <v>1.5203487658111261</v>
      </c>
      <c r="AA27">
        <v>749</v>
      </c>
      <c r="AB27">
        <v>556.07000000000005</v>
      </c>
      <c r="AD27">
        <f t="shared" si="11"/>
        <v>1.3657620041753655</v>
      </c>
      <c r="AN27">
        <v>759</v>
      </c>
      <c r="AO27">
        <v>431.04</v>
      </c>
      <c r="AQ27">
        <f t="shared" si="12"/>
        <v>1.0586761635760777</v>
      </c>
      <c r="AZ27">
        <v>677</v>
      </c>
      <c r="BA27">
        <v>603.38</v>
      </c>
      <c r="BC27">
        <f t="shared" si="13"/>
        <v>603.38</v>
      </c>
      <c r="BD27">
        <f t="shared" si="14"/>
        <v>1.4819599656146385</v>
      </c>
      <c r="BH27" t="s">
        <v>158</v>
      </c>
      <c r="BI27">
        <v>-5.4517499999999997</v>
      </c>
    </row>
    <row r="28" spans="1:63" x14ac:dyDescent="0.15">
      <c r="A28">
        <v>571</v>
      </c>
      <c r="B28">
        <v>567.01</v>
      </c>
      <c r="D28">
        <f t="shared" si="7"/>
        <v>567.01</v>
      </c>
      <c r="E28">
        <f t="shared" si="8"/>
        <v>1.3926317082156454</v>
      </c>
      <c r="N28">
        <v>464</v>
      </c>
      <c r="O28">
        <v>617.87</v>
      </c>
      <c r="Q28">
        <f t="shared" si="9"/>
        <v>617.87</v>
      </c>
      <c r="R28">
        <f t="shared" si="10"/>
        <v>1.5175488149330714</v>
      </c>
      <c r="AA28">
        <v>745</v>
      </c>
      <c r="AB28">
        <v>461.62</v>
      </c>
      <c r="AD28">
        <f t="shared" si="11"/>
        <v>1.1337836178312661</v>
      </c>
      <c r="AN28">
        <v>756</v>
      </c>
      <c r="AO28">
        <v>424.71</v>
      </c>
      <c r="AQ28">
        <f t="shared" si="12"/>
        <v>1.0431290679110894</v>
      </c>
      <c r="AZ28">
        <v>750</v>
      </c>
      <c r="BA28">
        <v>551.59</v>
      </c>
      <c r="BC28">
        <f t="shared" si="13"/>
        <v>551.59</v>
      </c>
      <c r="BD28">
        <f t="shared" si="14"/>
        <v>1.3547586884440626</v>
      </c>
    </row>
    <row r="29" spans="1:63" x14ac:dyDescent="0.15">
      <c r="A29">
        <v>741</v>
      </c>
      <c r="B29">
        <v>555.04999999999995</v>
      </c>
      <c r="D29">
        <f t="shared" si="7"/>
        <v>555.04999999999995</v>
      </c>
      <c r="E29">
        <f t="shared" si="8"/>
        <v>1.3632567849686847</v>
      </c>
      <c r="N29">
        <v>468</v>
      </c>
      <c r="O29">
        <v>622.84</v>
      </c>
      <c r="P29">
        <v>-50.55</v>
      </c>
      <c r="Q29">
        <f t="shared" si="9"/>
        <v>572.29000000000008</v>
      </c>
      <c r="R29">
        <f>Q29/($A$36-((-P29)/2.65))</f>
        <v>1.4746909633677643</v>
      </c>
      <c r="AA29">
        <v>758</v>
      </c>
      <c r="AB29">
        <v>565.44000000000005</v>
      </c>
      <c r="AD29">
        <f t="shared" si="11"/>
        <v>1.3887756355151666</v>
      </c>
      <c r="AN29">
        <v>755</v>
      </c>
      <c r="AO29">
        <v>410.4</v>
      </c>
      <c r="AQ29">
        <f t="shared" si="12"/>
        <v>1.0079823160997174</v>
      </c>
      <c r="AZ29">
        <v>657</v>
      </c>
      <c r="BA29">
        <v>589.75</v>
      </c>
      <c r="BC29">
        <f t="shared" si="13"/>
        <v>589.75</v>
      </c>
      <c r="BD29">
        <f t="shared" si="14"/>
        <v>1.4484833599410538</v>
      </c>
    </row>
    <row r="30" spans="1:63" x14ac:dyDescent="0.15">
      <c r="A30">
        <v>572</v>
      </c>
      <c r="B30">
        <v>465.13</v>
      </c>
      <c r="D30">
        <f t="shared" si="7"/>
        <v>465.13</v>
      </c>
      <c r="E30">
        <f t="shared" si="8"/>
        <v>1.1424045192189611</v>
      </c>
      <c r="N30">
        <v>477</v>
      </c>
      <c r="O30">
        <v>580.08000000000004</v>
      </c>
      <c r="Q30">
        <f t="shared" si="9"/>
        <v>580.08000000000004</v>
      </c>
      <c r="R30">
        <f t="shared" si="10"/>
        <v>1.4247328994228172</v>
      </c>
      <c r="AA30">
        <v>748</v>
      </c>
      <c r="AB30">
        <v>580.17999999999995</v>
      </c>
      <c r="AD30">
        <f t="shared" si="11"/>
        <v>1.4249785091489622</v>
      </c>
      <c r="AN30">
        <v>751</v>
      </c>
      <c r="AO30">
        <v>465.84</v>
      </c>
      <c r="AQ30">
        <f t="shared" si="12"/>
        <v>1.1441483482745918</v>
      </c>
      <c r="AZ30">
        <v>645</v>
      </c>
      <c r="BA30">
        <v>627.54999999999995</v>
      </c>
      <c r="BB30">
        <v>-22.93</v>
      </c>
      <c r="BC30">
        <f t="shared" si="13"/>
        <v>604.62</v>
      </c>
      <c r="BD30">
        <f t="shared" si="14"/>
        <v>1.517250424353763</v>
      </c>
    </row>
    <row r="31" spans="1:63" x14ac:dyDescent="0.15">
      <c r="A31">
        <v>641</v>
      </c>
      <c r="B31">
        <v>575.1</v>
      </c>
      <c r="C31">
        <v>-15.1</v>
      </c>
      <c r="D31">
        <f>B31+C31</f>
        <v>560</v>
      </c>
      <c r="E31">
        <f>D31/($A$36-((-C31)/2.65))</f>
        <v>1.3949367743027079</v>
      </c>
      <c r="N31">
        <v>470</v>
      </c>
      <c r="O31">
        <v>628.67999999999995</v>
      </c>
      <c r="Q31">
        <f t="shared" si="9"/>
        <v>628.67999999999995</v>
      </c>
      <c r="R31">
        <f t="shared" si="10"/>
        <v>1.5440992263293627</v>
      </c>
      <c r="AA31">
        <v>247</v>
      </c>
      <c r="AB31">
        <v>508.06</v>
      </c>
      <c r="AD31">
        <f t="shared" si="11"/>
        <v>1.2478447746530763</v>
      </c>
      <c r="AN31">
        <v>752</v>
      </c>
      <c r="AO31">
        <v>445.93</v>
      </c>
      <c r="AQ31">
        <f t="shared" si="12"/>
        <v>1.0952474517990913</v>
      </c>
      <c r="AZ31">
        <v>575</v>
      </c>
      <c r="BA31">
        <v>578.77</v>
      </c>
      <c r="BC31">
        <f t="shared" si="13"/>
        <v>578.77</v>
      </c>
      <c r="BD31">
        <f t="shared" si="14"/>
        <v>1.4215154120103157</v>
      </c>
    </row>
    <row r="32" spans="1:63" x14ac:dyDescent="0.15">
      <c r="A32">
        <v>565</v>
      </c>
      <c r="B32">
        <v>560.75</v>
      </c>
      <c r="C32">
        <v>-33.86</v>
      </c>
      <c r="D32">
        <f>B32+C32</f>
        <v>526.89</v>
      </c>
      <c r="E32">
        <f>D32/($A$36-((-C32)/2.65))</f>
        <v>1.3360206681258746</v>
      </c>
      <c r="N32">
        <v>1664</v>
      </c>
      <c r="O32">
        <v>619.75</v>
      </c>
      <c r="Q32">
        <f t="shared" si="9"/>
        <v>619.75</v>
      </c>
      <c r="R32">
        <f t="shared" si="10"/>
        <v>1.5221662777846003</v>
      </c>
      <c r="AA32">
        <v>750</v>
      </c>
      <c r="AB32">
        <v>519.15</v>
      </c>
      <c r="AD32">
        <f t="shared" si="11"/>
        <v>1.275082893282574</v>
      </c>
      <c r="AN32">
        <v>754</v>
      </c>
      <c r="AO32">
        <v>410.42</v>
      </c>
      <c r="AQ32">
        <f t="shared" si="12"/>
        <v>1.0080314380449467</v>
      </c>
      <c r="AZ32">
        <v>749</v>
      </c>
      <c r="BA32">
        <v>598.13</v>
      </c>
      <c r="BC32">
        <f t="shared" si="13"/>
        <v>598.13</v>
      </c>
      <c r="BD32">
        <f t="shared" si="14"/>
        <v>1.4690654549920177</v>
      </c>
    </row>
    <row r="34" spans="1:56" x14ac:dyDescent="0.15">
      <c r="E34">
        <f>AVERAGE(E23:E32)</f>
        <v>1.3723318979945471</v>
      </c>
      <c r="R34">
        <f>AVERAGE(R23:R32)</f>
        <v>1.4943338881825337</v>
      </c>
      <c r="AD34">
        <f>AVERAGE(AD23:AD32)</f>
        <v>1.3364263784845882</v>
      </c>
      <c r="AQ34">
        <f>AVERAGE(AQ23:AQ32)</f>
        <v>1.0420754021859266</v>
      </c>
      <c r="BD34">
        <f>AVERAGE(BD23:BD32)</f>
        <v>1.4218426213188358</v>
      </c>
    </row>
    <row r="35" spans="1:56" x14ac:dyDescent="0.15">
      <c r="A35" t="s">
        <v>363</v>
      </c>
    </row>
    <row r="36" spans="1:56" x14ac:dyDescent="0.15">
      <c r="A36">
        <v>407.15</v>
      </c>
    </row>
    <row r="41" spans="1:56" ht="14.25" x14ac:dyDescent="0.25">
      <c r="A41" s="74" t="s">
        <v>240</v>
      </c>
      <c r="B41" s="74"/>
      <c r="C41" s="74"/>
      <c r="D41" s="74"/>
    </row>
    <row r="43" spans="1:56" x14ac:dyDescent="0.15">
      <c r="A43" t="s">
        <v>228</v>
      </c>
      <c r="B43" t="s">
        <v>229</v>
      </c>
      <c r="C43" t="s">
        <v>230</v>
      </c>
      <c r="D43" t="s">
        <v>371</v>
      </c>
      <c r="E43" t="s">
        <v>231</v>
      </c>
    </row>
    <row r="44" spans="1:56" x14ac:dyDescent="0.15">
      <c r="A44">
        <v>746</v>
      </c>
      <c r="B44">
        <v>631.82000000000005</v>
      </c>
      <c r="D44">
        <f>B44+C44</f>
        <v>631.82000000000005</v>
      </c>
      <c r="E44">
        <f>D44/$A$36</f>
        <v>1.5518113717303208</v>
      </c>
    </row>
    <row r="45" spans="1:56" x14ac:dyDescent="0.15">
      <c r="A45">
        <v>743</v>
      </c>
      <c r="B45">
        <v>618.9</v>
      </c>
      <c r="D45">
        <f t="shared" ref="D45:D53" si="15">B45+C45</f>
        <v>618.9</v>
      </c>
      <c r="E45">
        <f t="shared" ref="E45:E53" si="16">D45/$A$36</f>
        <v>1.5200785951123665</v>
      </c>
    </row>
    <row r="46" spans="1:56" x14ac:dyDescent="0.15">
      <c r="A46">
        <v>471</v>
      </c>
      <c r="B46">
        <v>594.29999999999995</v>
      </c>
      <c r="D46">
        <f t="shared" si="15"/>
        <v>594.29999999999995</v>
      </c>
      <c r="E46">
        <f t="shared" si="16"/>
        <v>1.4596586024806582</v>
      </c>
    </row>
    <row r="47" spans="1:56" x14ac:dyDescent="0.15">
      <c r="A47">
        <v>758</v>
      </c>
      <c r="B47">
        <v>630.32000000000005</v>
      </c>
      <c r="D47">
        <f t="shared" si="15"/>
        <v>630.32000000000005</v>
      </c>
      <c r="E47">
        <f t="shared" si="16"/>
        <v>1.5481272258381433</v>
      </c>
    </row>
    <row r="48" spans="1:56" x14ac:dyDescent="0.15">
      <c r="A48">
        <v>679</v>
      </c>
      <c r="B48">
        <v>672.22</v>
      </c>
      <c r="C48">
        <v>-26.26</v>
      </c>
      <c r="D48">
        <f t="shared" si="15"/>
        <v>645.96</v>
      </c>
      <c r="E48">
        <f t="shared" si="16"/>
        <v>1.5865405870072458</v>
      </c>
    </row>
    <row r="49" spans="1:5" x14ac:dyDescent="0.15">
      <c r="A49">
        <v>474</v>
      </c>
      <c r="B49">
        <v>589.96</v>
      </c>
      <c r="D49">
        <f t="shared" si="15"/>
        <v>589.96</v>
      </c>
      <c r="E49">
        <f t="shared" si="16"/>
        <v>1.4489991403659586</v>
      </c>
    </row>
    <row r="50" spans="1:5" x14ac:dyDescent="0.15">
      <c r="A50">
        <v>247</v>
      </c>
      <c r="B50">
        <v>670.35</v>
      </c>
      <c r="D50">
        <f t="shared" si="15"/>
        <v>670.35</v>
      </c>
      <c r="E50">
        <f t="shared" si="16"/>
        <v>1.646444799214049</v>
      </c>
    </row>
    <row r="51" spans="1:5" x14ac:dyDescent="0.15">
      <c r="A51">
        <v>757</v>
      </c>
      <c r="B51">
        <v>587.32000000000005</v>
      </c>
      <c r="D51">
        <f t="shared" si="15"/>
        <v>587.32000000000005</v>
      </c>
      <c r="E51">
        <f t="shared" si="16"/>
        <v>1.4425150435957266</v>
      </c>
    </row>
    <row r="52" spans="1:5" x14ac:dyDescent="0.15">
      <c r="A52">
        <v>676</v>
      </c>
      <c r="B52">
        <v>573.07000000000005</v>
      </c>
      <c r="D52">
        <f t="shared" si="15"/>
        <v>573.07000000000005</v>
      </c>
      <c r="E52">
        <f t="shared" si="16"/>
        <v>1.407515657620042</v>
      </c>
    </row>
    <row r="53" spans="1:5" x14ac:dyDescent="0.15">
      <c r="A53">
        <v>466</v>
      </c>
      <c r="B53">
        <v>617.80999999999995</v>
      </c>
      <c r="C53">
        <v>-84.34</v>
      </c>
      <c r="D53">
        <f t="shared" si="15"/>
        <v>533.46999999999991</v>
      </c>
      <c r="E53">
        <f t="shared" si="16"/>
        <v>1.3102542060665601</v>
      </c>
    </row>
    <row r="55" spans="1:5" x14ac:dyDescent="0.15">
      <c r="E55">
        <f>AVERAGE(E44:E53)</f>
        <v>1.4921945229031071</v>
      </c>
    </row>
    <row r="57" spans="1:5" ht="14.25" x14ac:dyDescent="0.25">
      <c r="A57" s="74" t="s">
        <v>241</v>
      </c>
      <c r="B57" s="74"/>
      <c r="C57" s="74"/>
      <c r="D57" s="74"/>
    </row>
    <row r="59" spans="1:5" x14ac:dyDescent="0.15">
      <c r="A59" t="s">
        <v>228</v>
      </c>
      <c r="B59" t="s">
        <v>229</v>
      </c>
      <c r="C59" t="s">
        <v>230</v>
      </c>
      <c r="E59" t="s">
        <v>231</v>
      </c>
    </row>
    <row r="60" spans="1:5" x14ac:dyDescent="0.15">
      <c r="A60">
        <v>571</v>
      </c>
      <c r="B60">
        <v>535.63</v>
      </c>
      <c r="E60">
        <f>B60/$A$36</f>
        <v>1.3155593761512956</v>
      </c>
    </row>
    <row r="61" spans="1:5" x14ac:dyDescent="0.15">
      <c r="A61">
        <v>561</v>
      </c>
      <c r="B61">
        <v>519.99</v>
      </c>
      <c r="E61">
        <f t="shared" ref="E61:E69" si="17">B61/$A$36</f>
        <v>1.2771460149821934</v>
      </c>
    </row>
    <row r="62" spans="1:5" x14ac:dyDescent="0.15">
      <c r="A62">
        <v>577</v>
      </c>
      <c r="B62">
        <v>487.82</v>
      </c>
      <c r="E62">
        <f t="shared" si="17"/>
        <v>1.1981333660812969</v>
      </c>
    </row>
    <row r="63" spans="1:5" x14ac:dyDescent="0.15">
      <c r="A63">
        <v>572</v>
      </c>
      <c r="B63">
        <v>499.33</v>
      </c>
      <c r="E63">
        <f t="shared" si="17"/>
        <v>1.2264030455606043</v>
      </c>
    </row>
    <row r="64" spans="1:5" x14ac:dyDescent="0.15">
      <c r="A64">
        <v>565</v>
      </c>
      <c r="B64">
        <v>454.61</v>
      </c>
      <c r="E64">
        <f t="shared" si="17"/>
        <v>1.1165663760284907</v>
      </c>
    </row>
    <row r="65" spans="1:5" x14ac:dyDescent="0.15">
      <c r="A65">
        <v>573</v>
      </c>
      <c r="B65">
        <v>496.32</v>
      </c>
      <c r="E65">
        <f t="shared" si="17"/>
        <v>1.219010192803635</v>
      </c>
    </row>
    <row r="66" spans="1:5" x14ac:dyDescent="0.15">
      <c r="A66">
        <v>563</v>
      </c>
      <c r="B66">
        <v>570.67999999999995</v>
      </c>
      <c r="E66">
        <f t="shared" si="17"/>
        <v>1.4016455851651726</v>
      </c>
    </row>
    <row r="67" spans="1:5" x14ac:dyDescent="0.15">
      <c r="A67">
        <v>562</v>
      </c>
      <c r="B67">
        <v>446.4</v>
      </c>
      <c r="E67">
        <f t="shared" si="17"/>
        <v>1.0964018175119734</v>
      </c>
    </row>
    <row r="68" spans="1:5" x14ac:dyDescent="0.15">
      <c r="A68">
        <v>570</v>
      </c>
      <c r="B68">
        <v>427.63</v>
      </c>
      <c r="E68">
        <f t="shared" si="17"/>
        <v>1.0503008719145279</v>
      </c>
    </row>
    <row r="69" spans="1:5" x14ac:dyDescent="0.15">
      <c r="A69">
        <v>568</v>
      </c>
      <c r="B69">
        <v>457.35</v>
      </c>
      <c r="E69">
        <f t="shared" si="17"/>
        <v>1.1232960825248681</v>
      </c>
    </row>
    <row r="71" spans="1:5" x14ac:dyDescent="0.15">
      <c r="E71">
        <f>AVERAGE(E60:E69)</f>
        <v>1.2024462728724059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opLeftCell="AA19" workbookViewId="0">
      <selection activeCell="AD4" sqref="AD4"/>
    </sheetView>
  </sheetViews>
  <sheetFormatPr defaultRowHeight="10.5" x14ac:dyDescent="0.15"/>
  <cols>
    <col min="3" max="3" width="11.1640625" customWidth="1" collapsed="1"/>
  </cols>
  <sheetData>
    <row r="1" spans="1:31" s="74" customFormat="1" ht="15" x14ac:dyDescent="0.25">
      <c r="A1" s="74" t="s">
        <v>245</v>
      </c>
      <c r="D1" s="104" t="s">
        <v>374</v>
      </c>
      <c r="S1" s="74" t="s">
        <v>218</v>
      </c>
      <c r="V1" s="104" t="s">
        <v>375</v>
      </c>
    </row>
    <row r="2" spans="1:31" x14ac:dyDescent="0.15">
      <c r="A2" t="s">
        <v>221</v>
      </c>
    </row>
    <row r="3" spans="1:31" x14ac:dyDescent="0.15">
      <c r="A3" t="s">
        <v>223</v>
      </c>
      <c r="B3" t="s">
        <v>224</v>
      </c>
      <c r="C3" t="s">
        <v>225</v>
      </c>
      <c r="D3" t="s">
        <v>358</v>
      </c>
      <c r="E3" t="s">
        <v>226</v>
      </c>
      <c r="F3" t="s">
        <v>362</v>
      </c>
      <c r="G3" t="s">
        <v>227</v>
      </c>
      <c r="H3" s="103" t="s">
        <v>84</v>
      </c>
      <c r="I3" t="s">
        <v>359</v>
      </c>
      <c r="J3" t="s">
        <v>143</v>
      </c>
      <c r="K3" t="s">
        <v>145</v>
      </c>
      <c r="L3" t="s">
        <v>146</v>
      </c>
      <c r="M3" t="s">
        <v>147</v>
      </c>
      <c r="S3" t="s">
        <v>223</v>
      </c>
      <c r="T3" t="s">
        <v>224</v>
      </c>
      <c r="U3" t="s">
        <v>225</v>
      </c>
      <c r="V3" t="s">
        <v>358</v>
      </c>
      <c r="W3" t="s">
        <v>226</v>
      </c>
      <c r="X3" t="s">
        <v>362</v>
      </c>
      <c r="Y3" t="s">
        <v>227</v>
      </c>
      <c r="Z3" s="76" t="s">
        <v>355</v>
      </c>
      <c r="AA3" t="s">
        <v>359</v>
      </c>
      <c r="AB3" t="s">
        <v>143</v>
      </c>
      <c r="AC3" t="s">
        <v>145</v>
      </c>
      <c r="AD3" t="s">
        <v>146</v>
      </c>
      <c r="AE3" t="s">
        <v>147</v>
      </c>
    </row>
    <row r="4" spans="1:31" x14ac:dyDescent="0.15">
      <c r="A4">
        <v>1</v>
      </c>
      <c r="B4">
        <v>205</v>
      </c>
      <c r="C4">
        <v>210</v>
      </c>
      <c r="D4">
        <f>((B4+C4)/2)/10</f>
        <v>20.75</v>
      </c>
      <c r="E4">
        <v>204</v>
      </c>
      <c r="F4">
        <f>E4/10</f>
        <v>20.399999999999999</v>
      </c>
      <c r="G4">
        <v>110</v>
      </c>
      <c r="H4" s="103">
        <v>34</v>
      </c>
      <c r="I4" s="97">
        <f>10^(-0.89359)*(D4)^2.27954*((D4)+20)^(-1.18672)*(F4)^7.07362*((F4)-1.3)^(-5.45175)</f>
        <v>300.4604311370494</v>
      </c>
      <c r="J4" s="97">
        <f>I25</f>
        <v>348.6124065127982</v>
      </c>
      <c r="K4">
        <f>J4/H4</f>
        <v>10.253306073905829</v>
      </c>
      <c r="L4">
        <f>(J4/0.85)*0.438</f>
        <v>179.63792241483014</v>
      </c>
      <c r="M4">
        <f>L4/H4</f>
        <v>5.2834683063185333</v>
      </c>
      <c r="S4">
        <v>1</v>
      </c>
      <c r="T4">
        <v>176</v>
      </c>
      <c r="U4">
        <v>190</v>
      </c>
      <c r="V4">
        <f>((T4+U4)/2)/10</f>
        <v>18.3</v>
      </c>
      <c r="W4">
        <v>164</v>
      </c>
      <c r="X4">
        <f>W4/10</f>
        <v>16.399999999999999</v>
      </c>
      <c r="Y4">
        <v>83</v>
      </c>
      <c r="Z4" s="76">
        <v>20</v>
      </c>
      <c r="AA4" s="97">
        <f>10^(-0.89359)*(V4)^2.27954*((V4)+20)^(-1.18672)*(X4)^7.07362*((X4)-1.3)^(-5.45175)</f>
        <v>186.7498561943828</v>
      </c>
      <c r="AB4" s="97">
        <f>AA30</f>
        <v>191.40834380388364</v>
      </c>
      <c r="AC4">
        <f>AB4/Z4</f>
        <v>9.5704171901941812</v>
      </c>
      <c r="AD4">
        <f>(AB4/0.85)*0.438</f>
        <v>98.631593630707101</v>
      </c>
      <c r="AE4">
        <f>AD4/Z4</f>
        <v>4.9315796815353554</v>
      </c>
    </row>
    <row r="5" spans="1:31" x14ac:dyDescent="0.15">
      <c r="A5">
        <v>2</v>
      </c>
      <c r="B5">
        <v>175</v>
      </c>
      <c r="C5">
        <v>187</v>
      </c>
      <c r="D5">
        <f t="shared" ref="D5:D22" si="0">((B5+C5)/2)/10</f>
        <v>18.100000000000001</v>
      </c>
      <c r="E5">
        <v>201</v>
      </c>
      <c r="F5">
        <f t="shared" ref="F5:F22" si="1">E5/10</f>
        <v>20.100000000000001</v>
      </c>
      <c r="G5">
        <v>102</v>
      </c>
      <c r="I5" s="97">
        <f t="shared" ref="I5:I22" si="2">10^(-0.89359)*(D5)^2.27954*((D5)+20)^(-1.18672)*(F5)^7.07362*((F5)-1.3)^(-5.45175)</f>
        <v>233.96288735669245</v>
      </c>
      <c r="S5">
        <v>2</v>
      </c>
      <c r="T5">
        <v>98</v>
      </c>
      <c r="U5">
        <v>89</v>
      </c>
      <c r="V5">
        <f t="shared" ref="V5:V27" si="3">((T5+U5)/2)/10</f>
        <v>9.35</v>
      </c>
      <c r="W5">
        <v>115</v>
      </c>
      <c r="X5">
        <f t="shared" ref="X5:X27" si="4">W5/10</f>
        <v>11.5</v>
      </c>
      <c r="Y5">
        <v>44</v>
      </c>
      <c r="AA5" s="97">
        <f t="shared" ref="AA5:AA27" si="5">10^(-0.89359)*(V5)^2.27954*((V5)+20)^(-1.18672)*(X5)^7.07362*((X5)-1.3)^(-5.45175)</f>
        <v>38.204232506739366</v>
      </c>
    </row>
    <row r="6" spans="1:31" x14ac:dyDescent="0.15">
      <c r="A6">
        <v>3</v>
      </c>
      <c r="B6">
        <v>170</v>
      </c>
      <c r="C6">
        <v>168</v>
      </c>
      <c r="D6">
        <f t="shared" si="0"/>
        <v>16.899999999999999</v>
      </c>
      <c r="E6">
        <v>140</v>
      </c>
      <c r="F6">
        <f t="shared" si="1"/>
        <v>14</v>
      </c>
      <c r="G6">
        <v>126</v>
      </c>
      <c r="I6" s="97">
        <f t="shared" si="2"/>
        <v>136.58958622220348</v>
      </c>
      <c r="S6">
        <v>3</v>
      </c>
      <c r="T6">
        <v>199</v>
      </c>
      <c r="U6">
        <v>204</v>
      </c>
      <c r="V6">
        <f t="shared" si="3"/>
        <v>20.149999999999999</v>
      </c>
      <c r="W6">
        <v>150</v>
      </c>
      <c r="X6">
        <f t="shared" si="4"/>
        <v>15</v>
      </c>
      <c r="Y6">
        <v>82</v>
      </c>
      <c r="AA6" s="97">
        <f t="shared" si="5"/>
        <v>198.85555755037552</v>
      </c>
    </row>
    <row r="7" spans="1:31" x14ac:dyDescent="0.15">
      <c r="A7">
        <v>4</v>
      </c>
      <c r="B7">
        <v>284</v>
      </c>
      <c r="C7">
        <v>301</v>
      </c>
      <c r="D7">
        <f t="shared" si="0"/>
        <v>29.25</v>
      </c>
      <c r="E7">
        <v>214</v>
      </c>
      <c r="F7">
        <f t="shared" si="1"/>
        <v>21.4</v>
      </c>
      <c r="G7">
        <v>85</v>
      </c>
      <c r="I7" s="97">
        <f t="shared" si="2"/>
        <v>557.48425873732117</v>
      </c>
      <c r="S7">
        <v>4</v>
      </c>
      <c r="T7">
        <v>147</v>
      </c>
      <c r="U7">
        <v>146</v>
      </c>
      <c r="V7">
        <f t="shared" si="3"/>
        <v>14.65</v>
      </c>
      <c r="W7">
        <v>165</v>
      </c>
      <c r="X7">
        <f t="shared" si="4"/>
        <v>16.5</v>
      </c>
      <c r="Y7">
        <v>94</v>
      </c>
      <c r="AA7" s="97">
        <f t="shared" si="5"/>
        <v>127.55276229010394</v>
      </c>
    </row>
    <row r="8" spans="1:31" x14ac:dyDescent="0.15">
      <c r="A8">
        <v>5</v>
      </c>
      <c r="B8">
        <v>220</v>
      </c>
      <c r="C8">
        <v>229</v>
      </c>
      <c r="D8">
        <f t="shared" si="0"/>
        <v>22.45</v>
      </c>
      <c r="E8">
        <v>205</v>
      </c>
      <c r="F8">
        <f t="shared" si="1"/>
        <v>20.5</v>
      </c>
      <c r="G8">
        <v>83</v>
      </c>
      <c r="I8" s="97">
        <f t="shared" si="2"/>
        <v>344.61768698797516</v>
      </c>
      <c r="S8">
        <v>5</v>
      </c>
      <c r="T8">
        <v>151</v>
      </c>
      <c r="U8">
        <v>153</v>
      </c>
      <c r="V8">
        <f t="shared" si="3"/>
        <v>15.2</v>
      </c>
      <c r="W8">
        <v>162</v>
      </c>
      <c r="X8">
        <f t="shared" si="4"/>
        <v>16.2</v>
      </c>
      <c r="Y8">
        <v>80</v>
      </c>
      <c r="AA8" s="97">
        <f t="shared" si="5"/>
        <v>133.31775176172414</v>
      </c>
    </row>
    <row r="9" spans="1:31" x14ac:dyDescent="0.15">
      <c r="A9">
        <v>6</v>
      </c>
      <c r="B9">
        <v>217</v>
      </c>
      <c r="C9">
        <v>211</v>
      </c>
      <c r="D9">
        <f t="shared" si="0"/>
        <v>21.4</v>
      </c>
      <c r="E9">
        <v>258</v>
      </c>
      <c r="F9">
        <f t="shared" si="1"/>
        <v>25.8</v>
      </c>
      <c r="G9">
        <v>155</v>
      </c>
      <c r="I9" s="97">
        <f t="shared" si="2"/>
        <v>428.63729161933435</v>
      </c>
      <c r="S9">
        <v>6</v>
      </c>
      <c r="T9">
        <v>126</v>
      </c>
      <c r="U9">
        <v>123</v>
      </c>
      <c r="V9">
        <f t="shared" si="3"/>
        <v>12.45</v>
      </c>
      <c r="W9">
        <v>141</v>
      </c>
      <c r="X9">
        <f t="shared" si="4"/>
        <v>14.1</v>
      </c>
      <c r="Y9">
        <v>71</v>
      </c>
      <c r="AA9" s="97">
        <f t="shared" si="5"/>
        <v>79.875020175417603</v>
      </c>
    </row>
    <row r="10" spans="1:31" x14ac:dyDescent="0.15">
      <c r="A10">
        <v>7</v>
      </c>
      <c r="B10">
        <v>219</v>
      </c>
      <c r="C10">
        <v>212</v>
      </c>
      <c r="D10">
        <f t="shared" si="0"/>
        <v>21.55</v>
      </c>
      <c r="E10">
        <v>210</v>
      </c>
      <c r="F10">
        <f t="shared" si="1"/>
        <v>21</v>
      </c>
      <c r="G10">
        <v>133</v>
      </c>
      <c r="I10" s="97">
        <f t="shared" si="2"/>
        <v>331.92226755836856</v>
      </c>
      <c r="S10">
        <v>7</v>
      </c>
      <c r="T10">
        <v>62</v>
      </c>
      <c r="U10">
        <v>66</v>
      </c>
      <c r="V10">
        <f t="shared" si="3"/>
        <v>6.4</v>
      </c>
      <c r="W10">
        <v>98</v>
      </c>
      <c r="X10">
        <f t="shared" si="4"/>
        <v>9.8000000000000007</v>
      </c>
      <c r="Y10">
        <v>44</v>
      </c>
      <c r="AA10" s="97">
        <f t="shared" si="5"/>
        <v>15.910383616367234</v>
      </c>
    </row>
    <row r="11" spans="1:31" x14ac:dyDescent="0.15">
      <c r="A11">
        <v>8</v>
      </c>
      <c r="B11">
        <v>108</v>
      </c>
      <c r="C11">
        <v>102</v>
      </c>
      <c r="D11">
        <f t="shared" si="0"/>
        <v>10.5</v>
      </c>
      <c r="E11">
        <v>130</v>
      </c>
      <c r="F11">
        <f t="shared" si="1"/>
        <v>13</v>
      </c>
      <c r="G11">
        <v>85</v>
      </c>
      <c r="I11" s="97">
        <f t="shared" si="2"/>
        <v>53.571431742687473</v>
      </c>
      <c r="S11">
        <v>8</v>
      </c>
      <c r="T11">
        <v>172</v>
      </c>
      <c r="U11">
        <v>175</v>
      </c>
      <c r="V11">
        <f t="shared" si="3"/>
        <v>17.350000000000001</v>
      </c>
      <c r="W11">
        <v>152</v>
      </c>
      <c r="X11">
        <f t="shared" si="4"/>
        <v>15.2</v>
      </c>
      <c r="Y11">
        <v>63</v>
      </c>
      <c r="AA11" s="97">
        <f t="shared" si="5"/>
        <v>156.33475227056854</v>
      </c>
    </row>
    <row r="12" spans="1:31" x14ac:dyDescent="0.15">
      <c r="A12">
        <v>9</v>
      </c>
      <c r="B12">
        <v>210</v>
      </c>
      <c r="C12">
        <v>200</v>
      </c>
      <c r="D12">
        <f t="shared" si="0"/>
        <v>20.5</v>
      </c>
      <c r="E12">
        <v>204</v>
      </c>
      <c r="F12">
        <f t="shared" si="1"/>
        <v>20.399999999999999</v>
      </c>
      <c r="G12">
        <v>131</v>
      </c>
      <c r="I12" s="97">
        <f t="shared" si="2"/>
        <v>294.41427016947841</v>
      </c>
      <c r="S12">
        <v>9</v>
      </c>
      <c r="T12">
        <v>225</v>
      </c>
      <c r="U12">
        <v>217</v>
      </c>
      <c r="V12">
        <f t="shared" si="3"/>
        <v>22.1</v>
      </c>
      <c r="W12">
        <v>176</v>
      </c>
      <c r="X12">
        <f t="shared" si="4"/>
        <v>17.600000000000001</v>
      </c>
      <c r="Y12">
        <v>75</v>
      </c>
      <c r="AA12" s="97">
        <f t="shared" si="5"/>
        <v>278.72598556262199</v>
      </c>
    </row>
    <row r="13" spans="1:31" x14ac:dyDescent="0.15">
      <c r="A13">
        <v>10</v>
      </c>
      <c r="B13">
        <v>185</v>
      </c>
      <c r="C13">
        <v>192</v>
      </c>
      <c r="D13">
        <f t="shared" si="0"/>
        <v>18.850000000000001</v>
      </c>
      <c r="E13">
        <v>167</v>
      </c>
      <c r="F13">
        <f t="shared" si="1"/>
        <v>16.7</v>
      </c>
      <c r="G13">
        <v>91</v>
      </c>
      <c r="I13" s="97">
        <f t="shared" si="2"/>
        <v>200.60267731572446</v>
      </c>
      <c r="S13">
        <v>10</v>
      </c>
      <c r="T13">
        <v>68</v>
      </c>
      <c r="U13">
        <v>68</v>
      </c>
      <c r="V13">
        <f t="shared" si="3"/>
        <v>6.8</v>
      </c>
      <c r="W13">
        <v>108</v>
      </c>
      <c r="X13">
        <f t="shared" si="4"/>
        <v>10.8</v>
      </c>
      <c r="Y13">
        <v>64</v>
      </c>
      <c r="AA13" s="97">
        <f t="shared" si="5"/>
        <v>19.45779055269896</v>
      </c>
    </row>
    <row r="14" spans="1:31" x14ac:dyDescent="0.15">
      <c r="A14">
        <v>11</v>
      </c>
      <c r="B14">
        <v>174</v>
      </c>
      <c r="C14">
        <v>159</v>
      </c>
      <c r="D14">
        <f t="shared" si="0"/>
        <v>16.649999999999999</v>
      </c>
      <c r="E14">
        <v>189</v>
      </c>
      <c r="F14">
        <f t="shared" si="1"/>
        <v>18.899999999999999</v>
      </c>
      <c r="G14">
        <v>89</v>
      </c>
      <c r="I14" s="97">
        <f t="shared" si="2"/>
        <v>187.73134855197728</v>
      </c>
      <c r="S14">
        <v>11</v>
      </c>
      <c r="T14">
        <v>174</v>
      </c>
      <c r="U14">
        <v>171</v>
      </c>
      <c r="V14">
        <f t="shared" si="3"/>
        <v>17.25</v>
      </c>
      <c r="W14">
        <v>171</v>
      </c>
      <c r="X14">
        <f t="shared" si="4"/>
        <v>17.100000000000001</v>
      </c>
      <c r="Y14">
        <v>89</v>
      </c>
      <c r="AA14" s="97">
        <f t="shared" si="5"/>
        <v>177.09260268944072</v>
      </c>
    </row>
    <row r="15" spans="1:31" x14ac:dyDescent="0.15">
      <c r="A15">
        <v>12</v>
      </c>
      <c r="B15">
        <v>228</v>
      </c>
      <c r="C15">
        <v>239</v>
      </c>
      <c r="D15">
        <f t="shared" si="0"/>
        <v>23.35</v>
      </c>
      <c r="E15">
        <v>209</v>
      </c>
      <c r="F15">
        <f t="shared" si="1"/>
        <v>20.9</v>
      </c>
      <c r="G15">
        <v>81</v>
      </c>
      <c r="I15" s="97">
        <f t="shared" si="2"/>
        <v>376.6891525217315</v>
      </c>
      <c r="S15">
        <v>12</v>
      </c>
      <c r="T15">
        <v>229</v>
      </c>
      <c r="U15">
        <v>223</v>
      </c>
      <c r="V15">
        <f t="shared" si="3"/>
        <v>22.6</v>
      </c>
      <c r="W15">
        <v>172</v>
      </c>
      <c r="X15">
        <f t="shared" si="4"/>
        <v>17.2</v>
      </c>
      <c r="Y15">
        <v>74</v>
      </c>
      <c r="AA15" s="97">
        <f t="shared" si="5"/>
        <v>281.47728412868963</v>
      </c>
    </row>
    <row r="16" spans="1:31" x14ac:dyDescent="0.15">
      <c r="A16">
        <v>13</v>
      </c>
      <c r="B16">
        <v>179</v>
      </c>
      <c r="C16">
        <v>205</v>
      </c>
      <c r="D16">
        <f t="shared" si="0"/>
        <v>19.2</v>
      </c>
      <c r="E16">
        <v>189</v>
      </c>
      <c r="F16">
        <f t="shared" si="1"/>
        <v>18.899999999999999</v>
      </c>
      <c r="G16">
        <v>113</v>
      </c>
      <c r="I16" s="97">
        <f t="shared" si="2"/>
        <v>239.85241848123798</v>
      </c>
      <c r="S16">
        <v>13</v>
      </c>
      <c r="T16">
        <v>187</v>
      </c>
      <c r="U16">
        <v>186</v>
      </c>
      <c r="V16">
        <f t="shared" si="3"/>
        <v>18.649999999999999</v>
      </c>
      <c r="W16">
        <v>175</v>
      </c>
      <c r="X16">
        <f t="shared" si="4"/>
        <v>17.5</v>
      </c>
      <c r="Y16">
        <v>89</v>
      </c>
      <c r="AA16" s="97">
        <f t="shared" si="5"/>
        <v>208.1021192656554</v>
      </c>
    </row>
    <row r="17" spans="1:30" x14ac:dyDescent="0.15">
      <c r="A17">
        <v>14</v>
      </c>
      <c r="B17">
        <v>219</v>
      </c>
      <c r="C17">
        <v>233</v>
      </c>
      <c r="D17">
        <f t="shared" si="0"/>
        <v>22.6</v>
      </c>
      <c r="E17">
        <v>210</v>
      </c>
      <c r="F17">
        <f t="shared" si="1"/>
        <v>21</v>
      </c>
      <c r="G17">
        <v>88</v>
      </c>
      <c r="I17" s="97">
        <f t="shared" si="2"/>
        <v>359.14679160288858</v>
      </c>
      <c r="S17">
        <v>14</v>
      </c>
      <c r="T17">
        <v>129</v>
      </c>
      <c r="U17">
        <v>124</v>
      </c>
      <c r="V17">
        <f t="shared" si="3"/>
        <v>12.65</v>
      </c>
      <c r="W17">
        <v>157</v>
      </c>
      <c r="X17">
        <f t="shared" si="4"/>
        <v>15.7</v>
      </c>
      <c r="Y17">
        <v>108</v>
      </c>
      <c r="AA17" s="97">
        <f t="shared" si="5"/>
        <v>92.544575036805583</v>
      </c>
    </row>
    <row r="18" spans="1:30" x14ac:dyDescent="0.15">
      <c r="A18">
        <v>15</v>
      </c>
      <c r="B18">
        <v>143</v>
      </c>
      <c r="C18">
        <v>137</v>
      </c>
      <c r="D18">
        <f t="shared" si="0"/>
        <v>14</v>
      </c>
      <c r="E18">
        <v>175</v>
      </c>
      <c r="F18">
        <f t="shared" si="1"/>
        <v>17.5</v>
      </c>
      <c r="G18">
        <v>91</v>
      </c>
      <c r="I18" s="97">
        <f t="shared" si="2"/>
        <v>126.01532488380532</v>
      </c>
      <c r="S18">
        <v>15</v>
      </c>
      <c r="T18">
        <v>123</v>
      </c>
      <c r="U18">
        <v>113</v>
      </c>
      <c r="V18">
        <f t="shared" si="3"/>
        <v>11.8</v>
      </c>
      <c r="W18">
        <v>147</v>
      </c>
      <c r="X18">
        <f t="shared" si="4"/>
        <v>14.7</v>
      </c>
      <c r="Y18">
        <v>87</v>
      </c>
      <c r="AA18" s="97">
        <f t="shared" si="5"/>
        <v>75.737900150241856</v>
      </c>
    </row>
    <row r="19" spans="1:30" x14ac:dyDescent="0.15">
      <c r="A19">
        <v>16</v>
      </c>
      <c r="B19">
        <v>215</v>
      </c>
      <c r="C19">
        <v>214</v>
      </c>
      <c r="D19">
        <f t="shared" si="0"/>
        <v>21.45</v>
      </c>
      <c r="E19">
        <v>215</v>
      </c>
      <c r="F19">
        <f t="shared" si="1"/>
        <v>21.5</v>
      </c>
      <c r="G19">
        <v>95</v>
      </c>
      <c r="I19" s="97">
        <f t="shared" si="2"/>
        <v>339.32595021186972</v>
      </c>
      <c r="S19">
        <v>16</v>
      </c>
      <c r="T19">
        <v>131</v>
      </c>
      <c r="U19">
        <v>136</v>
      </c>
      <c r="V19">
        <f t="shared" si="3"/>
        <v>13.35</v>
      </c>
      <c r="W19">
        <v>157</v>
      </c>
      <c r="X19">
        <f t="shared" si="4"/>
        <v>15.7</v>
      </c>
      <c r="Y19">
        <v>83</v>
      </c>
      <c r="AA19" s="97">
        <f t="shared" si="5"/>
        <v>102.03243571472647</v>
      </c>
    </row>
    <row r="20" spans="1:30" x14ac:dyDescent="0.15">
      <c r="A20">
        <v>17</v>
      </c>
      <c r="B20">
        <v>171</v>
      </c>
      <c r="C20">
        <v>158</v>
      </c>
      <c r="D20">
        <f t="shared" si="0"/>
        <v>16.45</v>
      </c>
      <c r="E20">
        <v>181</v>
      </c>
      <c r="F20">
        <f t="shared" si="1"/>
        <v>18.100000000000001</v>
      </c>
      <c r="G20">
        <v>111</v>
      </c>
      <c r="I20" s="97">
        <f t="shared" si="2"/>
        <v>174.45023911535583</v>
      </c>
      <c r="S20">
        <v>17</v>
      </c>
      <c r="T20">
        <v>134</v>
      </c>
      <c r="U20">
        <v>136</v>
      </c>
      <c r="V20">
        <f t="shared" si="3"/>
        <v>13.5</v>
      </c>
      <c r="W20">
        <v>162</v>
      </c>
      <c r="X20">
        <f t="shared" si="4"/>
        <v>16.2</v>
      </c>
      <c r="Y20">
        <v>100</v>
      </c>
      <c r="AA20" s="97">
        <f t="shared" si="5"/>
        <v>107.89000757286742</v>
      </c>
    </row>
    <row r="21" spans="1:30" x14ac:dyDescent="0.15">
      <c r="A21">
        <v>18</v>
      </c>
      <c r="B21">
        <v>207</v>
      </c>
      <c r="C21">
        <v>208</v>
      </c>
      <c r="D21">
        <f t="shared" si="0"/>
        <v>20.75</v>
      </c>
      <c r="E21">
        <v>205</v>
      </c>
      <c r="F21">
        <f t="shared" si="1"/>
        <v>20.5</v>
      </c>
      <c r="G21">
        <v>109</v>
      </c>
      <c r="I21" s="97">
        <f t="shared" si="2"/>
        <v>302.3052393423053</v>
      </c>
      <c r="S21">
        <v>18</v>
      </c>
      <c r="T21">
        <v>150</v>
      </c>
      <c r="U21">
        <v>146</v>
      </c>
      <c r="V21">
        <f t="shared" si="3"/>
        <v>14.8</v>
      </c>
      <c r="W21">
        <v>164</v>
      </c>
      <c r="X21">
        <f t="shared" si="4"/>
        <v>16.399999999999999</v>
      </c>
      <c r="Y21">
        <v>98</v>
      </c>
      <c r="AA21" s="97">
        <f t="shared" si="5"/>
        <v>128.97384233708217</v>
      </c>
    </row>
    <row r="22" spans="1:30" x14ac:dyDescent="0.15">
      <c r="A22">
        <v>19</v>
      </c>
      <c r="B22">
        <v>254</v>
      </c>
      <c r="C22">
        <v>240</v>
      </c>
      <c r="D22">
        <f t="shared" si="0"/>
        <v>24.7</v>
      </c>
      <c r="E22">
        <v>195</v>
      </c>
      <c r="F22">
        <f t="shared" si="1"/>
        <v>19.5</v>
      </c>
      <c r="G22">
        <v>49</v>
      </c>
      <c r="I22" s="97">
        <f t="shared" si="2"/>
        <v>378.69180517123408</v>
      </c>
      <c r="S22">
        <v>19</v>
      </c>
      <c r="T22">
        <v>123</v>
      </c>
      <c r="U22">
        <v>131</v>
      </c>
      <c r="V22">
        <f t="shared" si="3"/>
        <v>12.7</v>
      </c>
      <c r="W22">
        <v>176</v>
      </c>
      <c r="X22">
        <f t="shared" si="4"/>
        <v>17.600000000000001</v>
      </c>
      <c r="Y22">
        <v>109</v>
      </c>
      <c r="AA22" s="97">
        <f t="shared" si="5"/>
        <v>106.40699289482001</v>
      </c>
    </row>
    <row r="23" spans="1:30" x14ac:dyDescent="0.15">
      <c r="S23">
        <v>20</v>
      </c>
      <c r="T23">
        <v>86</v>
      </c>
      <c r="U23">
        <v>89</v>
      </c>
      <c r="V23">
        <f t="shared" si="3"/>
        <v>8.75</v>
      </c>
      <c r="W23">
        <v>155</v>
      </c>
      <c r="X23">
        <f t="shared" si="4"/>
        <v>15.5</v>
      </c>
      <c r="Y23">
        <v>95</v>
      </c>
      <c r="AA23" s="97">
        <f t="shared" si="5"/>
        <v>45.785341130629618</v>
      </c>
    </row>
    <row r="24" spans="1:30" ht="15" x14ac:dyDescent="0.25">
      <c r="G24" s="82" t="s">
        <v>357</v>
      </c>
      <c r="H24" s="82"/>
      <c r="I24" s="98">
        <f>SUM(I4:I22)</f>
        <v>5366.4710587292402</v>
      </c>
      <c r="J24" s="82" t="s">
        <v>361</v>
      </c>
      <c r="K24" s="82">
        <f>PI()*7^2</f>
        <v>153.93804002589985</v>
      </c>
      <c r="L24" s="82" t="s">
        <v>326</v>
      </c>
      <c r="S24">
        <v>21</v>
      </c>
      <c r="T24">
        <v>105</v>
      </c>
      <c r="U24">
        <v>111</v>
      </c>
      <c r="V24">
        <f t="shared" si="3"/>
        <v>10.8</v>
      </c>
      <c r="W24">
        <v>153</v>
      </c>
      <c r="X24">
        <f t="shared" si="4"/>
        <v>15.3</v>
      </c>
      <c r="Y24">
        <v>95</v>
      </c>
      <c r="AA24" s="97">
        <f t="shared" si="5"/>
        <v>67.189492637285909</v>
      </c>
    </row>
    <row r="25" spans="1:30" ht="15" x14ac:dyDescent="0.25">
      <c r="G25" s="82" t="s">
        <v>365</v>
      </c>
      <c r="H25" s="82"/>
      <c r="I25" s="100">
        <f>((I24*K25)/K24)/1000</f>
        <v>348.6124065127982</v>
      </c>
      <c r="J25" s="82" t="s">
        <v>360</v>
      </c>
      <c r="K25" s="82">
        <v>10000</v>
      </c>
      <c r="L25" s="82" t="s">
        <v>326</v>
      </c>
      <c r="S25">
        <v>22</v>
      </c>
      <c r="T25">
        <v>176</v>
      </c>
      <c r="U25">
        <v>165</v>
      </c>
      <c r="V25">
        <f t="shared" si="3"/>
        <v>17.05</v>
      </c>
      <c r="W25">
        <v>141</v>
      </c>
      <c r="X25">
        <f t="shared" si="4"/>
        <v>14.1</v>
      </c>
      <c r="Y25">
        <v>70</v>
      </c>
      <c r="AA25" s="97">
        <f t="shared" si="5"/>
        <v>139.75585165418772</v>
      </c>
    </row>
    <row r="26" spans="1:30" ht="14.25" x14ac:dyDescent="0.25">
      <c r="A26" s="74" t="s">
        <v>216</v>
      </c>
      <c r="B26" s="74"/>
      <c r="C26" s="74"/>
      <c r="D26" s="74"/>
      <c r="S26">
        <v>23</v>
      </c>
      <c r="T26">
        <v>176</v>
      </c>
      <c r="U26">
        <v>171</v>
      </c>
      <c r="V26">
        <f t="shared" si="3"/>
        <v>17.350000000000001</v>
      </c>
      <c r="W26">
        <v>120</v>
      </c>
      <c r="X26">
        <f t="shared" si="4"/>
        <v>12</v>
      </c>
      <c r="Y26">
        <v>81</v>
      </c>
      <c r="AA26" s="97">
        <f t="shared" si="5"/>
        <v>122.27820707638118</v>
      </c>
    </row>
    <row r="27" spans="1:30" x14ac:dyDescent="0.15">
      <c r="A27" t="s">
        <v>222</v>
      </c>
      <c r="S27">
        <v>24</v>
      </c>
      <c r="T27">
        <v>104</v>
      </c>
      <c r="U27">
        <v>108</v>
      </c>
      <c r="V27">
        <f t="shared" si="3"/>
        <v>10.6</v>
      </c>
      <c r="W27">
        <v>134</v>
      </c>
      <c r="X27">
        <f t="shared" si="4"/>
        <v>13.4</v>
      </c>
      <c r="Y27">
        <v>87</v>
      </c>
      <c r="AA27" s="97">
        <f t="shared" si="5"/>
        <v>56.251784207530307</v>
      </c>
    </row>
    <row r="28" spans="1:30" x14ac:dyDescent="0.15">
      <c r="A28" t="s">
        <v>228</v>
      </c>
      <c r="B28" t="s">
        <v>229</v>
      </c>
      <c r="C28" t="s">
        <v>230</v>
      </c>
      <c r="D28" t="s">
        <v>231</v>
      </c>
    </row>
    <row r="29" spans="1:30" ht="15" x14ac:dyDescent="0.25">
      <c r="A29">
        <v>247</v>
      </c>
      <c r="B29">
        <v>526.65</v>
      </c>
      <c r="D29">
        <f>B29/407.15</f>
        <v>1.2935036227434606</v>
      </c>
      <c r="Y29" s="82" t="s">
        <v>357</v>
      </c>
      <c r="Z29" s="82"/>
      <c r="AA29" s="98">
        <f>SUM(AA4:AA27)</f>
        <v>2946.5025289773444</v>
      </c>
      <c r="AB29" s="82" t="s">
        <v>361</v>
      </c>
      <c r="AC29" s="82">
        <f>PI()*7^2</f>
        <v>153.93804002589985</v>
      </c>
      <c r="AD29" s="82" t="s">
        <v>326</v>
      </c>
    </row>
    <row r="30" spans="1:30" ht="15" x14ac:dyDescent="0.25">
      <c r="A30">
        <v>749</v>
      </c>
      <c r="B30">
        <v>458.69</v>
      </c>
      <c r="D30">
        <f t="shared" ref="D30:D38" si="6">B30/407.15</f>
        <v>1.1265872528552132</v>
      </c>
      <c r="Y30" s="82" t="s">
        <v>365</v>
      </c>
      <c r="Z30" s="82"/>
      <c r="AA30" s="100">
        <f>((AA29*AC30)/AC29)/1000</f>
        <v>191.40834380388364</v>
      </c>
      <c r="AB30" s="82" t="s">
        <v>360</v>
      </c>
      <c r="AC30" s="82">
        <v>10000</v>
      </c>
      <c r="AD30" s="82" t="s">
        <v>326</v>
      </c>
    </row>
    <row r="31" spans="1:30" x14ac:dyDescent="0.15">
      <c r="A31">
        <v>745</v>
      </c>
      <c r="B31">
        <v>490.3</v>
      </c>
      <c r="D31">
        <f t="shared" si="6"/>
        <v>1.2042244872896968</v>
      </c>
    </row>
    <row r="32" spans="1:30" ht="14.25" x14ac:dyDescent="0.25">
      <c r="A32">
        <v>249</v>
      </c>
      <c r="B32">
        <v>496.91</v>
      </c>
      <c r="D32">
        <f t="shared" si="6"/>
        <v>1.2204592901878917</v>
      </c>
      <c r="S32" s="74" t="s">
        <v>219</v>
      </c>
      <c r="T32" s="74"/>
      <c r="U32" s="74"/>
      <c r="V32" s="74"/>
    </row>
    <row r="33" spans="1:23" x14ac:dyDescent="0.15">
      <c r="A33">
        <v>741</v>
      </c>
      <c r="B33">
        <v>539.05999999999995</v>
      </c>
      <c r="D33">
        <f t="shared" si="6"/>
        <v>1.3239837897580744</v>
      </c>
    </row>
    <row r="34" spans="1:23" x14ac:dyDescent="0.15">
      <c r="A34">
        <v>746</v>
      </c>
      <c r="B34">
        <v>474.91</v>
      </c>
      <c r="D34">
        <f t="shared" si="6"/>
        <v>1.1664251504359573</v>
      </c>
      <c r="S34" t="s">
        <v>228</v>
      </c>
      <c r="T34" t="s">
        <v>229</v>
      </c>
      <c r="U34" t="s">
        <v>230</v>
      </c>
      <c r="V34" t="s">
        <v>231</v>
      </c>
    </row>
    <row r="35" spans="1:23" x14ac:dyDescent="0.15">
      <c r="A35">
        <v>751</v>
      </c>
      <c r="B35">
        <v>504.38</v>
      </c>
      <c r="D35">
        <f t="shared" si="6"/>
        <v>1.2388063367309345</v>
      </c>
      <c r="S35">
        <v>679</v>
      </c>
      <c r="T35">
        <v>622.13</v>
      </c>
      <c r="V35">
        <f>T35/$A$41</f>
        <v>1.528011789266855</v>
      </c>
    </row>
    <row r="36" spans="1:23" x14ac:dyDescent="0.15">
      <c r="A36">
        <v>748</v>
      </c>
      <c r="B36">
        <v>483.41</v>
      </c>
      <c r="D36">
        <f t="shared" si="6"/>
        <v>1.1873019771582956</v>
      </c>
      <c r="S36">
        <v>466</v>
      </c>
      <c r="T36">
        <v>602.5</v>
      </c>
      <c r="V36">
        <f t="shared" ref="V36:V44" si="7">T36/$A$41</f>
        <v>1.4797986000245611</v>
      </c>
    </row>
    <row r="37" spans="1:23" x14ac:dyDescent="0.15">
      <c r="A37">
        <v>744</v>
      </c>
      <c r="B37">
        <v>533.29999999999995</v>
      </c>
      <c r="D37">
        <f t="shared" si="6"/>
        <v>1.3098366695321135</v>
      </c>
      <c r="S37">
        <v>680</v>
      </c>
      <c r="T37">
        <v>601.11</v>
      </c>
      <c r="V37">
        <f t="shared" si="7"/>
        <v>1.4763846248311434</v>
      </c>
    </row>
    <row r="38" spans="1:23" x14ac:dyDescent="0.15">
      <c r="A38">
        <v>756</v>
      </c>
      <c r="B38">
        <v>477.84</v>
      </c>
      <c r="D38">
        <f t="shared" si="6"/>
        <v>1.1736215154120104</v>
      </c>
      <c r="S38">
        <v>471</v>
      </c>
      <c r="T38">
        <v>641.12</v>
      </c>
      <c r="V38">
        <f t="shared" si="7"/>
        <v>1.5746530762618201</v>
      </c>
    </row>
    <row r="39" spans="1:23" x14ac:dyDescent="0.15">
      <c r="S39">
        <v>474</v>
      </c>
      <c r="T39">
        <v>656.37</v>
      </c>
      <c r="V39">
        <f t="shared" si="7"/>
        <v>1.6121085594989562</v>
      </c>
    </row>
    <row r="40" spans="1:23" x14ac:dyDescent="0.15">
      <c r="A40" t="s">
        <v>363</v>
      </c>
      <c r="D40">
        <f>AVERAGE(D29:D38)</f>
        <v>1.2244750092103647</v>
      </c>
      <c r="S40">
        <v>676</v>
      </c>
      <c r="T40">
        <v>550.04</v>
      </c>
      <c r="V40">
        <f t="shared" si="7"/>
        <v>1.3509517376888125</v>
      </c>
    </row>
    <row r="41" spans="1:23" x14ac:dyDescent="0.15">
      <c r="A41">
        <v>407.15</v>
      </c>
      <c r="S41">
        <v>467</v>
      </c>
      <c r="T41">
        <v>608.69000000000005</v>
      </c>
      <c r="V41">
        <f t="shared" si="7"/>
        <v>1.4950018420729463</v>
      </c>
    </row>
    <row r="42" spans="1:23" x14ac:dyDescent="0.15">
      <c r="S42">
        <v>672</v>
      </c>
      <c r="T42">
        <v>611.47</v>
      </c>
      <c r="V42">
        <f t="shared" si="7"/>
        <v>1.5018297924597817</v>
      </c>
    </row>
    <row r="43" spans="1:23" x14ac:dyDescent="0.15">
      <c r="S43">
        <v>671</v>
      </c>
      <c r="T43">
        <v>615.69000000000005</v>
      </c>
      <c r="V43">
        <f t="shared" si="7"/>
        <v>1.5121945229031071</v>
      </c>
    </row>
    <row r="44" spans="1:23" ht="14.25" x14ac:dyDescent="0.25">
      <c r="A44" s="74" t="s">
        <v>217</v>
      </c>
      <c r="B44" s="74"/>
      <c r="C44" s="74"/>
      <c r="D44" s="74"/>
      <c r="S44">
        <v>675</v>
      </c>
      <c r="T44">
        <v>583.02</v>
      </c>
      <c r="V44">
        <f t="shared" si="7"/>
        <v>1.4319538253714847</v>
      </c>
    </row>
    <row r="46" spans="1:23" x14ac:dyDescent="0.15">
      <c r="A46" t="s">
        <v>228</v>
      </c>
      <c r="B46" t="s">
        <v>229</v>
      </c>
      <c r="C46" t="s">
        <v>230</v>
      </c>
      <c r="D46" t="s">
        <v>231</v>
      </c>
      <c r="V46">
        <f>AVERAGE(V35:V44)</f>
        <v>1.496288837037947</v>
      </c>
    </row>
    <row r="47" spans="1:23" x14ac:dyDescent="0.15">
      <c r="A47">
        <v>578</v>
      </c>
      <c r="B47">
        <v>640.11</v>
      </c>
      <c r="D47">
        <f>B47/$A$41</f>
        <v>1.5721724180277541</v>
      </c>
    </row>
    <row r="48" spans="1:23" ht="14.25" x14ac:dyDescent="0.25">
      <c r="A48">
        <v>656</v>
      </c>
      <c r="B48">
        <v>651.91999999999996</v>
      </c>
      <c r="D48">
        <f t="shared" ref="D48:D56" si="8">B48/$A$41</f>
        <v>1.6011789266854968</v>
      </c>
      <c r="S48" s="74" t="s">
        <v>220</v>
      </c>
      <c r="T48" s="74"/>
      <c r="U48" s="74"/>
      <c r="V48" s="74"/>
      <c r="W48" s="74"/>
    </row>
    <row r="49" spans="1:22" x14ac:dyDescent="0.15">
      <c r="A49">
        <v>648</v>
      </c>
      <c r="B49">
        <v>641.26</v>
      </c>
      <c r="D49">
        <f t="shared" si="8"/>
        <v>1.5749969298784232</v>
      </c>
      <c r="S49" t="s">
        <v>222</v>
      </c>
    </row>
    <row r="50" spans="1:22" x14ac:dyDescent="0.15">
      <c r="A50">
        <v>574</v>
      </c>
      <c r="B50">
        <v>618.07000000000005</v>
      </c>
      <c r="D50">
        <f t="shared" si="8"/>
        <v>1.5180400343853619</v>
      </c>
      <c r="S50" t="s">
        <v>228</v>
      </c>
      <c r="T50" t="s">
        <v>229</v>
      </c>
      <c r="U50" t="s">
        <v>230</v>
      </c>
      <c r="V50" t="s">
        <v>231</v>
      </c>
    </row>
    <row r="51" spans="1:22" x14ac:dyDescent="0.15">
      <c r="A51">
        <v>645</v>
      </c>
      <c r="B51">
        <v>593.32000000000005</v>
      </c>
      <c r="D51">
        <f t="shared" si="8"/>
        <v>1.457251627164436</v>
      </c>
      <c r="S51">
        <v>248</v>
      </c>
      <c r="T51">
        <v>578.98</v>
      </c>
      <c r="V51">
        <f>T51/407.15</f>
        <v>1.4220311924352205</v>
      </c>
    </row>
    <row r="52" spans="1:22" x14ac:dyDescent="0.15">
      <c r="A52">
        <v>641</v>
      </c>
      <c r="B52">
        <v>648.44000000000005</v>
      </c>
      <c r="D52">
        <f t="shared" si="8"/>
        <v>1.5926317082156456</v>
      </c>
      <c r="S52">
        <v>252</v>
      </c>
      <c r="T52">
        <v>622.04</v>
      </c>
      <c r="V52">
        <f t="shared" ref="V52:V60" si="9">T52/407.15</f>
        <v>1.5277907405133244</v>
      </c>
    </row>
    <row r="53" spans="1:22" x14ac:dyDescent="0.15">
      <c r="A53">
        <v>576</v>
      </c>
      <c r="B53">
        <v>540.78</v>
      </c>
      <c r="D53">
        <f t="shared" si="8"/>
        <v>1.328208277047771</v>
      </c>
      <c r="S53">
        <v>758</v>
      </c>
      <c r="T53">
        <v>622.55999999999995</v>
      </c>
      <c r="V53">
        <f t="shared" si="9"/>
        <v>1.5290679110892791</v>
      </c>
    </row>
    <row r="54" spans="1:22" x14ac:dyDescent="0.15">
      <c r="A54">
        <v>649</v>
      </c>
      <c r="B54">
        <v>599.74</v>
      </c>
      <c r="D54">
        <f t="shared" si="8"/>
        <v>1.4730197715829547</v>
      </c>
      <c r="S54">
        <v>754</v>
      </c>
      <c r="T54">
        <v>624.14</v>
      </c>
      <c r="V54">
        <f t="shared" si="9"/>
        <v>1.5329485447623727</v>
      </c>
    </row>
    <row r="55" spans="1:22" x14ac:dyDescent="0.15">
      <c r="A55">
        <v>657</v>
      </c>
      <c r="B55">
        <v>570.33000000000004</v>
      </c>
      <c r="D55">
        <f t="shared" si="8"/>
        <v>1.4007859511236647</v>
      </c>
      <c r="S55">
        <v>743</v>
      </c>
      <c r="T55">
        <v>595.95000000000005</v>
      </c>
      <c r="V55">
        <f t="shared" si="9"/>
        <v>1.4637111629620534</v>
      </c>
    </row>
    <row r="56" spans="1:22" x14ac:dyDescent="0.15">
      <c r="A56">
        <v>575</v>
      </c>
      <c r="B56">
        <v>632.45000000000005</v>
      </c>
      <c r="D56">
        <f t="shared" si="8"/>
        <v>1.5533587130050353</v>
      </c>
      <c r="S56">
        <v>750</v>
      </c>
      <c r="T56">
        <v>615.54999999999995</v>
      </c>
      <c r="V56">
        <f t="shared" si="9"/>
        <v>1.5118506692865037</v>
      </c>
    </row>
    <row r="57" spans="1:22" x14ac:dyDescent="0.15">
      <c r="S57">
        <v>752</v>
      </c>
      <c r="T57">
        <v>622.9</v>
      </c>
      <c r="V57">
        <f t="shared" si="9"/>
        <v>1.5299029841581726</v>
      </c>
    </row>
    <row r="58" spans="1:22" x14ac:dyDescent="0.15">
      <c r="D58">
        <f>AVERAGE(D47:D56)</f>
        <v>1.5071644357116543</v>
      </c>
      <c r="S58">
        <v>759</v>
      </c>
      <c r="T58">
        <v>607</v>
      </c>
      <c r="V58">
        <f t="shared" si="9"/>
        <v>1.4908510377010931</v>
      </c>
    </row>
    <row r="59" spans="1:22" x14ac:dyDescent="0.15">
      <c r="S59">
        <v>755</v>
      </c>
      <c r="T59">
        <v>603.36</v>
      </c>
      <c r="V59">
        <f t="shared" si="9"/>
        <v>1.4819108436694095</v>
      </c>
    </row>
    <row r="60" spans="1:22" x14ac:dyDescent="0.15">
      <c r="A60" t="s">
        <v>364</v>
      </c>
      <c r="S60">
        <v>757</v>
      </c>
      <c r="T60">
        <v>589.53</v>
      </c>
      <c r="V60">
        <f t="shared" si="9"/>
        <v>1.4479430185435342</v>
      </c>
    </row>
    <row r="61" spans="1:22" x14ac:dyDescent="0.15">
      <c r="A61" t="s">
        <v>153</v>
      </c>
      <c r="D61" t="s">
        <v>159</v>
      </c>
      <c r="E61" t="s">
        <v>353</v>
      </c>
    </row>
    <row r="62" spans="1:22" x14ac:dyDescent="0.15">
      <c r="A62" t="s">
        <v>154</v>
      </c>
      <c r="B62">
        <v>-0.89359</v>
      </c>
      <c r="D62" t="s">
        <v>160</v>
      </c>
      <c r="V62">
        <f>AVERAGE(V51:V60)</f>
        <v>1.4938008105120961</v>
      </c>
    </row>
    <row r="63" spans="1:22" x14ac:dyDescent="0.15">
      <c r="A63" t="s">
        <v>155</v>
      </c>
      <c r="B63">
        <v>2.2795399999999999</v>
      </c>
    </row>
    <row r="64" spans="1:22" x14ac:dyDescent="0.15">
      <c r="A64" t="s">
        <v>156</v>
      </c>
      <c r="B64">
        <v>-1.18672</v>
      </c>
    </row>
    <row r="65" spans="1:2" x14ac:dyDescent="0.15">
      <c r="A65" t="s">
        <v>157</v>
      </c>
      <c r="B65">
        <v>7.07362</v>
      </c>
    </row>
    <row r="66" spans="1:2" x14ac:dyDescent="0.15">
      <c r="A66" t="s">
        <v>158</v>
      </c>
      <c r="B66">
        <v>-5.4517499999999997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R19" workbookViewId="0">
      <selection activeCell="J28" sqref="J28"/>
    </sheetView>
  </sheetViews>
  <sheetFormatPr defaultRowHeight="10.5" x14ac:dyDescent="0.15"/>
  <cols>
    <col min="1" max="1" width="16.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x14ac:dyDescent="0.15">
      <c r="A1" t="s">
        <v>124</v>
      </c>
      <c r="B1" t="s">
        <v>126</v>
      </c>
      <c r="C1" t="s">
        <v>82</v>
      </c>
      <c r="D1" t="s">
        <v>84</v>
      </c>
      <c r="E1" t="s">
        <v>134</v>
      </c>
      <c r="F1" t="s">
        <v>135</v>
      </c>
      <c r="G1" t="s">
        <v>127</v>
      </c>
      <c r="H1" t="s">
        <v>128</v>
      </c>
      <c r="I1" t="s">
        <v>129</v>
      </c>
      <c r="J1" t="s">
        <v>89</v>
      </c>
      <c r="K1" t="s">
        <v>88</v>
      </c>
      <c r="L1" t="s">
        <v>92</v>
      </c>
      <c r="M1" t="s">
        <v>144</v>
      </c>
      <c r="N1" t="s">
        <v>143</v>
      </c>
      <c r="O1" t="s">
        <v>145</v>
      </c>
      <c r="P1" t="s">
        <v>146</v>
      </c>
      <c r="Q1" t="s">
        <v>147</v>
      </c>
    </row>
    <row r="2" spans="1:17" x14ac:dyDescent="0.15">
      <c r="A2" t="s">
        <v>149</v>
      </c>
      <c r="B2" t="s">
        <v>81</v>
      </c>
      <c r="C2" t="s">
        <v>151</v>
      </c>
      <c r="D2">
        <v>34</v>
      </c>
      <c r="E2">
        <f t="shared" ref="E2:E21" si="0">7^2*PI()/20</f>
        <v>7.6969020012949922</v>
      </c>
      <c r="F2">
        <f t="shared" ref="F2:F21" si="1">10000/E2</f>
        <v>1299.2240252399622</v>
      </c>
      <c r="G2">
        <v>1</v>
      </c>
      <c r="H2">
        <v>219</v>
      </c>
      <c r="I2">
        <v>221</v>
      </c>
      <c r="J2">
        <f>AVERAGE(H2:I2)</f>
        <v>220</v>
      </c>
      <c r="K2">
        <v>218</v>
      </c>
      <c r="M2">
        <f>EXP(-3.53769+1.70873*LN(J2/10)+1.35448*LN(K2/10))</f>
        <v>371.83581049914352</v>
      </c>
      <c r="N2">
        <f>AVERAGE(M$2:M$21)*F2/1000</f>
        <v>481.47213043183473</v>
      </c>
      <c r="O2">
        <f t="shared" ref="O2:O21" si="2">N2/D2</f>
        <v>14.160945012701021</v>
      </c>
      <c r="P2">
        <f>N2/0.8*0.33</f>
        <v>198.60725380313184</v>
      </c>
      <c r="Q2">
        <f t="shared" ref="Q2:Q21" si="3">P2/D2</f>
        <v>5.8413898177391719</v>
      </c>
    </row>
    <row r="3" spans="1:17" x14ac:dyDescent="0.15">
      <c r="A3" t="s">
        <v>149</v>
      </c>
      <c r="B3" t="s">
        <v>81</v>
      </c>
      <c r="C3" t="s">
        <v>151</v>
      </c>
      <c r="D3">
        <v>34</v>
      </c>
      <c r="E3">
        <f t="shared" si="0"/>
        <v>7.6969020012949922</v>
      </c>
      <c r="F3">
        <f t="shared" si="1"/>
        <v>1299.2240252399622</v>
      </c>
      <c r="G3">
        <v>2</v>
      </c>
      <c r="H3">
        <v>214</v>
      </c>
      <c r="I3">
        <v>206</v>
      </c>
      <c r="J3">
        <f t="shared" ref="J3:J21" si="4">AVERAGE(H3:I3)</f>
        <v>210</v>
      </c>
      <c r="K3">
        <v>224</v>
      </c>
      <c r="M3">
        <f t="shared" ref="M3:M21" si="5">EXP(-3.53769+1.70873*LN(J3/10)+1.35448*LN(K3/10))</f>
        <v>356.28740143956321</v>
      </c>
      <c r="N3">
        <f t="shared" ref="N3:N21" si="6">AVERAGE(M$2:M$21)*F3/1000</f>
        <v>481.47213043183473</v>
      </c>
      <c r="O3">
        <f t="shared" si="2"/>
        <v>14.160945012701021</v>
      </c>
      <c r="P3">
        <f t="shared" ref="P3:P21" si="7">N3/0.8*0.33</f>
        <v>198.60725380313184</v>
      </c>
      <c r="Q3">
        <f t="shared" si="3"/>
        <v>5.8413898177391719</v>
      </c>
    </row>
    <row r="4" spans="1:17" x14ac:dyDescent="0.15">
      <c r="A4" t="s">
        <v>149</v>
      </c>
      <c r="B4" t="s">
        <v>81</v>
      </c>
      <c r="C4" t="s">
        <v>151</v>
      </c>
      <c r="D4">
        <v>34</v>
      </c>
      <c r="E4">
        <f t="shared" si="0"/>
        <v>7.6969020012949922</v>
      </c>
      <c r="F4">
        <f t="shared" si="1"/>
        <v>1299.2240252399622</v>
      </c>
      <c r="G4">
        <v>3</v>
      </c>
      <c r="H4">
        <v>202</v>
      </c>
      <c r="I4">
        <v>196</v>
      </c>
      <c r="J4">
        <f t="shared" si="4"/>
        <v>199</v>
      </c>
      <c r="K4">
        <v>222</v>
      </c>
      <c r="M4">
        <f t="shared" si="5"/>
        <v>321.06883218936792</v>
      </c>
      <c r="N4">
        <f t="shared" si="6"/>
        <v>481.47213043183473</v>
      </c>
      <c r="O4">
        <f t="shared" si="2"/>
        <v>14.160945012701021</v>
      </c>
      <c r="P4">
        <f t="shared" si="7"/>
        <v>198.60725380313184</v>
      </c>
      <c r="Q4">
        <f t="shared" si="3"/>
        <v>5.8413898177391719</v>
      </c>
    </row>
    <row r="5" spans="1:17" x14ac:dyDescent="0.15">
      <c r="A5" t="s">
        <v>149</v>
      </c>
      <c r="B5" t="s">
        <v>81</v>
      </c>
      <c r="C5" t="s">
        <v>151</v>
      </c>
      <c r="D5">
        <v>34</v>
      </c>
      <c r="E5">
        <f t="shared" si="0"/>
        <v>7.6969020012949922</v>
      </c>
      <c r="F5">
        <f t="shared" si="1"/>
        <v>1299.2240252399622</v>
      </c>
      <c r="G5">
        <v>4</v>
      </c>
      <c r="H5">
        <v>217</v>
      </c>
      <c r="I5">
        <v>206</v>
      </c>
      <c r="J5">
        <f t="shared" si="4"/>
        <v>211.5</v>
      </c>
      <c r="K5">
        <v>221</v>
      </c>
      <c r="M5">
        <f t="shared" si="5"/>
        <v>354.12027485465649</v>
      </c>
      <c r="N5">
        <f t="shared" si="6"/>
        <v>481.47213043183473</v>
      </c>
      <c r="O5">
        <f t="shared" si="2"/>
        <v>14.160945012701021</v>
      </c>
      <c r="P5">
        <f t="shared" si="7"/>
        <v>198.60725380313184</v>
      </c>
      <c r="Q5">
        <f t="shared" si="3"/>
        <v>5.8413898177391719</v>
      </c>
    </row>
    <row r="6" spans="1:17" x14ac:dyDescent="0.15">
      <c r="A6" t="s">
        <v>149</v>
      </c>
      <c r="B6" t="s">
        <v>81</v>
      </c>
      <c r="C6" t="s">
        <v>151</v>
      </c>
      <c r="D6">
        <v>34</v>
      </c>
      <c r="E6">
        <f t="shared" si="0"/>
        <v>7.6969020012949922</v>
      </c>
      <c r="F6">
        <f t="shared" si="1"/>
        <v>1299.2240252399622</v>
      </c>
      <c r="G6">
        <v>5</v>
      </c>
      <c r="H6">
        <v>200</v>
      </c>
      <c r="I6">
        <v>208</v>
      </c>
      <c r="J6">
        <f t="shared" si="4"/>
        <v>204</v>
      </c>
      <c r="K6">
        <v>204</v>
      </c>
      <c r="M6">
        <f t="shared" si="5"/>
        <v>298.72596963228477</v>
      </c>
      <c r="N6">
        <f t="shared" si="6"/>
        <v>481.47213043183473</v>
      </c>
      <c r="O6">
        <f t="shared" si="2"/>
        <v>14.160945012701021</v>
      </c>
      <c r="P6">
        <f t="shared" si="7"/>
        <v>198.60725380313184</v>
      </c>
      <c r="Q6">
        <f t="shared" si="3"/>
        <v>5.8413898177391719</v>
      </c>
    </row>
    <row r="7" spans="1:17" x14ac:dyDescent="0.15">
      <c r="A7" t="s">
        <v>149</v>
      </c>
      <c r="B7" t="s">
        <v>81</v>
      </c>
      <c r="C7" t="s">
        <v>151</v>
      </c>
      <c r="D7">
        <v>34</v>
      </c>
      <c r="E7">
        <f t="shared" si="0"/>
        <v>7.6969020012949922</v>
      </c>
      <c r="F7">
        <f t="shared" si="1"/>
        <v>1299.2240252399622</v>
      </c>
      <c r="G7">
        <v>6</v>
      </c>
      <c r="H7">
        <v>224</v>
      </c>
      <c r="I7">
        <v>224</v>
      </c>
      <c r="J7">
        <f t="shared" si="4"/>
        <v>224</v>
      </c>
      <c r="K7">
        <v>217</v>
      </c>
      <c r="M7">
        <f t="shared" si="5"/>
        <v>381.08164476802762</v>
      </c>
      <c r="N7">
        <f t="shared" si="6"/>
        <v>481.47213043183473</v>
      </c>
      <c r="O7">
        <f t="shared" si="2"/>
        <v>14.160945012701021</v>
      </c>
      <c r="P7">
        <f t="shared" si="7"/>
        <v>198.60725380313184</v>
      </c>
      <c r="Q7">
        <f t="shared" si="3"/>
        <v>5.8413898177391719</v>
      </c>
    </row>
    <row r="8" spans="1:17" x14ac:dyDescent="0.15">
      <c r="A8" t="s">
        <v>149</v>
      </c>
      <c r="B8" t="s">
        <v>81</v>
      </c>
      <c r="C8" t="s">
        <v>151</v>
      </c>
      <c r="D8">
        <v>34</v>
      </c>
      <c r="E8">
        <f t="shared" si="0"/>
        <v>7.6969020012949922</v>
      </c>
      <c r="F8">
        <f t="shared" si="1"/>
        <v>1299.2240252399622</v>
      </c>
      <c r="G8">
        <v>7</v>
      </c>
      <c r="H8">
        <v>273</v>
      </c>
      <c r="I8">
        <v>275</v>
      </c>
      <c r="J8">
        <f t="shared" si="4"/>
        <v>274</v>
      </c>
      <c r="K8">
        <v>217</v>
      </c>
      <c r="M8">
        <f t="shared" si="5"/>
        <v>537.69531672117034</v>
      </c>
      <c r="N8">
        <f t="shared" si="6"/>
        <v>481.47213043183473</v>
      </c>
      <c r="O8">
        <f t="shared" si="2"/>
        <v>14.160945012701021</v>
      </c>
      <c r="P8">
        <f t="shared" si="7"/>
        <v>198.60725380313184</v>
      </c>
      <c r="Q8">
        <f t="shared" si="3"/>
        <v>5.8413898177391719</v>
      </c>
    </row>
    <row r="9" spans="1:17" x14ac:dyDescent="0.15">
      <c r="A9" t="s">
        <v>149</v>
      </c>
      <c r="B9" t="s">
        <v>81</v>
      </c>
      <c r="C9" t="s">
        <v>151</v>
      </c>
      <c r="D9">
        <v>34</v>
      </c>
      <c r="E9">
        <f t="shared" si="0"/>
        <v>7.6969020012949922</v>
      </c>
      <c r="F9">
        <f t="shared" si="1"/>
        <v>1299.2240252399622</v>
      </c>
      <c r="G9">
        <v>8</v>
      </c>
      <c r="H9">
        <v>197</v>
      </c>
      <c r="I9">
        <v>207</v>
      </c>
      <c r="J9">
        <f t="shared" si="4"/>
        <v>202</v>
      </c>
      <c r="K9">
        <v>223</v>
      </c>
      <c r="M9">
        <f t="shared" si="5"/>
        <v>331.39486197608892</v>
      </c>
      <c r="N9">
        <f t="shared" si="6"/>
        <v>481.47213043183473</v>
      </c>
      <c r="O9">
        <f t="shared" si="2"/>
        <v>14.160945012701021</v>
      </c>
      <c r="P9">
        <f t="shared" si="7"/>
        <v>198.60725380313184</v>
      </c>
      <c r="Q9">
        <f t="shared" si="3"/>
        <v>5.8413898177391719</v>
      </c>
    </row>
    <row r="10" spans="1:17" x14ac:dyDescent="0.15">
      <c r="A10" t="s">
        <v>149</v>
      </c>
      <c r="B10" t="s">
        <v>81</v>
      </c>
      <c r="C10" t="s">
        <v>151</v>
      </c>
      <c r="D10">
        <v>34</v>
      </c>
      <c r="E10">
        <f t="shared" si="0"/>
        <v>7.6969020012949922</v>
      </c>
      <c r="F10">
        <f t="shared" si="1"/>
        <v>1299.2240252399622</v>
      </c>
      <c r="G10">
        <v>9</v>
      </c>
      <c r="H10">
        <v>248</v>
      </c>
      <c r="I10">
        <v>253</v>
      </c>
      <c r="J10">
        <f t="shared" si="4"/>
        <v>250.5</v>
      </c>
      <c r="K10">
        <v>215</v>
      </c>
      <c r="M10">
        <f t="shared" si="5"/>
        <v>455.5612042701062</v>
      </c>
      <c r="N10">
        <f t="shared" si="6"/>
        <v>481.47213043183473</v>
      </c>
      <c r="O10">
        <f t="shared" si="2"/>
        <v>14.160945012701021</v>
      </c>
      <c r="P10">
        <f t="shared" si="7"/>
        <v>198.60725380313184</v>
      </c>
      <c r="Q10">
        <f t="shared" si="3"/>
        <v>5.8413898177391719</v>
      </c>
    </row>
    <row r="11" spans="1:17" x14ac:dyDescent="0.15">
      <c r="A11" t="s">
        <v>149</v>
      </c>
      <c r="B11" t="s">
        <v>81</v>
      </c>
      <c r="C11" t="s">
        <v>151</v>
      </c>
      <c r="D11">
        <v>34</v>
      </c>
      <c r="E11">
        <f t="shared" si="0"/>
        <v>7.6969020012949922</v>
      </c>
      <c r="F11">
        <f t="shared" si="1"/>
        <v>1299.2240252399622</v>
      </c>
      <c r="G11">
        <v>10</v>
      </c>
      <c r="H11">
        <v>232</v>
      </c>
      <c r="I11">
        <v>245</v>
      </c>
      <c r="J11">
        <f t="shared" si="4"/>
        <v>238.5</v>
      </c>
      <c r="K11">
        <v>212</v>
      </c>
      <c r="M11">
        <f t="shared" si="5"/>
        <v>411.00951547884989</v>
      </c>
      <c r="N11">
        <f t="shared" si="6"/>
        <v>481.47213043183473</v>
      </c>
      <c r="O11">
        <f t="shared" si="2"/>
        <v>14.160945012701021</v>
      </c>
      <c r="P11">
        <f t="shared" si="7"/>
        <v>198.60725380313184</v>
      </c>
      <c r="Q11">
        <f t="shared" si="3"/>
        <v>5.8413898177391719</v>
      </c>
    </row>
    <row r="12" spans="1:17" x14ac:dyDescent="0.15">
      <c r="A12" t="s">
        <v>149</v>
      </c>
      <c r="B12" t="s">
        <v>81</v>
      </c>
      <c r="C12" t="s">
        <v>151</v>
      </c>
      <c r="D12">
        <v>34</v>
      </c>
      <c r="E12">
        <f t="shared" si="0"/>
        <v>7.6969020012949922</v>
      </c>
      <c r="F12">
        <f t="shared" si="1"/>
        <v>1299.2240252399622</v>
      </c>
      <c r="G12">
        <v>11</v>
      </c>
      <c r="H12">
        <v>129</v>
      </c>
      <c r="I12">
        <v>131</v>
      </c>
      <c r="J12">
        <f t="shared" si="4"/>
        <v>130</v>
      </c>
      <c r="K12">
        <v>108</v>
      </c>
      <c r="M12">
        <f t="shared" si="5"/>
        <v>58.449525119866436</v>
      </c>
      <c r="N12">
        <f t="shared" si="6"/>
        <v>481.47213043183473</v>
      </c>
      <c r="O12">
        <f t="shared" si="2"/>
        <v>14.160945012701021</v>
      </c>
      <c r="P12">
        <f t="shared" si="7"/>
        <v>198.60725380313184</v>
      </c>
      <c r="Q12">
        <f t="shared" si="3"/>
        <v>5.8413898177391719</v>
      </c>
    </row>
    <row r="13" spans="1:17" x14ac:dyDescent="0.15">
      <c r="A13" t="s">
        <v>149</v>
      </c>
      <c r="B13" t="s">
        <v>81</v>
      </c>
      <c r="C13" t="s">
        <v>151</v>
      </c>
      <c r="D13">
        <v>34</v>
      </c>
      <c r="E13">
        <f t="shared" si="0"/>
        <v>7.6969020012949922</v>
      </c>
      <c r="F13">
        <f t="shared" si="1"/>
        <v>1299.2240252399622</v>
      </c>
      <c r="G13">
        <v>12</v>
      </c>
      <c r="H13">
        <v>229</v>
      </c>
      <c r="I13">
        <v>229</v>
      </c>
      <c r="J13">
        <f t="shared" si="4"/>
        <v>229</v>
      </c>
      <c r="K13">
        <v>205</v>
      </c>
      <c r="M13">
        <f t="shared" si="5"/>
        <v>366.38425985505432</v>
      </c>
      <c r="N13">
        <f t="shared" si="6"/>
        <v>481.47213043183473</v>
      </c>
      <c r="O13">
        <f t="shared" si="2"/>
        <v>14.160945012701021</v>
      </c>
      <c r="P13">
        <f t="shared" si="7"/>
        <v>198.60725380313184</v>
      </c>
      <c r="Q13">
        <f t="shared" si="3"/>
        <v>5.8413898177391719</v>
      </c>
    </row>
    <row r="14" spans="1:17" x14ac:dyDescent="0.15">
      <c r="A14" t="s">
        <v>149</v>
      </c>
      <c r="B14" t="s">
        <v>81</v>
      </c>
      <c r="C14" t="s">
        <v>151</v>
      </c>
      <c r="D14">
        <v>34</v>
      </c>
      <c r="E14">
        <f t="shared" si="0"/>
        <v>7.6969020012949922</v>
      </c>
      <c r="F14">
        <f t="shared" si="1"/>
        <v>1299.2240252399622</v>
      </c>
      <c r="G14">
        <v>13</v>
      </c>
      <c r="H14">
        <v>274</v>
      </c>
      <c r="I14">
        <v>266</v>
      </c>
      <c r="J14">
        <f t="shared" si="4"/>
        <v>270</v>
      </c>
      <c r="K14">
        <v>210</v>
      </c>
      <c r="M14">
        <f t="shared" si="5"/>
        <v>501.57346113461568</v>
      </c>
      <c r="N14">
        <f t="shared" si="6"/>
        <v>481.47213043183473</v>
      </c>
      <c r="O14">
        <f t="shared" si="2"/>
        <v>14.160945012701021</v>
      </c>
      <c r="P14">
        <f t="shared" si="7"/>
        <v>198.60725380313184</v>
      </c>
      <c r="Q14">
        <f t="shared" si="3"/>
        <v>5.8413898177391719</v>
      </c>
    </row>
    <row r="15" spans="1:17" x14ac:dyDescent="0.15">
      <c r="A15" t="s">
        <v>149</v>
      </c>
      <c r="B15" t="s">
        <v>81</v>
      </c>
      <c r="C15" t="s">
        <v>151</v>
      </c>
      <c r="D15">
        <v>34</v>
      </c>
      <c r="E15">
        <f t="shared" si="0"/>
        <v>7.6969020012949922</v>
      </c>
      <c r="F15">
        <f t="shared" si="1"/>
        <v>1299.2240252399622</v>
      </c>
      <c r="G15">
        <v>14</v>
      </c>
      <c r="H15">
        <v>225</v>
      </c>
      <c r="I15">
        <v>231</v>
      </c>
      <c r="J15">
        <f t="shared" si="4"/>
        <v>228</v>
      </c>
      <c r="K15">
        <v>217</v>
      </c>
      <c r="M15">
        <f t="shared" si="5"/>
        <v>392.78305685737359</v>
      </c>
      <c r="N15">
        <f t="shared" si="6"/>
        <v>481.47213043183473</v>
      </c>
      <c r="O15">
        <f t="shared" si="2"/>
        <v>14.160945012701021</v>
      </c>
      <c r="P15">
        <f t="shared" si="7"/>
        <v>198.60725380313184</v>
      </c>
      <c r="Q15">
        <f t="shared" si="3"/>
        <v>5.8413898177391719</v>
      </c>
    </row>
    <row r="16" spans="1:17" x14ac:dyDescent="0.15">
      <c r="A16" t="s">
        <v>149</v>
      </c>
      <c r="B16" t="s">
        <v>81</v>
      </c>
      <c r="C16" t="s">
        <v>151</v>
      </c>
      <c r="D16">
        <v>34</v>
      </c>
      <c r="E16">
        <f t="shared" si="0"/>
        <v>7.6969020012949922</v>
      </c>
      <c r="F16">
        <f t="shared" si="1"/>
        <v>1299.2240252399622</v>
      </c>
      <c r="G16">
        <v>15</v>
      </c>
      <c r="H16">
        <v>244</v>
      </c>
      <c r="I16">
        <v>234</v>
      </c>
      <c r="J16">
        <f t="shared" si="4"/>
        <v>239</v>
      </c>
      <c r="K16">
        <v>233</v>
      </c>
      <c r="M16">
        <f t="shared" si="5"/>
        <v>468.7775959760358</v>
      </c>
      <c r="N16">
        <f t="shared" si="6"/>
        <v>481.47213043183473</v>
      </c>
      <c r="O16">
        <f t="shared" si="2"/>
        <v>14.160945012701021</v>
      </c>
      <c r="P16">
        <f t="shared" si="7"/>
        <v>198.60725380313184</v>
      </c>
      <c r="Q16">
        <f t="shared" si="3"/>
        <v>5.8413898177391719</v>
      </c>
    </row>
    <row r="17" spans="1:17" x14ac:dyDescent="0.15">
      <c r="A17" t="s">
        <v>149</v>
      </c>
      <c r="B17" t="s">
        <v>81</v>
      </c>
      <c r="C17" t="s">
        <v>151</v>
      </c>
      <c r="D17">
        <v>34</v>
      </c>
      <c r="E17">
        <f t="shared" si="0"/>
        <v>7.6969020012949922</v>
      </c>
      <c r="F17">
        <f t="shared" si="1"/>
        <v>1299.2240252399622</v>
      </c>
      <c r="G17">
        <v>16</v>
      </c>
      <c r="H17">
        <v>284</v>
      </c>
      <c r="I17">
        <v>275</v>
      </c>
      <c r="J17">
        <f t="shared" si="4"/>
        <v>279.5</v>
      </c>
      <c r="K17">
        <v>247</v>
      </c>
      <c r="M17">
        <f t="shared" si="5"/>
        <v>662.91358273764592</v>
      </c>
      <c r="N17">
        <f t="shared" si="6"/>
        <v>481.47213043183473</v>
      </c>
      <c r="O17">
        <f t="shared" si="2"/>
        <v>14.160945012701021</v>
      </c>
      <c r="P17">
        <f t="shared" si="7"/>
        <v>198.60725380313184</v>
      </c>
      <c r="Q17">
        <f t="shared" si="3"/>
        <v>5.8413898177391719</v>
      </c>
    </row>
    <row r="18" spans="1:17" x14ac:dyDescent="0.15">
      <c r="A18" t="s">
        <v>149</v>
      </c>
      <c r="B18" t="s">
        <v>81</v>
      </c>
      <c r="C18" t="s">
        <v>151</v>
      </c>
      <c r="D18">
        <v>34</v>
      </c>
      <c r="E18">
        <f t="shared" si="0"/>
        <v>7.6969020012949922</v>
      </c>
      <c r="F18">
        <f t="shared" si="1"/>
        <v>1299.2240252399622</v>
      </c>
      <c r="G18">
        <v>17</v>
      </c>
      <c r="H18">
        <v>118</v>
      </c>
      <c r="I18">
        <v>113</v>
      </c>
      <c r="J18">
        <f t="shared" si="4"/>
        <v>115.5</v>
      </c>
      <c r="K18">
        <v>102</v>
      </c>
      <c r="M18">
        <f t="shared" si="5"/>
        <v>44.197248061295852</v>
      </c>
      <c r="N18">
        <f t="shared" si="6"/>
        <v>481.47213043183473</v>
      </c>
      <c r="O18">
        <f t="shared" si="2"/>
        <v>14.160945012701021</v>
      </c>
      <c r="P18">
        <f t="shared" si="7"/>
        <v>198.60725380313184</v>
      </c>
      <c r="Q18">
        <f t="shared" si="3"/>
        <v>5.8413898177391719</v>
      </c>
    </row>
    <row r="19" spans="1:17" x14ac:dyDescent="0.15">
      <c r="A19" t="s">
        <v>149</v>
      </c>
      <c r="B19" t="s">
        <v>81</v>
      </c>
      <c r="C19" t="s">
        <v>151</v>
      </c>
      <c r="D19">
        <v>34</v>
      </c>
      <c r="E19">
        <f t="shared" si="0"/>
        <v>7.6969020012949922</v>
      </c>
      <c r="F19">
        <f t="shared" si="1"/>
        <v>1299.2240252399622</v>
      </c>
      <c r="G19">
        <v>18</v>
      </c>
      <c r="H19">
        <v>267</v>
      </c>
      <c r="I19">
        <v>275</v>
      </c>
      <c r="J19">
        <f t="shared" si="4"/>
        <v>271</v>
      </c>
      <c r="K19">
        <v>224</v>
      </c>
      <c r="M19">
        <f t="shared" si="5"/>
        <v>550.86135568158602</v>
      </c>
      <c r="N19">
        <f t="shared" si="6"/>
        <v>481.47213043183473</v>
      </c>
      <c r="O19">
        <f t="shared" si="2"/>
        <v>14.160945012701021</v>
      </c>
      <c r="P19">
        <f t="shared" si="7"/>
        <v>198.60725380313184</v>
      </c>
      <c r="Q19">
        <f t="shared" si="3"/>
        <v>5.8413898177391719</v>
      </c>
    </row>
    <row r="20" spans="1:17" x14ac:dyDescent="0.15">
      <c r="A20" t="s">
        <v>149</v>
      </c>
      <c r="B20" t="s">
        <v>81</v>
      </c>
      <c r="C20" t="s">
        <v>151</v>
      </c>
      <c r="D20">
        <v>34</v>
      </c>
      <c r="E20">
        <f t="shared" si="0"/>
        <v>7.6969020012949922</v>
      </c>
      <c r="F20">
        <f t="shared" si="1"/>
        <v>1299.2240252399622</v>
      </c>
      <c r="G20">
        <v>19</v>
      </c>
      <c r="H20">
        <v>170</v>
      </c>
      <c r="I20">
        <v>184</v>
      </c>
      <c r="J20">
        <f t="shared" si="4"/>
        <v>177</v>
      </c>
      <c r="K20">
        <v>208</v>
      </c>
      <c r="M20">
        <f t="shared" si="5"/>
        <v>240.62488521766261</v>
      </c>
      <c r="N20">
        <f t="shared" si="6"/>
        <v>481.47213043183473</v>
      </c>
      <c r="O20">
        <f t="shared" si="2"/>
        <v>14.160945012701021</v>
      </c>
      <c r="P20">
        <f t="shared" si="7"/>
        <v>198.60725380313184</v>
      </c>
      <c r="Q20">
        <f t="shared" si="3"/>
        <v>5.8413898177391719</v>
      </c>
    </row>
    <row r="21" spans="1:17" x14ac:dyDescent="0.15">
      <c r="A21" t="s">
        <v>149</v>
      </c>
      <c r="B21" t="s">
        <v>81</v>
      </c>
      <c r="C21" t="s">
        <v>151</v>
      </c>
      <c r="D21">
        <v>34</v>
      </c>
      <c r="E21">
        <f t="shared" si="0"/>
        <v>7.6969020012949922</v>
      </c>
      <c r="F21">
        <f t="shared" si="1"/>
        <v>1299.2240252399622</v>
      </c>
      <c r="G21">
        <v>20</v>
      </c>
      <c r="H21">
        <v>193</v>
      </c>
      <c r="I21">
        <v>197</v>
      </c>
      <c r="J21">
        <f t="shared" si="4"/>
        <v>195</v>
      </c>
      <c r="K21">
        <v>220</v>
      </c>
      <c r="M21">
        <f t="shared" si="5"/>
        <v>306.34180610670745</v>
      </c>
      <c r="N21">
        <f t="shared" si="6"/>
        <v>481.47213043183473</v>
      </c>
      <c r="O21">
        <f t="shared" si="2"/>
        <v>14.160945012701021</v>
      </c>
      <c r="P21">
        <f t="shared" si="7"/>
        <v>198.60725380313184</v>
      </c>
      <c r="Q21">
        <f t="shared" si="3"/>
        <v>5.8413898177391719</v>
      </c>
    </row>
    <row r="23" spans="1:17" ht="15" x14ac:dyDescent="0.25">
      <c r="L23" s="81" t="s">
        <v>328</v>
      </c>
      <c r="M23" s="82">
        <f>SUM(M2:M21)</f>
        <v>7411.6876085771037</v>
      </c>
      <c r="N23" s="82" t="s">
        <v>330</v>
      </c>
      <c r="O23" s="82">
        <f>PI()*7^2</f>
        <v>153.93804002589985</v>
      </c>
      <c r="P23" s="82" t="s">
        <v>326</v>
      </c>
    </row>
    <row r="24" spans="1:17" x14ac:dyDescent="0.15">
      <c r="A24" s="76" t="s">
        <v>327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83" t="s">
        <v>329</v>
      </c>
      <c r="M24" s="76">
        <f>((M23*O24)/O23)/1000</f>
        <v>481.47213043183467</v>
      </c>
      <c r="N24" s="76"/>
      <c r="O24" s="76">
        <v>10000</v>
      </c>
      <c r="P24" s="76" t="s">
        <v>326</v>
      </c>
      <c r="Q24" s="76"/>
    </row>
    <row r="25" spans="1:17" x14ac:dyDescent="0.15">
      <c r="A25" s="75" t="s">
        <v>246</v>
      </c>
      <c r="B25" s="75"/>
      <c r="C25" s="75"/>
      <c r="D25" s="75"/>
      <c r="E25" s="75"/>
      <c r="F25" s="75"/>
      <c r="G25" s="75" t="s">
        <v>247</v>
      </c>
      <c r="H25" s="75"/>
      <c r="I25" s="75"/>
      <c r="J25" s="75"/>
      <c r="K25" s="75"/>
      <c r="L25" s="75"/>
      <c r="M25" s="75" t="s">
        <v>318</v>
      </c>
    </row>
    <row r="26" spans="1:17" x14ac:dyDescent="0.15">
      <c r="B26" t="s">
        <v>249</v>
      </c>
      <c r="E26" t="s">
        <v>338</v>
      </c>
      <c r="M26" t="s">
        <v>250</v>
      </c>
    </row>
    <row r="27" spans="1:17" ht="17.25" x14ac:dyDescent="0.25">
      <c r="A27" t="s">
        <v>228</v>
      </c>
      <c r="B27" t="s">
        <v>229</v>
      </c>
      <c r="D27" s="84" t="s">
        <v>251</v>
      </c>
      <c r="E27">
        <v>407.15</v>
      </c>
      <c r="F27" t="s">
        <v>252</v>
      </c>
      <c r="G27" t="s">
        <v>228</v>
      </c>
      <c r="H27" t="s">
        <v>229</v>
      </c>
      <c r="J27" s="84" t="s">
        <v>251</v>
      </c>
      <c r="K27">
        <v>407.15</v>
      </c>
      <c r="L27" t="s">
        <v>253</v>
      </c>
      <c r="M27" t="s">
        <v>228</v>
      </c>
      <c r="N27" t="s">
        <v>229</v>
      </c>
      <c r="P27" s="84" t="s">
        <v>251</v>
      </c>
      <c r="Q27">
        <v>407.15</v>
      </c>
    </row>
    <row r="28" spans="1:17" x14ac:dyDescent="0.15">
      <c r="A28">
        <v>247</v>
      </c>
      <c r="B28">
        <v>483.2</v>
      </c>
      <c r="D28" s="73">
        <f t="shared" ref="D28:D37" si="8">B28/$E$27</f>
        <v>1.1867861967333906</v>
      </c>
      <c r="E28">
        <f>($D$39-D28)^2</f>
        <v>6.6507361678751263E-4</v>
      </c>
      <c r="G28">
        <v>743</v>
      </c>
      <c r="H28">
        <v>463.4</v>
      </c>
      <c r="J28">
        <f t="shared" ref="J28:J37" si="9">H28/$K$27</f>
        <v>1.1381554709566499</v>
      </c>
      <c r="M28">
        <v>179</v>
      </c>
      <c r="N28">
        <v>484</v>
      </c>
      <c r="P28">
        <f>N28/$Q$27</f>
        <v>1.188751074542552</v>
      </c>
    </row>
    <row r="29" spans="1:17" x14ac:dyDescent="0.15">
      <c r="A29">
        <v>249</v>
      </c>
      <c r="B29">
        <v>512</v>
      </c>
      <c r="D29" s="73">
        <f t="shared" si="8"/>
        <v>1.2575217978631954</v>
      </c>
      <c r="E29">
        <f t="shared" ref="E29:E37" si="10">($D$39-D29)^2</f>
        <v>2.0201950433194403E-3</v>
      </c>
      <c r="G29">
        <v>756</v>
      </c>
      <c r="H29">
        <v>429.6</v>
      </c>
      <c r="J29">
        <f t="shared" si="9"/>
        <v>1.0551393835195875</v>
      </c>
      <c r="M29">
        <v>1534</v>
      </c>
      <c r="N29">
        <v>471.8</v>
      </c>
      <c r="P29">
        <f t="shared" ref="P29:P37" si="11">N29/$Q$27</f>
        <v>1.158786687952843</v>
      </c>
    </row>
    <row r="30" spans="1:17" x14ac:dyDescent="0.15">
      <c r="A30">
        <v>758</v>
      </c>
      <c r="B30">
        <v>514.70000000000005</v>
      </c>
      <c r="D30" s="73">
        <f t="shared" si="8"/>
        <v>1.2641532604691148</v>
      </c>
      <c r="E30">
        <f t="shared" si="10"/>
        <v>2.6602944671500505E-3</v>
      </c>
      <c r="G30">
        <v>741</v>
      </c>
      <c r="H30">
        <v>377.3</v>
      </c>
      <c r="J30">
        <f t="shared" si="9"/>
        <v>0.92668549674567124</v>
      </c>
      <c r="M30">
        <v>180</v>
      </c>
      <c r="N30">
        <v>483</v>
      </c>
      <c r="P30">
        <f t="shared" si="11"/>
        <v>1.1862949772811004</v>
      </c>
    </row>
    <row r="31" spans="1:17" x14ac:dyDescent="0.15">
      <c r="A31">
        <v>752</v>
      </c>
      <c r="B31">
        <v>484.8</v>
      </c>
      <c r="D31" s="73">
        <f t="shared" si="8"/>
        <v>1.1907159523517132</v>
      </c>
      <c r="E31">
        <f t="shared" si="10"/>
        <v>4.778274937481918E-4</v>
      </c>
      <c r="G31">
        <v>248</v>
      </c>
      <c r="H31">
        <v>402.2</v>
      </c>
      <c r="J31">
        <f t="shared" si="9"/>
        <v>0.98784231855581484</v>
      </c>
      <c r="M31">
        <v>168</v>
      </c>
      <c r="N31">
        <v>476</v>
      </c>
      <c r="P31">
        <f t="shared" si="11"/>
        <v>1.1691022964509394</v>
      </c>
    </row>
    <row r="32" spans="1:17" x14ac:dyDescent="0.15">
      <c r="A32">
        <v>748</v>
      </c>
      <c r="B32">
        <v>494.5</v>
      </c>
      <c r="D32" s="73">
        <f t="shared" si="8"/>
        <v>1.2145400957877932</v>
      </c>
      <c r="E32">
        <f t="shared" si="10"/>
        <v>3.8607448049341719E-6</v>
      </c>
      <c r="G32">
        <v>745</v>
      </c>
      <c r="H32">
        <v>462.6</v>
      </c>
      <c r="J32">
        <f t="shared" si="9"/>
        <v>1.1361905931474887</v>
      </c>
      <c r="M32">
        <v>176</v>
      </c>
      <c r="N32">
        <v>471.5</v>
      </c>
      <c r="P32">
        <f t="shared" si="11"/>
        <v>1.1580498587744075</v>
      </c>
    </row>
    <row r="33" spans="1:17" x14ac:dyDescent="0.15">
      <c r="A33">
        <v>751</v>
      </c>
      <c r="B33">
        <v>512.29999999999995</v>
      </c>
      <c r="D33" s="73">
        <f t="shared" si="8"/>
        <v>1.2582586270416307</v>
      </c>
      <c r="E33">
        <f t="shared" si="10"/>
        <v>2.0869738636172743E-3</v>
      </c>
      <c r="G33">
        <v>746</v>
      </c>
      <c r="H33">
        <v>405.4</v>
      </c>
      <c r="J33">
        <f t="shared" si="9"/>
        <v>0.9957018297924598</v>
      </c>
      <c r="M33">
        <v>1522</v>
      </c>
      <c r="N33">
        <v>473.8</v>
      </c>
      <c r="P33">
        <f t="shared" si="11"/>
        <v>1.1636988824757462</v>
      </c>
    </row>
    <row r="34" spans="1:17" x14ac:dyDescent="0.15">
      <c r="A34">
        <v>749</v>
      </c>
      <c r="B34">
        <v>488</v>
      </c>
      <c r="D34" s="73">
        <f t="shared" si="8"/>
        <v>1.1985754635883581</v>
      </c>
      <c r="E34">
        <f t="shared" si="10"/>
        <v>1.9599312298799332E-4</v>
      </c>
      <c r="G34">
        <v>750</v>
      </c>
      <c r="H34">
        <v>430.4</v>
      </c>
      <c r="J34">
        <f t="shared" si="9"/>
        <v>1.0571042613287487</v>
      </c>
      <c r="M34">
        <v>1521</v>
      </c>
      <c r="N34">
        <v>487.1</v>
      </c>
      <c r="P34">
        <f t="shared" si="11"/>
        <v>1.1963649760530519</v>
      </c>
    </row>
    <row r="35" spans="1:17" x14ac:dyDescent="0.15">
      <c r="A35">
        <v>754</v>
      </c>
      <c r="B35">
        <v>461.2</v>
      </c>
      <c r="D35" s="73">
        <f t="shared" si="8"/>
        <v>1.1327520569814564</v>
      </c>
      <c r="E35">
        <f t="shared" si="10"/>
        <v>6.371737031581011E-3</v>
      </c>
      <c r="G35">
        <v>744</v>
      </c>
      <c r="H35">
        <v>434.3</v>
      </c>
      <c r="J35">
        <f t="shared" si="9"/>
        <v>1.0666830406484098</v>
      </c>
      <c r="M35">
        <v>1527</v>
      </c>
      <c r="N35">
        <v>485.4</v>
      </c>
      <c r="P35">
        <f t="shared" si="11"/>
        <v>1.1921896107085841</v>
      </c>
    </row>
    <row r="36" spans="1:17" x14ac:dyDescent="0.15">
      <c r="A36">
        <v>252</v>
      </c>
      <c r="B36">
        <v>469.8</v>
      </c>
      <c r="D36" s="73">
        <f t="shared" si="8"/>
        <v>1.1538744934299399</v>
      </c>
      <c r="E36">
        <f t="shared" si="10"/>
        <v>3.4457750625414268E-3</v>
      </c>
      <c r="G36">
        <v>759</v>
      </c>
      <c r="H36">
        <v>425.3</v>
      </c>
      <c r="J36">
        <f t="shared" si="9"/>
        <v>1.0445781652953459</v>
      </c>
      <c r="M36">
        <v>1532</v>
      </c>
      <c r="N36">
        <v>486</v>
      </c>
      <c r="P36">
        <f t="shared" si="11"/>
        <v>1.1936632690654552</v>
      </c>
    </row>
    <row r="37" spans="1:17" x14ac:dyDescent="0.15">
      <c r="A37">
        <v>757</v>
      </c>
      <c r="B37">
        <v>516.5</v>
      </c>
      <c r="D37" s="73">
        <f t="shared" si="8"/>
        <v>1.2685742355397274</v>
      </c>
      <c r="E37">
        <f t="shared" si="10"/>
        <v>3.1358899678078683E-3</v>
      </c>
      <c r="G37">
        <v>755</v>
      </c>
      <c r="H37">
        <v>419.6</v>
      </c>
      <c r="J37">
        <f t="shared" si="9"/>
        <v>1.030578410905072</v>
      </c>
      <c r="M37">
        <v>164</v>
      </c>
      <c r="N37">
        <v>455.9</v>
      </c>
      <c r="P37">
        <f t="shared" si="11"/>
        <v>1.1197347414957632</v>
      </c>
    </row>
    <row r="38" spans="1:17" x14ac:dyDescent="0.15">
      <c r="E38">
        <f>(SUM(E28:E37)/10)</f>
        <v>2.1063620414345703E-3</v>
      </c>
      <c r="F38" t="s">
        <v>339</v>
      </c>
    </row>
    <row r="39" spans="1:17" ht="15" x14ac:dyDescent="0.25">
      <c r="D39" s="85">
        <f>AVERAGE(D28:D37)</f>
        <v>1.212575217978632</v>
      </c>
      <c r="E39" s="84" t="s">
        <v>253</v>
      </c>
      <c r="J39" s="84">
        <f>AVERAGE(J28:J37)</f>
        <v>1.0438658970895247</v>
      </c>
      <c r="K39" s="84" t="s">
        <v>253</v>
      </c>
      <c r="P39" s="84">
        <f>AVERAGE(P28:P37)</f>
        <v>1.1726636374800443</v>
      </c>
      <c r="Q39" s="84" t="s">
        <v>253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E37" sqref="E37"/>
    </sheetView>
  </sheetViews>
  <sheetFormatPr defaultRowHeight="10.5" x14ac:dyDescent="0.15"/>
  <cols>
    <col min="1" max="1" width="16.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s="75" customFormat="1" x14ac:dyDescent="0.15">
      <c r="A1" s="75" t="s">
        <v>210</v>
      </c>
    </row>
    <row r="2" spans="1:17" x14ac:dyDescent="0.15">
      <c r="A2" t="s">
        <v>124</v>
      </c>
      <c r="B2" t="s">
        <v>126</v>
      </c>
      <c r="C2" t="s">
        <v>82</v>
      </c>
      <c r="D2" t="s">
        <v>84</v>
      </c>
      <c r="E2" t="s">
        <v>134</v>
      </c>
      <c r="F2" t="s">
        <v>135</v>
      </c>
      <c r="G2" t="s">
        <v>127</v>
      </c>
      <c r="H2" t="s">
        <v>128</v>
      </c>
      <c r="I2" t="s">
        <v>129</v>
      </c>
      <c r="J2" t="s">
        <v>89</v>
      </c>
      <c r="K2" t="s">
        <v>88</v>
      </c>
      <c r="L2" t="s">
        <v>92</v>
      </c>
      <c r="M2" t="s">
        <v>144</v>
      </c>
      <c r="N2" t="s">
        <v>143</v>
      </c>
      <c r="O2" t="s">
        <v>145</v>
      </c>
      <c r="P2" t="s">
        <v>146</v>
      </c>
      <c r="Q2" t="s">
        <v>147</v>
      </c>
    </row>
    <row r="3" spans="1:17" x14ac:dyDescent="0.15">
      <c r="A3" t="s">
        <v>150</v>
      </c>
      <c r="B3" t="s">
        <v>119</v>
      </c>
      <c r="C3" t="s">
        <v>120</v>
      </c>
      <c r="D3">
        <v>34</v>
      </c>
      <c r="E3">
        <f>7^2*PI()/13</f>
        <v>11.841387694299989</v>
      </c>
      <c r="F3">
        <f>10000/E3</f>
        <v>844.49561640597528</v>
      </c>
      <c r="G3">
        <v>1</v>
      </c>
      <c r="H3">
        <v>226</v>
      </c>
      <c r="I3">
        <v>226</v>
      </c>
      <c r="J3">
        <f>AVERAGE(H3:I3)</f>
        <v>226</v>
      </c>
      <c r="K3">
        <v>264</v>
      </c>
      <c r="M3">
        <f>EXP(-3.53769+1.70873*LN(J3/10)+1.35448*LN(K3/10))</f>
        <v>504.59222499080107</v>
      </c>
      <c r="N3">
        <f>AVERAGE(M$3:M$15)*F3/1000</f>
        <v>842.69727383555335</v>
      </c>
      <c r="O3">
        <f>N3/D3</f>
        <v>24.785213936339805</v>
      </c>
      <c r="P3">
        <f>N3/0.78*0.33</f>
        <v>356.52576969965719</v>
      </c>
      <c r="Q3">
        <f>P3/D3</f>
        <v>10.486052049989917</v>
      </c>
    </row>
    <row r="4" spans="1:17" x14ac:dyDescent="0.15">
      <c r="A4" t="s">
        <v>150</v>
      </c>
      <c r="B4" t="s">
        <v>119</v>
      </c>
      <c r="C4" t="s">
        <v>120</v>
      </c>
      <c r="D4">
        <v>34</v>
      </c>
      <c r="E4">
        <f t="shared" ref="E4:E15" si="0">7^2*PI()/13</f>
        <v>11.841387694299989</v>
      </c>
      <c r="F4">
        <f t="shared" ref="F4:F15" si="1">10000/E4</f>
        <v>844.49561640597528</v>
      </c>
      <c r="G4">
        <v>2</v>
      </c>
      <c r="H4">
        <v>330</v>
      </c>
      <c r="I4">
        <v>350</v>
      </c>
      <c r="J4">
        <f t="shared" ref="J4:J15" si="2">AVERAGE(H4:I4)</f>
        <v>340</v>
      </c>
      <c r="K4">
        <v>284</v>
      </c>
      <c r="M4">
        <f t="shared" ref="M4:M15" si="3">EXP(-3.53769+1.70873*LN(J4/10)+1.35448*LN(K4/10))</f>
        <v>1119.3743460147643</v>
      </c>
      <c r="N4">
        <f t="shared" ref="N4:N15" si="4">AVERAGE(M$3:M$15)*F4/1000</f>
        <v>842.69727383555335</v>
      </c>
      <c r="O4">
        <f t="shared" ref="O4:O15" si="5">N4/D4</f>
        <v>24.785213936339805</v>
      </c>
      <c r="P4">
        <f t="shared" ref="P4:P15" si="6">N4/0.78*0.33</f>
        <v>356.52576969965719</v>
      </c>
      <c r="Q4">
        <f t="shared" ref="Q4:Q15" si="7">P4/D4</f>
        <v>10.486052049989917</v>
      </c>
    </row>
    <row r="5" spans="1:17" x14ac:dyDescent="0.15">
      <c r="A5" t="s">
        <v>150</v>
      </c>
      <c r="B5" t="s">
        <v>119</v>
      </c>
      <c r="C5" t="s">
        <v>120</v>
      </c>
      <c r="D5">
        <v>34</v>
      </c>
      <c r="E5">
        <f t="shared" si="0"/>
        <v>11.841387694299989</v>
      </c>
      <c r="F5">
        <f t="shared" si="1"/>
        <v>844.49561640597528</v>
      </c>
      <c r="G5">
        <v>3</v>
      </c>
      <c r="H5">
        <v>314</v>
      </c>
      <c r="I5">
        <v>314</v>
      </c>
      <c r="J5">
        <f t="shared" si="2"/>
        <v>314</v>
      </c>
      <c r="K5">
        <v>253</v>
      </c>
      <c r="M5">
        <f t="shared" si="3"/>
        <v>835.50304185794585</v>
      </c>
      <c r="N5">
        <f t="shared" si="4"/>
        <v>842.69727383555335</v>
      </c>
      <c r="O5">
        <f t="shared" si="5"/>
        <v>24.785213936339805</v>
      </c>
      <c r="P5">
        <f t="shared" si="6"/>
        <v>356.52576969965719</v>
      </c>
      <c r="Q5">
        <f t="shared" si="7"/>
        <v>10.486052049989917</v>
      </c>
    </row>
    <row r="6" spans="1:17" x14ac:dyDescent="0.15">
      <c r="A6" t="s">
        <v>150</v>
      </c>
      <c r="B6" t="s">
        <v>119</v>
      </c>
      <c r="C6" t="s">
        <v>120</v>
      </c>
      <c r="D6">
        <v>34</v>
      </c>
      <c r="E6">
        <f t="shared" si="0"/>
        <v>11.841387694299989</v>
      </c>
      <c r="F6">
        <f t="shared" si="1"/>
        <v>844.49561640597528</v>
      </c>
      <c r="G6">
        <v>4</v>
      </c>
      <c r="H6">
        <v>326</v>
      </c>
      <c r="I6">
        <v>322</v>
      </c>
      <c r="J6">
        <f t="shared" si="2"/>
        <v>324</v>
      </c>
      <c r="K6">
        <v>305</v>
      </c>
      <c r="M6">
        <f t="shared" si="3"/>
        <v>1135.451990556943</v>
      </c>
      <c r="N6">
        <f t="shared" si="4"/>
        <v>842.69727383555335</v>
      </c>
      <c r="O6">
        <f t="shared" si="5"/>
        <v>24.785213936339805</v>
      </c>
      <c r="P6">
        <f t="shared" si="6"/>
        <v>356.52576969965719</v>
      </c>
      <c r="Q6">
        <f t="shared" si="7"/>
        <v>10.486052049989917</v>
      </c>
    </row>
    <row r="7" spans="1:17" x14ac:dyDescent="0.15">
      <c r="A7" t="s">
        <v>150</v>
      </c>
      <c r="B7" t="s">
        <v>119</v>
      </c>
      <c r="C7" t="s">
        <v>120</v>
      </c>
      <c r="D7">
        <v>34</v>
      </c>
      <c r="E7">
        <f t="shared" si="0"/>
        <v>11.841387694299989</v>
      </c>
      <c r="F7">
        <f t="shared" si="1"/>
        <v>844.49561640597528</v>
      </c>
      <c r="G7">
        <v>5</v>
      </c>
      <c r="H7">
        <v>296</v>
      </c>
      <c r="I7">
        <v>321</v>
      </c>
      <c r="J7">
        <f t="shared" si="2"/>
        <v>308.5</v>
      </c>
      <c r="K7">
        <v>299</v>
      </c>
      <c r="M7">
        <f t="shared" si="3"/>
        <v>1016.4893886972083</v>
      </c>
      <c r="N7">
        <f t="shared" si="4"/>
        <v>842.69727383555335</v>
      </c>
      <c r="O7">
        <f t="shared" si="5"/>
        <v>24.785213936339805</v>
      </c>
      <c r="P7">
        <f t="shared" si="6"/>
        <v>356.52576969965719</v>
      </c>
      <c r="Q7">
        <f t="shared" si="7"/>
        <v>10.486052049989917</v>
      </c>
    </row>
    <row r="8" spans="1:17" x14ac:dyDescent="0.15">
      <c r="A8" t="s">
        <v>150</v>
      </c>
      <c r="B8" t="s">
        <v>119</v>
      </c>
      <c r="C8" t="s">
        <v>120</v>
      </c>
      <c r="D8">
        <v>34</v>
      </c>
      <c r="E8">
        <f t="shared" si="0"/>
        <v>11.841387694299989</v>
      </c>
      <c r="F8">
        <f t="shared" si="1"/>
        <v>844.49561640597528</v>
      </c>
      <c r="G8">
        <v>6</v>
      </c>
      <c r="H8">
        <v>325</v>
      </c>
      <c r="I8">
        <v>331</v>
      </c>
      <c r="J8">
        <f t="shared" si="2"/>
        <v>328</v>
      </c>
      <c r="K8">
        <v>325</v>
      </c>
      <c r="M8">
        <f t="shared" si="3"/>
        <v>1263.6757227128357</v>
      </c>
      <c r="N8">
        <f t="shared" si="4"/>
        <v>842.69727383555335</v>
      </c>
      <c r="O8">
        <f t="shared" si="5"/>
        <v>24.785213936339805</v>
      </c>
      <c r="P8">
        <f t="shared" si="6"/>
        <v>356.52576969965719</v>
      </c>
      <c r="Q8">
        <f t="shared" si="7"/>
        <v>10.486052049989917</v>
      </c>
    </row>
    <row r="9" spans="1:17" x14ac:dyDescent="0.15">
      <c r="A9" t="s">
        <v>150</v>
      </c>
      <c r="B9" t="s">
        <v>119</v>
      </c>
      <c r="C9" t="s">
        <v>120</v>
      </c>
      <c r="D9">
        <v>34</v>
      </c>
      <c r="E9">
        <f t="shared" si="0"/>
        <v>11.841387694299989</v>
      </c>
      <c r="F9">
        <f t="shared" si="1"/>
        <v>844.49561640597528</v>
      </c>
      <c r="G9">
        <v>7</v>
      </c>
      <c r="H9">
        <v>366</v>
      </c>
      <c r="I9">
        <v>370</v>
      </c>
      <c r="J9">
        <f t="shared" si="2"/>
        <v>368</v>
      </c>
      <c r="K9">
        <v>335</v>
      </c>
      <c r="M9">
        <f t="shared" si="3"/>
        <v>1602.7086753968988</v>
      </c>
      <c r="N9">
        <f t="shared" si="4"/>
        <v>842.69727383555335</v>
      </c>
      <c r="O9">
        <f t="shared" si="5"/>
        <v>24.785213936339805</v>
      </c>
      <c r="P9">
        <f t="shared" si="6"/>
        <v>356.52576969965719</v>
      </c>
      <c r="Q9">
        <f t="shared" si="7"/>
        <v>10.486052049989917</v>
      </c>
    </row>
    <row r="10" spans="1:17" x14ac:dyDescent="0.15">
      <c r="A10" t="s">
        <v>150</v>
      </c>
      <c r="B10" t="s">
        <v>119</v>
      </c>
      <c r="C10" t="s">
        <v>120</v>
      </c>
      <c r="D10">
        <v>34</v>
      </c>
      <c r="E10">
        <f t="shared" si="0"/>
        <v>11.841387694299989</v>
      </c>
      <c r="F10">
        <f t="shared" si="1"/>
        <v>844.49561640597528</v>
      </c>
      <c r="G10">
        <v>8</v>
      </c>
      <c r="H10">
        <v>252</v>
      </c>
      <c r="I10">
        <v>242</v>
      </c>
      <c r="J10">
        <f t="shared" si="2"/>
        <v>247</v>
      </c>
      <c r="K10">
        <v>270</v>
      </c>
      <c r="M10">
        <f t="shared" si="3"/>
        <v>605.4766655495589</v>
      </c>
      <c r="N10">
        <f t="shared" si="4"/>
        <v>842.69727383555335</v>
      </c>
      <c r="O10">
        <f t="shared" si="5"/>
        <v>24.785213936339805</v>
      </c>
      <c r="P10">
        <f t="shared" si="6"/>
        <v>356.52576969965719</v>
      </c>
      <c r="Q10">
        <f t="shared" si="7"/>
        <v>10.486052049989917</v>
      </c>
    </row>
    <row r="11" spans="1:17" x14ac:dyDescent="0.15">
      <c r="A11" t="s">
        <v>150</v>
      </c>
      <c r="B11" t="s">
        <v>119</v>
      </c>
      <c r="C11" t="s">
        <v>120</v>
      </c>
      <c r="D11">
        <v>34</v>
      </c>
      <c r="E11">
        <f t="shared" si="0"/>
        <v>11.841387694299989</v>
      </c>
      <c r="F11">
        <f t="shared" si="1"/>
        <v>844.49561640597528</v>
      </c>
      <c r="G11">
        <v>9</v>
      </c>
      <c r="H11">
        <v>323</v>
      </c>
      <c r="I11">
        <v>339</v>
      </c>
      <c r="J11">
        <f t="shared" si="2"/>
        <v>331</v>
      </c>
      <c r="K11">
        <v>303</v>
      </c>
      <c r="M11">
        <f t="shared" si="3"/>
        <v>1167.241858930091</v>
      </c>
      <c r="N11">
        <f t="shared" si="4"/>
        <v>842.69727383555335</v>
      </c>
      <c r="O11">
        <f t="shared" si="5"/>
        <v>24.785213936339805</v>
      </c>
      <c r="P11">
        <f t="shared" si="6"/>
        <v>356.52576969965719</v>
      </c>
      <c r="Q11">
        <f t="shared" si="7"/>
        <v>10.486052049989917</v>
      </c>
    </row>
    <row r="12" spans="1:17" x14ac:dyDescent="0.15">
      <c r="A12" t="s">
        <v>150</v>
      </c>
      <c r="B12" t="s">
        <v>119</v>
      </c>
      <c r="C12" t="s">
        <v>120</v>
      </c>
      <c r="D12">
        <v>34</v>
      </c>
      <c r="E12">
        <f t="shared" si="0"/>
        <v>11.841387694299989</v>
      </c>
      <c r="F12">
        <f t="shared" si="1"/>
        <v>844.49561640597528</v>
      </c>
      <c r="G12">
        <v>10</v>
      </c>
      <c r="H12">
        <v>231</v>
      </c>
      <c r="I12">
        <v>225</v>
      </c>
      <c r="J12">
        <f t="shared" si="2"/>
        <v>228</v>
      </c>
      <c r="K12">
        <v>242</v>
      </c>
      <c r="M12">
        <f t="shared" si="3"/>
        <v>455.29722397015013</v>
      </c>
      <c r="N12">
        <f t="shared" si="4"/>
        <v>842.69727383555335</v>
      </c>
      <c r="O12">
        <f t="shared" si="5"/>
        <v>24.785213936339805</v>
      </c>
      <c r="P12">
        <f t="shared" si="6"/>
        <v>356.52576969965719</v>
      </c>
      <c r="Q12">
        <f t="shared" si="7"/>
        <v>10.486052049989917</v>
      </c>
    </row>
    <row r="13" spans="1:17" x14ac:dyDescent="0.15">
      <c r="A13" t="s">
        <v>150</v>
      </c>
      <c r="B13" t="s">
        <v>119</v>
      </c>
      <c r="C13" t="s">
        <v>120</v>
      </c>
      <c r="D13">
        <v>34</v>
      </c>
      <c r="E13">
        <f t="shared" si="0"/>
        <v>11.841387694299989</v>
      </c>
      <c r="F13">
        <f t="shared" si="1"/>
        <v>844.49561640597528</v>
      </c>
      <c r="G13">
        <v>11</v>
      </c>
      <c r="H13">
        <v>357</v>
      </c>
      <c r="I13">
        <v>371</v>
      </c>
      <c r="J13">
        <f t="shared" si="2"/>
        <v>364</v>
      </c>
      <c r="K13">
        <v>300</v>
      </c>
      <c r="M13">
        <f t="shared" si="3"/>
        <v>1354.6675217579525</v>
      </c>
      <c r="N13">
        <f t="shared" si="4"/>
        <v>842.69727383555335</v>
      </c>
      <c r="O13">
        <f t="shared" si="5"/>
        <v>24.785213936339805</v>
      </c>
      <c r="P13">
        <f t="shared" si="6"/>
        <v>356.52576969965719</v>
      </c>
      <c r="Q13">
        <f t="shared" si="7"/>
        <v>10.486052049989917</v>
      </c>
    </row>
    <row r="14" spans="1:17" x14ac:dyDescent="0.15">
      <c r="A14" t="s">
        <v>150</v>
      </c>
      <c r="B14" t="s">
        <v>119</v>
      </c>
      <c r="C14" t="s">
        <v>120</v>
      </c>
      <c r="D14">
        <v>34</v>
      </c>
      <c r="E14">
        <f t="shared" si="0"/>
        <v>11.841387694299989</v>
      </c>
      <c r="F14">
        <f t="shared" si="1"/>
        <v>844.49561640597528</v>
      </c>
      <c r="G14">
        <v>12</v>
      </c>
      <c r="H14">
        <v>250</v>
      </c>
      <c r="I14">
        <v>246</v>
      </c>
      <c r="J14">
        <f t="shared" si="2"/>
        <v>248</v>
      </c>
      <c r="K14">
        <v>281</v>
      </c>
      <c r="M14">
        <f t="shared" si="3"/>
        <v>643.5553589583983</v>
      </c>
      <c r="N14">
        <f t="shared" si="4"/>
        <v>842.69727383555335</v>
      </c>
      <c r="O14">
        <f t="shared" si="5"/>
        <v>24.785213936339805</v>
      </c>
      <c r="P14">
        <f t="shared" si="6"/>
        <v>356.52576969965719</v>
      </c>
      <c r="Q14">
        <f t="shared" si="7"/>
        <v>10.486052049989917</v>
      </c>
    </row>
    <row r="15" spans="1:17" x14ac:dyDescent="0.15">
      <c r="A15" t="s">
        <v>150</v>
      </c>
      <c r="B15" t="s">
        <v>119</v>
      </c>
      <c r="C15" t="s">
        <v>120</v>
      </c>
      <c r="D15">
        <v>34</v>
      </c>
      <c r="E15">
        <f t="shared" si="0"/>
        <v>11.841387694299989</v>
      </c>
      <c r="F15">
        <f t="shared" si="1"/>
        <v>844.49561640597528</v>
      </c>
      <c r="G15">
        <v>13</v>
      </c>
      <c r="H15">
        <v>317</v>
      </c>
      <c r="I15">
        <v>369</v>
      </c>
      <c r="J15">
        <f t="shared" si="2"/>
        <v>343</v>
      </c>
      <c r="K15">
        <v>308</v>
      </c>
      <c r="M15">
        <f t="shared" si="3"/>
        <v>1268.2826475478616</v>
      </c>
      <c r="N15">
        <f t="shared" si="4"/>
        <v>842.69727383555335</v>
      </c>
      <c r="O15">
        <f t="shared" si="5"/>
        <v>24.785213936339805</v>
      </c>
      <c r="P15">
        <f t="shared" si="6"/>
        <v>356.52576969965719</v>
      </c>
      <c r="Q15">
        <f t="shared" si="7"/>
        <v>10.486052049989917</v>
      </c>
    </row>
    <row r="18" spans="1:5" x14ac:dyDescent="0.15">
      <c r="A18" s="75" t="s">
        <v>248</v>
      </c>
      <c r="B18" s="75"/>
      <c r="C18" s="75"/>
      <c r="D18" s="75"/>
      <c r="E18" s="75"/>
    </row>
    <row r="19" spans="1:5" x14ac:dyDescent="0.15">
      <c r="A19" t="s">
        <v>250</v>
      </c>
    </row>
    <row r="20" spans="1:5" ht="15" x14ac:dyDescent="0.25">
      <c r="A20" t="s">
        <v>228</v>
      </c>
      <c r="B20" t="s">
        <v>229</v>
      </c>
      <c r="D20" s="84" t="s">
        <v>251</v>
      </c>
    </row>
    <row r="21" spans="1:5" x14ac:dyDescent="0.15">
      <c r="A21">
        <v>177</v>
      </c>
      <c r="B21">
        <v>384.1</v>
      </c>
      <c r="D21">
        <f t="shared" ref="D21:D30" si="8">B21/$A$32</f>
        <v>0.94338695812354179</v>
      </c>
    </row>
    <row r="22" spans="1:5" x14ac:dyDescent="0.15">
      <c r="A22">
        <v>1525</v>
      </c>
      <c r="B22">
        <v>406.2</v>
      </c>
      <c r="D22">
        <f t="shared" si="8"/>
        <v>0.99766670760162102</v>
      </c>
    </row>
    <row r="23" spans="1:5" x14ac:dyDescent="0.15">
      <c r="A23">
        <v>175</v>
      </c>
      <c r="B23">
        <v>396.1</v>
      </c>
      <c r="D23">
        <f t="shared" si="8"/>
        <v>0.97286012526096044</v>
      </c>
    </row>
    <row r="24" spans="1:5" x14ac:dyDescent="0.15">
      <c r="A24">
        <v>1526</v>
      </c>
      <c r="B24">
        <v>398.2</v>
      </c>
      <c r="D24">
        <f t="shared" si="8"/>
        <v>0.97801792951000865</v>
      </c>
    </row>
    <row r="25" spans="1:5" x14ac:dyDescent="0.15">
      <c r="A25">
        <v>1529</v>
      </c>
      <c r="B25">
        <v>425.2</v>
      </c>
      <c r="D25">
        <f t="shared" si="8"/>
        <v>1.0443325555692005</v>
      </c>
    </row>
    <row r="26" spans="1:5" x14ac:dyDescent="0.15">
      <c r="A26">
        <v>1530</v>
      </c>
      <c r="B26">
        <v>403.4</v>
      </c>
      <c r="D26">
        <f t="shared" si="8"/>
        <v>0.99078963526955666</v>
      </c>
    </row>
    <row r="27" spans="1:5" x14ac:dyDescent="0.15">
      <c r="A27">
        <v>1531</v>
      </c>
      <c r="B27">
        <v>443</v>
      </c>
      <c r="D27">
        <f t="shared" si="8"/>
        <v>1.0880510868230382</v>
      </c>
    </row>
    <row r="28" spans="1:5" x14ac:dyDescent="0.15">
      <c r="A28">
        <v>1528</v>
      </c>
      <c r="B28">
        <v>431.9</v>
      </c>
      <c r="D28">
        <f t="shared" si="8"/>
        <v>1.0607884072209259</v>
      </c>
    </row>
    <row r="29" spans="1:5" x14ac:dyDescent="0.15">
      <c r="A29">
        <v>1524</v>
      </c>
      <c r="B29">
        <v>422.1</v>
      </c>
      <c r="D29">
        <f t="shared" si="8"/>
        <v>1.0367186540587008</v>
      </c>
    </row>
    <row r="30" spans="1:5" x14ac:dyDescent="0.15">
      <c r="A30">
        <v>1533</v>
      </c>
      <c r="B30">
        <v>397.4</v>
      </c>
      <c r="D30">
        <f t="shared" si="8"/>
        <v>0.97605305170084733</v>
      </c>
    </row>
    <row r="31" spans="1:5" x14ac:dyDescent="0.15">
      <c r="A31" t="s">
        <v>341</v>
      </c>
    </row>
    <row r="32" spans="1:5" ht="15" x14ac:dyDescent="0.25">
      <c r="A32">
        <v>407.15</v>
      </c>
      <c r="B32" t="s">
        <v>253</v>
      </c>
      <c r="D32" s="84">
        <f>AVERAGE(D21:D30)</f>
        <v>1.00886651111384</v>
      </c>
      <c r="E32" s="84" t="s">
        <v>340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125" zoomScaleNormal="125" workbookViewId="0">
      <selection activeCell="D32" sqref="D32"/>
    </sheetView>
  </sheetViews>
  <sheetFormatPr defaultRowHeight="10.5" x14ac:dyDescent="0.15"/>
  <cols>
    <col min="1" max="1" width="10.5" bestFit="1" customWidth="1" collapsed="1"/>
    <col min="2" max="2" width="16.5" customWidth="1" collapsed="1"/>
    <col min="3" max="3" width="15.33203125" customWidth="1" collapsed="1"/>
    <col min="4" max="4" width="11.6640625" customWidth="1" collapsed="1"/>
    <col min="5" max="5" width="13.1640625" customWidth="1" collapsed="1"/>
    <col min="6" max="6" width="8.33203125" customWidth="1" collapsed="1"/>
    <col min="7" max="8" width="10.6640625" customWidth="1" collapsed="1"/>
    <col min="9" max="9" width="8.1640625" customWidth="1" collapsed="1"/>
    <col min="14" max="14" width="21.5" customWidth="1" collapsed="1"/>
  </cols>
  <sheetData>
    <row r="1" spans="1:19" x14ac:dyDescent="0.15">
      <c r="A1" t="s">
        <v>137</v>
      </c>
      <c r="B1" t="s">
        <v>125</v>
      </c>
      <c r="C1" t="s">
        <v>124</v>
      </c>
      <c r="D1" t="s">
        <v>126</v>
      </c>
      <c r="E1" t="s">
        <v>82</v>
      </c>
      <c r="F1" t="s">
        <v>84</v>
      </c>
      <c r="G1" t="s">
        <v>134</v>
      </c>
      <c r="H1" t="s">
        <v>135</v>
      </c>
      <c r="I1" t="s">
        <v>127</v>
      </c>
      <c r="J1" t="s">
        <v>128</v>
      </c>
      <c r="K1" t="s">
        <v>129</v>
      </c>
      <c r="L1" t="s">
        <v>89</v>
      </c>
      <c r="M1" t="s">
        <v>88</v>
      </c>
      <c r="N1" t="s">
        <v>92</v>
      </c>
      <c r="O1" t="s">
        <v>144</v>
      </c>
      <c r="P1" t="s">
        <v>143</v>
      </c>
      <c r="Q1" t="s">
        <v>145</v>
      </c>
      <c r="R1" t="s">
        <v>146</v>
      </c>
      <c r="S1" t="s">
        <v>147</v>
      </c>
    </row>
    <row r="2" spans="1:19" x14ac:dyDescent="0.15">
      <c r="A2" s="11">
        <v>44106</v>
      </c>
      <c r="B2" t="s">
        <v>130</v>
      </c>
      <c r="C2" t="s">
        <v>131</v>
      </c>
      <c r="D2" t="s">
        <v>132</v>
      </c>
      <c r="E2" t="s">
        <v>133</v>
      </c>
      <c r="F2">
        <v>12</v>
      </c>
      <c r="G2">
        <f t="shared" ref="G2:G15" si="0">7^2*PI()/14</f>
        <v>10.995574287564276</v>
      </c>
      <c r="H2">
        <f t="shared" ref="H2:H15" si="1">10000/G2</f>
        <v>909.45681766797338</v>
      </c>
      <c r="I2">
        <v>1</v>
      </c>
      <c r="J2">
        <v>220</v>
      </c>
      <c r="K2">
        <v>232</v>
      </c>
      <c r="L2">
        <f t="shared" ref="L2:L15" si="2">AVERAGE(J2:K2)</f>
        <v>226</v>
      </c>
      <c r="M2">
        <v>188</v>
      </c>
      <c r="N2" t="s">
        <v>136</v>
      </c>
      <c r="O2">
        <f t="shared" ref="O2:O15" si="3">EXP(-3.53769+1.70873*LN(L2/10)+1.35448*LN(M2/10))</f>
        <v>318.58680989348153</v>
      </c>
      <c r="P2">
        <f t="shared" ref="P2:P15" si="4">AVERAGE(O$2:O$15)*H2/1000</f>
        <v>151.06030003181843</v>
      </c>
      <c r="Q2">
        <f t="shared" ref="Q2:Q15" si="5">P2/F2</f>
        <v>12.58835833598487</v>
      </c>
      <c r="R2">
        <f t="shared" ref="R2:R15" si="6">P2*0.33/0.78</f>
        <v>63.91012693653856</v>
      </c>
      <c r="S2">
        <f t="shared" ref="S2:S15" si="7">R2/F2</f>
        <v>5.3258439113782137</v>
      </c>
    </row>
    <row r="3" spans="1:19" x14ac:dyDescent="0.15">
      <c r="A3" s="11">
        <v>44106</v>
      </c>
      <c r="B3" t="s">
        <v>130</v>
      </c>
      <c r="C3" t="s">
        <v>131</v>
      </c>
      <c r="D3" t="s">
        <v>132</v>
      </c>
      <c r="E3" t="s">
        <v>133</v>
      </c>
      <c r="F3">
        <v>12</v>
      </c>
      <c r="G3">
        <f t="shared" si="0"/>
        <v>10.995574287564276</v>
      </c>
      <c r="H3">
        <f t="shared" si="1"/>
        <v>909.45681766797338</v>
      </c>
      <c r="I3">
        <v>2</v>
      </c>
      <c r="J3">
        <v>212</v>
      </c>
      <c r="K3">
        <v>217</v>
      </c>
      <c r="L3">
        <f t="shared" si="2"/>
        <v>214.5</v>
      </c>
      <c r="M3">
        <v>176</v>
      </c>
      <c r="N3" t="s">
        <v>136</v>
      </c>
      <c r="O3">
        <f t="shared" si="3"/>
        <v>266.48484578172895</v>
      </c>
      <c r="P3">
        <f t="shared" si="4"/>
        <v>151.06030003181843</v>
      </c>
      <c r="Q3">
        <f t="shared" si="5"/>
        <v>12.58835833598487</v>
      </c>
      <c r="R3">
        <f t="shared" si="6"/>
        <v>63.91012693653856</v>
      </c>
      <c r="S3">
        <f t="shared" si="7"/>
        <v>5.3258439113782137</v>
      </c>
    </row>
    <row r="4" spans="1:19" x14ac:dyDescent="0.15">
      <c r="A4" s="11">
        <v>44106</v>
      </c>
      <c r="B4" t="s">
        <v>130</v>
      </c>
      <c r="C4" t="s">
        <v>131</v>
      </c>
      <c r="D4" t="s">
        <v>132</v>
      </c>
      <c r="E4" t="s">
        <v>133</v>
      </c>
      <c r="F4">
        <v>12</v>
      </c>
      <c r="G4">
        <f t="shared" si="0"/>
        <v>10.995574287564276</v>
      </c>
      <c r="H4">
        <f t="shared" si="1"/>
        <v>909.45681766797338</v>
      </c>
      <c r="I4">
        <v>3</v>
      </c>
      <c r="J4">
        <v>112</v>
      </c>
      <c r="K4">
        <v>125</v>
      </c>
      <c r="L4">
        <f t="shared" si="2"/>
        <v>118.5</v>
      </c>
      <c r="M4">
        <v>165</v>
      </c>
      <c r="N4" t="s">
        <v>136</v>
      </c>
      <c r="O4">
        <f t="shared" si="3"/>
        <v>88.58356695874113</v>
      </c>
      <c r="P4">
        <f t="shared" si="4"/>
        <v>151.06030003181843</v>
      </c>
      <c r="Q4">
        <f t="shared" si="5"/>
        <v>12.58835833598487</v>
      </c>
      <c r="R4">
        <f t="shared" si="6"/>
        <v>63.91012693653856</v>
      </c>
      <c r="S4">
        <f t="shared" si="7"/>
        <v>5.3258439113782137</v>
      </c>
    </row>
    <row r="5" spans="1:19" x14ac:dyDescent="0.15">
      <c r="A5" s="11">
        <v>44106</v>
      </c>
      <c r="B5" t="s">
        <v>130</v>
      </c>
      <c r="C5" t="s">
        <v>131</v>
      </c>
      <c r="D5" t="s">
        <v>132</v>
      </c>
      <c r="E5" t="s">
        <v>133</v>
      </c>
      <c r="F5">
        <v>12</v>
      </c>
      <c r="G5">
        <f t="shared" si="0"/>
        <v>10.995574287564276</v>
      </c>
      <c r="H5">
        <f t="shared" si="1"/>
        <v>909.45681766797338</v>
      </c>
      <c r="I5">
        <v>4</v>
      </c>
      <c r="J5">
        <v>190</v>
      </c>
      <c r="K5">
        <v>184</v>
      </c>
      <c r="L5">
        <f t="shared" si="2"/>
        <v>187</v>
      </c>
      <c r="M5">
        <v>187</v>
      </c>
      <c r="N5" t="s">
        <v>136</v>
      </c>
      <c r="O5">
        <f t="shared" si="3"/>
        <v>228.83301456527371</v>
      </c>
      <c r="P5">
        <f t="shared" si="4"/>
        <v>151.06030003181843</v>
      </c>
      <c r="Q5">
        <f t="shared" si="5"/>
        <v>12.58835833598487</v>
      </c>
      <c r="R5">
        <f t="shared" si="6"/>
        <v>63.91012693653856</v>
      </c>
      <c r="S5">
        <f t="shared" si="7"/>
        <v>5.3258439113782137</v>
      </c>
    </row>
    <row r="6" spans="1:19" x14ac:dyDescent="0.15">
      <c r="A6" s="11">
        <v>44106</v>
      </c>
      <c r="B6" t="s">
        <v>130</v>
      </c>
      <c r="C6" t="s">
        <v>131</v>
      </c>
      <c r="D6" t="s">
        <v>132</v>
      </c>
      <c r="E6" t="s">
        <v>133</v>
      </c>
      <c r="F6">
        <v>12</v>
      </c>
      <c r="G6">
        <f t="shared" si="0"/>
        <v>10.995574287564276</v>
      </c>
      <c r="H6">
        <f t="shared" si="1"/>
        <v>909.45681766797338</v>
      </c>
      <c r="I6">
        <v>5</v>
      </c>
      <c r="J6">
        <v>89</v>
      </c>
      <c r="K6">
        <v>98</v>
      </c>
      <c r="L6">
        <f t="shared" si="2"/>
        <v>93.5</v>
      </c>
      <c r="M6">
        <v>115</v>
      </c>
      <c r="N6" t="s">
        <v>136</v>
      </c>
      <c r="O6">
        <f t="shared" si="3"/>
        <v>36.236787480172275</v>
      </c>
      <c r="P6">
        <f t="shared" si="4"/>
        <v>151.06030003181843</v>
      </c>
      <c r="Q6">
        <f t="shared" si="5"/>
        <v>12.58835833598487</v>
      </c>
      <c r="R6">
        <f t="shared" si="6"/>
        <v>63.91012693653856</v>
      </c>
      <c r="S6">
        <f t="shared" si="7"/>
        <v>5.3258439113782137</v>
      </c>
    </row>
    <row r="7" spans="1:19" x14ac:dyDescent="0.15">
      <c r="A7" s="11">
        <v>44106</v>
      </c>
      <c r="B7" t="s">
        <v>130</v>
      </c>
      <c r="C7" t="s">
        <v>131</v>
      </c>
      <c r="D7" t="s">
        <v>132</v>
      </c>
      <c r="E7" t="s">
        <v>133</v>
      </c>
      <c r="F7">
        <v>12</v>
      </c>
      <c r="G7">
        <f t="shared" si="0"/>
        <v>10.995574287564276</v>
      </c>
      <c r="H7">
        <f t="shared" si="1"/>
        <v>909.45681766797338</v>
      </c>
      <c r="I7">
        <v>6</v>
      </c>
      <c r="J7">
        <v>170</v>
      </c>
      <c r="K7">
        <v>193</v>
      </c>
      <c r="L7">
        <f t="shared" si="2"/>
        <v>181.5</v>
      </c>
      <c r="M7">
        <v>191</v>
      </c>
      <c r="N7" t="s">
        <v>136</v>
      </c>
      <c r="O7">
        <f t="shared" si="3"/>
        <v>223.77681717416513</v>
      </c>
      <c r="P7">
        <f t="shared" si="4"/>
        <v>151.06030003181843</v>
      </c>
      <c r="Q7">
        <f t="shared" si="5"/>
        <v>12.58835833598487</v>
      </c>
      <c r="R7">
        <f t="shared" si="6"/>
        <v>63.91012693653856</v>
      </c>
      <c r="S7">
        <f t="shared" si="7"/>
        <v>5.3258439113782137</v>
      </c>
    </row>
    <row r="8" spans="1:19" x14ac:dyDescent="0.15">
      <c r="A8" s="11">
        <v>44106</v>
      </c>
      <c r="B8" t="s">
        <v>130</v>
      </c>
      <c r="C8" t="s">
        <v>131</v>
      </c>
      <c r="D8" t="s">
        <v>132</v>
      </c>
      <c r="E8" t="s">
        <v>133</v>
      </c>
      <c r="F8">
        <v>12</v>
      </c>
      <c r="G8">
        <f t="shared" si="0"/>
        <v>10.995574287564276</v>
      </c>
      <c r="H8">
        <f t="shared" si="1"/>
        <v>909.45681766797338</v>
      </c>
      <c r="I8">
        <v>7</v>
      </c>
      <c r="J8">
        <v>105</v>
      </c>
      <c r="K8">
        <v>110</v>
      </c>
      <c r="L8">
        <f t="shared" si="2"/>
        <v>107.5</v>
      </c>
      <c r="M8">
        <v>128</v>
      </c>
      <c r="N8" t="s">
        <v>136</v>
      </c>
      <c r="O8">
        <f t="shared" si="3"/>
        <v>53.173236961141832</v>
      </c>
      <c r="P8">
        <f t="shared" si="4"/>
        <v>151.06030003181843</v>
      </c>
      <c r="Q8">
        <f t="shared" si="5"/>
        <v>12.58835833598487</v>
      </c>
      <c r="R8">
        <f t="shared" si="6"/>
        <v>63.91012693653856</v>
      </c>
      <c r="S8">
        <f t="shared" si="7"/>
        <v>5.3258439113782137</v>
      </c>
    </row>
    <row r="9" spans="1:19" x14ac:dyDescent="0.15">
      <c r="A9" s="11">
        <v>44106</v>
      </c>
      <c r="B9" t="s">
        <v>130</v>
      </c>
      <c r="C9" t="s">
        <v>131</v>
      </c>
      <c r="D9" t="s">
        <v>132</v>
      </c>
      <c r="E9" t="s">
        <v>133</v>
      </c>
      <c r="F9">
        <v>12</v>
      </c>
      <c r="G9">
        <f t="shared" si="0"/>
        <v>10.995574287564276</v>
      </c>
      <c r="H9">
        <f t="shared" si="1"/>
        <v>909.45681766797338</v>
      </c>
      <c r="I9">
        <v>8</v>
      </c>
      <c r="J9">
        <v>133</v>
      </c>
      <c r="K9">
        <v>146</v>
      </c>
      <c r="L9">
        <f t="shared" si="2"/>
        <v>139.5</v>
      </c>
      <c r="M9">
        <v>133</v>
      </c>
      <c r="N9" t="s">
        <v>136</v>
      </c>
      <c r="O9">
        <f t="shared" si="3"/>
        <v>87.418552438346808</v>
      </c>
      <c r="P9">
        <f t="shared" si="4"/>
        <v>151.06030003181843</v>
      </c>
      <c r="Q9">
        <f t="shared" si="5"/>
        <v>12.58835833598487</v>
      </c>
      <c r="R9">
        <f t="shared" si="6"/>
        <v>63.91012693653856</v>
      </c>
      <c r="S9">
        <f t="shared" si="7"/>
        <v>5.3258439113782137</v>
      </c>
    </row>
    <row r="10" spans="1:19" x14ac:dyDescent="0.15">
      <c r="A10" s="11">
        <v>44106</v>
      </c>
      <c r="B10" t="s">
        <v>130</v>
      </c>
      <c r="C10" t="s">
        <v>131</v>
      </c>
      <c r="D10" t="s">
        <v>132</v>
      </c>
      <c r="E10" t="s">
        <v>133</v>
      </c>
      <c r="F10">
        <v>12</v>
      </c>
      <c r="G10">
        <f t="shared" si="0"/>
        <v>10.995574287564276</v>
      </c>
      <c r="H10">
        <f t="shared" si="1"/>
        <v>909.45681766797338</v>
      </c>
      <c r="I10">
        <v>9</v>
      </c>
      <c r="J10">
        <v>240</v>
      </c>
      <c r="K10">
        <v>257</v>
      </c>
      <c r="L10">
        <f t="shared" si="2"/>
        <v>248.5</v>
      </c>
      <c r="M10">
        <v>200</v>
      </c>
      <c r="N10" t="s">
        <v>136</v>
      </c>
      <c r="O10">
        <f t="shared" si="3"/>
        <v>407.43274551766137</v>
      </c>
      <c r="P10">
        <f t="shared" si="4"/>
        <v>151.06030003181843</v>
      </c>
      <c r="Q10">
        <f t="shared" si="5"/>
        <v>12.58835833598487</v>
      </c>
      <c r="R10">
        <f t="shared" si="6"/>
        <v>63.91012693653856</v>
      </c>
      <c r="S10">
        <f t="shared" si="7"/>
        <v>5.3258439113782137</v>
      </c>
    </row>
    <row r="11" spans="1:19" x14ac:dyDescent="0.15">
      <c r="A11" s="11">
        <v>44106</v>
      </c>
      <c r="B11" t="s">
        <v>130</v>
      </c>
      <c r="C11" t="s">
        <v>131</v>
      </c>
      <c r="D11" t="s">
        <v>132</v>
      </c>
      <c r="E11" t="s">
        <v>133</v>
      </c>
      <c r="F11">
        <v>12</v>
      </c>
      <c r="G11">
        <f t="shared" si="0"/>
        <v>10.995574287564276</v>
      </c>
      <c r="H11">
        <f t="shared" si="1"/>
        <v>909.45681766797338</v>
      </c>
      <c r="I11">
        <v>10</v>
      </c>
      <c r="J11">
        <v>81</v>
      </c>
      <c r="K11">
        <v>88</v>
      </c>
      <c r="L11">
        <f t="shared" si="2"/>
        <v>84.5</v>
      </c>
      <c r="M11">
        <v>96</v>
      </c>
      <c r="N11" t="s">
        <v>136</v>
      </c>
      <c r="O11">
        <f t="shared" si="3"/>
        <v>23.867963131642902</v>
      </c>
      <c r="P11">
        <f t="shared" si="4"/>
        <v>151.06030003181843</v>
      </c>
      <c r="Q11">
        <f t="shared" si="5"/>
        <v>12.58835833598487</v>
      </c>
      <c r="R11">
        <f t="shared" si="6"/>
        <v>63.91012693653856</v>
      </c>
      <c r="S11">
        <f t="shared" si="7"/>
        <v>5.3258439113782137</v>
      </c>
    </row>
    <row r="12" spans="1:19" x14ac:dyDescent="0.15">
      <c r="A12" s="11">
        <v>44106</v>
      </c>
      <c r="B12" t="s">
        <v>130</v>
      </c>
      <c r="C12" t="s">
        <v>131</v>
      </c>
      <c r="D12" t="s">
        <v>132</v>
      </c>
      <c r="E12" t="s">
        <v>133</v>
      </c>
      <c r="F12">
        <v>12</v>
      </c>
      <c r="G12">
        <f t="shared" si="0"/>
        <v>10.995574287564276</v>
      </c>
      <c r="H12">
        <f t="shared" si="1"/>
        <v>909.45681766797338</v>
      </c>
      <c r="I12">
        <v>11</v>
      </c>
      <c r="J12">
        <v>79</v>
      </c>
      <c r="K12">
        <v>76</v>
      </c>
      <c r="L12">
        <f t="shared" si="2"/>
        <v>77.5</v>
      </c>
      <c r="M12">
        <v>96</v>
      </c>
      <c r="N12" t="s">
        <v>136</v>
      </c>
      <c r="O12">
        <f t="shared" si="3"/>
        <v>20.58941428098947</v>
      </c>
      <c r="P12">
        <f t="shared" si="4"/>
        <v>151.06030003181843</v>
      </c>
      <c r="Q12">
        <f t="shared" si="5"/>
        <v>12.58835833598487</v>
      </c>
      <c r="R12">
        <f t="shared" si="6"/>
        <v>63.91012693653856</v>
      </c>
      <c r="S12">
        <f t="shared" si="7"/>
        <v>5.3258439113782137</v>
      </c>
    </row>
    <row r="13" spans="1:19" x14ac:dyDescent="0.15">
      <c r="A13" s="11">
        <v>44106</v>
      </c>
      <c r="B13" t="s">
        <v>130</v>
      </c>
      <c r="C13" t="s">
        <v>131</v>
      </c>
      <c r="D13" t="s">
        <v>132</v>
      </c>
      <c r="E13" t="s">
        <v>133</v>
      </c>
      <c r="F13">
        <v>12</v>
      </c>
      <c r="G13">
        <f t="shared" si="0"/>
        <v>10.995574287564276</v>
      </c>
      <c r="H13">
        <f t="shared" si="1"/>
        <v>909.45681766797338</v>
      </c>
      <c r="I13">
        <v>12</v>
      </c>
      <c r="J13">
        <v>183</v>
      </c>
      <c r="K13">
        <v>184</v>
      </c>
      <c r="L13">
        <f t="shared" si="2"/>
        <v>183.5</v>
      </c>
      <c r="M13">
        <v>186</v>
      </c>
      <c r="N13" t="s">
        <v>136</v>
      </c>
      <c r="O13">
        <f t="shared" si="3"/>
        <v>219.95989640969592</v>
      </c>
      <c r="P13">
        <f t="shared" si="4"/>
        <v>151.06030003181843</v>
      </c>
      <c r="Q13">
        <f t="shared" si="5"/>
        <v>12.58835833598487</v>
      </c>
      <c r="R13">
        <f t="shared" si="6"/>
        <v>63.91012693653856</v>
      </c>
      <c r="S13">
        <f t="shared" si="7"/>
        <v>5.3258439113782137</v>
      </c>
    </row>
    <row r="14" spans="1:19" x14ac:dyDescent="0.15">
      <c r="A14" s="11">
        <v>44106</v>
      </c>
      <c r="B14" t="s">
        <v>130</v>
      </c>
      <c r="C14" t="s">
        <v>131</v>
      </c>
      <c r="D14" t="s">
        <v>132</v>
      </c>
      <c r="E14" t="s">
        <v>133</v>
      </c>
      <c r="F14">
        <v>12</v>
      </c>
      <c r="G14">
        <f t="shared" si="0"/>
        <v>10.995574287564276</v>
      </c>
      <c r="H14">
        <f t="shared" si="1"/>
        <v>909.45681766797338</v>
      </c>
      <c r="I14">
        <v>13</v>
      </c>
      <c r="J14">
        <v>138</v>
      </c>
      <c r="K14">
        <v>139</v>
      </c>
      <c r="L14">
        <f t="shared" si="2"/>
        <v>138.5</v>
      </c>
      <c r="M14">
        <v>156</v>
      </c>
      <c r="N14" t="s">
        <v>136</v>
      </c>
      <c r="O14">
        <f t="shared" si="3"/>
        <v>107.17503440471498</v>
      </c>
      <c r="P14">
        <f t="shared" si="4"/>
        <v>151.06030003181843</v>
      </c>
      <c r="Q14">
        <f t="shared" si="5"/>
        <v>12.58835833598487</v>
      </c>
      <c r="R14">
        <f t="shared" si="6"/>
        <v>63.91012693653856</v>
      </c>
      <c r="S14">
        <f t="shared" si="7"/>
        <v>5.3258439113782137</v>
      </c>
    </row>
    <row r="15" spans="1:19" x14ac:dyDescent="0.15">
      <c r="A15" s="11">
        <v>44106</v>
      </c>
      <c r="B15" t="s">
        <v>130</v>
      </c>
      <c r="C15" t="s">
        <v>131</v>
      </c>
      <c r="D15" t="s">
        <v>132</v>
      </c>
      <c r="E15" t="s">
        <v>133</v>
      </c>
      <c r="F15">
        <v>12</v>
      </c>
      <c r="G15">
        <f t="shared" si="0"/>
        <v>10.995574287564276</v>
      </c>
      <c r="H15">
        <f t="shared" si="1"/>
        <v>909.45681766797338</v>
      </c>
      <c r="I15">
        <v>14</v>
      </c>
      <c r="J15">
        <v>225</v>
      </c>
      <c r="K15">
        <v>199</v>
      </c>
      <c r="L15">
        <f t="shared" si="2"/>
        <v>212</v>
      </c>
      <c r="M15">
        <v>167</v>
      </c>
      <c r="N15" t="s">
        <v>136</v>
      </c>
      <c r="O15">
        <f t="shared" si="3"/>
        <v>243.27396626449428</v>
      </c>
      <c r="P15">
        <f t="shared" si="4"/>
        <v>151.06030003181843</v>
      </c>
      <c r="Q15">
        <f t="shared" si="5"/>
        <v>12.58835833598487</v>
      </c>
      <c r="R15">
        <f t="shared" si="6"/>
        <v>63.91012693653856</v>
      </c>
      <c r="S15">
        <f t="shared" si="7"/>
        <v>5.3258439113782137</v>
      </c>
    </row>
    <row r="18" spans="1:4" x14ac:dyDescent="0.15">
      <c r="A18" t="s">
        <v>254</v>
      </c>
    </row>
    <row r="19" spans="1:4" x14ac:dyDescent="0.15">
      <c r="A19" t="s">
        <v>255</v>
      </c>
    </row>
    <row r="20" spans="1:4" x14ac:dyDescent="0.15">
      <c r="A20" t="s">
        <v>228</v>
      </c>
      <c r="B20" t="s">
        <v>229</v>
      </c>
      <c r="D20" t="s">
        <v>251</v>
      </c>
    </row>
    <row r="21" spans="1:4" x14ac:dyDescent="0.15">
      <c r="A21">
        <v>1699</v>
      </c>
      <c r="B21">
        <v>428.5</v>
      </c>
      <c r="D21">
        <f t="shared" ref="D21:D30" si="8">B21/$A$33</f>
        <v>1.0524376765319907</v>
      </c>
    </row>
    <row r="22" spans="1:4" x14ac:dyDescent="0.15">
      <c r="A22">
        <v>1697</v>
      </c>
      <c r="B22">
        <v>400.5</v>
      </c>
      <c r="D22">
        <f t="shared" si="8"/>
        <v>0.98366695321134723</v>
      </c>
    </row>
    <row r="23" spans="1:4" x14ac:dyDescent="0.15">
      <c r="A23">
        <v>1694</v>
      </c>
      <c r="B23">
        <v>441.6</v>
      </c>
      <c r="D23">
        <f t="shared" si="8"/>
        <v>1.0846125506570061</v>
      </c>
    </row>
    <row r="24" spans="1:4" x14ac:dyDescent="0.15">
      <c r="A24">
        <v>1696</v>
      </c>
      <c r="B24">
        <v>408.2</v>
      </c>
      <c r="D24">
        <f t="shared" si="8"/>
        <v>1.0025789021245242</v>
      </c>
    </row>
    <row r="25" spans="1:4" x14ac:dyDescent="0.15">
      <c r="A25">
        <v>1695</v>
      </c>
      <c r="B25">
        <v>401.3</v>
      </c>
      <c r="D25">
        <f t="shared" si="8"/>
        <v>0.98563183102050844</v>
      </c>
    </row>
    <row r="26" spans="1:4" x14ac:dyDescent="0.15">
      <c r="A26">
        <v>1429</v>
      </c>
      <c r="B26">
        <v>428.9</v>
      </c>
      <c r="D26">
        <f t="shared" si="8"/>
        <v>1.0534201154365712</v>
      </c>
    </row>
    <row r="27" spans="1:4" x14ac:dyDescent="0.15">
      <c r="A27">
        <v>1692</v>
      </c>
      <c r="B27">
        <v>392.8</v>
      </c>
      <c r="D27">
        <f t="shared" si="8"/>
        <v>0.96475500429817029</v>
      </c>
    </row>
    <row r="28" spans="1:4" x14ac:dyDescent="0.15">
      <c r="A28">
        <v>1700</v>
      </c>
      <c r="B28">
        <v>411.4</v>
      </c>
      <c r="D28">
        <f t="shared" si="8"/>
        <v>1.010438413361169</v>
      </c>
    </row>
    <row r="29" spans="1:4" x14ac:dyDescent="0.15">
      <c r="A29">
        <v>1691</v>
      </c>
      <c r="B29">
        <v>397.3</v>
      </c>
      <c r="D29">
        <f t="shared" si="8"/>
        <v>0.97580744197470226</v>
      </c>
    </row>
    <row r="30" spans="1:4" x14ac:dyDescent="0.15">
      <c r="A30">
        <v>1693</v>
      </c>
      <c r="B30">
        <v>426.2</v>
      </c>
      <c r="D30">
        <f t="shared" si="8"/>
        <v>1.046788652830652</v>
      </c>
    </row>
    <row r="32" spans="1:4" s="76" customFormat="1" x14ac:dyDescent="0.15">
      <c r="A32" s="76" t="s">
        <v>343</v>
      </c>
      <c r="D32" s="76">
        <f>AVERAGE(D21:D30)</f>
        <v>1.0160137541446641</v>
      </c>
    </row>
    <row r="33" spans="1:2" x14ac:dyDescent="0.15">
      <c r="A33">
        <v>407.15</v>
      </c>
      <c r="B33" t="s">
        <v>253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D51" sqref="D51"/>
    </sheetView>
  </sheetViews>
  <sheetFormatPr defaultRowHeight="10.5" x14ac:dyDescent="0.15"/>
  <cols>
    <col min="1" max="1" width="13.1640625" customWidth="1" collapsed="1"/>
    <col min="2" max="2" width="15.1640625" customWidth="1" collapsed="1"/>
    <col min="3" max="3" width="16.5" customWidth="1" collapsed="1"/>
    <col min="4" max="4" width="18.33203125" customWidth="1" collapsed="1"/>
    <col min="5" max="5" width="12.1640625" customWidth="1" collapsed="1"/>
    <col min="7" max="7" width="12.6640625" customWidth="1" collapsed="1"/>
    <col min="8" max="8" width="11.5" customWidth="1" collapsed="1"/>
    <col min="14" max="14" width="25.6640625" customWidth="1" collapsed="1"/>
  </cols>
  <sheetData>
    <row r="1" spans="1:19" x14ac:dyDescent="0.15">
      <c r="A1" t="s">
        <v>137</v>
      </c>
      <c r="B1" t="s">
        <v>125</v>
      </c>
      <c r="C1" t="s">
        <v>124</v>
      </c>
      <c r="D1" t="s">
        <v>126</v>
      </c>
      <c r="E1" t="s">
        <v>82</v>
      </c>
      <c r="F1" t="s">
        <v>84</v>
      </c>
      <c r="G1" t="s">
        <v>134</v>
      </c>
      <c r="H1" t="s">
        <v>135</v>
      </c>
      <c r="I1" t="s">
        <v>127</v>
      </c>
      <c r="J1" t="s">
        <v>128</v>
      </c>
      <c r="K1" t="s">
        <v>129</v>
      </c>
      <c r="L1" t="s">
        <v>89</v>
      </c>
      <c r="M1" t="s">
        <v>88</v>
      </c>
      <c r="N1" t="s">
        <v>92</v>
      </c>
      <c r="O1" t="s">
        <v>144</v>
      </c>
      <c r="P1" t="s">
        <v>143</v>
      </c>
      <c r="Q1" t="s">
        <v>145</v>
      </c>
      <c r="R1" t="s">
        <v>146</v>
      </c>
      <c r="S1" t="s">
        <v>147</v>
      </c>
    </row>
    <row r="2" spans="1:19" x14ac:dyDescent="0.15">
      <c r="A2" s="11">
        <v>44106</v>
      </c>
      <c r="B2" t="s">
        <v>138</v>
      </c>
      <c r="C2" t="s">
        <v>131</v>
      </c>
      <c r="D2" t="s">
        <v>139</v>
      </c>
      <c r="E2" t="s">
        <v>120</v>
      </c>
      <c r="F2">
        <v>12</v>
      </c>
      <c r="G2">
        <f>7^2*PI()/33</f>
        <v>4.664789091693935</v>
      </c>
      <c r="H2">
        <f>10000/G2</f>
        <v>2143.7196416459374</v>
      </c>
      <c r="I2">
        <v>1</v>
      </c>
      <c r="J2">
        <v>170</v>
      </c>
      <c r="K2">
        <v>170</v>
      </c>
      <c r="L2">
        <f>AVERAGE(J2:K2)</f>
        <v>170</v>
      </c>
      <c r="M2">
        <v>189</v>
      </c>
      <c r="O2">
        <f>EXP(-3.53769+1.70873*LN(L2/10)+1.35448*LN(M2/10))</f>
        <v>197.26394959163554</v>
      </c>
      <c r="P2">
        <f>AVERAGE(O$2:O$34)*H2/1000</f>
        <v>186.21083834775862</v>
      </c>
      <c r="Q2">
        <f>P2/F2</f>
        <v>15.517569862313218</v>
      </c>
      <c r="R2">
        <f>P2*0.33/0.8</f>
        <v>76.811970818450433</v>
      </c>
      <c r="S2">
        <f>R2/F2</f>
        <v>6.4009975682042031</v>
      </c>
    </row>
    <row r="3" spans="1:19" x14ac:dyDescent="0.15">
      <c r="A3" s="11">
        <v>44106</v>
      </c>
      <c r="B3" t="s">
        <v>138</v>
      </c>
      <c r="C3" t="s">
        <v>131</v>
      </c>
      <c r="D3" t="s">
        <v>139</v>
      </c>
      <c r="E3" t="s">
        <v>120</v>
      </c>
      <c r="F3">
        <v>12</v>
      </c>
      <c r="G3">
        <f t="shared" ref="G3:G34" si="0">7^2*PI()/33</f>
        <v>4.664789091693935</v>
      </c>
      <c r="H3">
        <f t="shared" ref="H3:H34" si="1">10000/G3</f>
        <v>2143.7196416459374</v>
      </c>
      <c r="I3">
        <v>2</v>
      </c>
      <c r="J3">
        <v>79</v>
      </c>
      <c r="K3">
        <v>82</v>
      </c>
      <c r="L3">
        <f t="shared" ref="L3:L34" si="2">AVERAGE(J3:K3)</f>
        <v>80.5</v>
      </c>
      <c r="M3">
        <v>129</v>
      </c>
      <c r="O3">
        <f t="shared" ref="O3:O34" si="3">EXP(-3.53769+1.70873*LN(L3/10)+1.35448*LN(M3/10))</f>
        <v>32.78180780704205</v>
      </c>
      <c r="P3">
        <f t="shared" ref="P3:P34" si="4">AVERAGE(O$2:O$34)*H3/1000</f>
        <v>186.21083834775862</v>
      </c>
      <c r="Q3">
        <f t="shared" ref="Q3:Q34" si="5">P3/F3</f>
        <v>15.517569862313218</v>
      </c>
      <c r="R3">
        <f t="shared" ref="R3:R34" si="6">P3*0.33/0.8</f>
        <v>76.811970818450433</v>
      </c>
      <c r="S3">
        <f t="shared" ref="S3:S34" si="7">R3/F3</f>
        <v>6.4009975682042031</v>
      </c>
    </row>
    <row r="4" spans="1:19" x14ac:dyDescent="0.15">
      <c r="A4" s="11">
        <v>44106</v>
      </c>
      <c r="B4" t="s">
        <v>138</v>
      </c>
      <c r="C4" t="s">
        <v>131</v>
      </c>
      <c r="D4" t="s">
        <v>139</v>
      </c>
      <c r="E4" t="s">
        <v>120</v>
      </c>
      <c r="F4">
        <v>12</v>
      </c>
      <c r="G4">
        <f t="shared" si="0"/>
        <v>4.664789091693935</v>
      </c>
      <c r="H4">
        <f t="shared" si="1"/>
        <v>2143.7196416459374</v>
      </c>
      <c r="I4">
        <v>3</v>
      </c>
      <c r="J4">
        <v>101</v>
      </c>
      <c r="K4">
        <v>93</v>
      </c>
      <c r="L4">
        <f t="shared" si="2"/>
        <v>97</v>
      </c>
      <c r="M4">
        <v>157</v>
      </c>
      <c r="O4">
        <f t="shared" si="3"/>
        <v>58.823299476334654</v>
      </c>
      <c r="P4">
        <f t="shared" si="4"/>
        <v>186.21083834775862</v>
      </c>
      <c r="Q4">
        <f t="shared" si="5"/>
        <v>15.517569862313218</v>
      </c>
      <c r="R4">
        <f t="shared" si="6"/>
        <v>76.811970818450433</v>
      </c>
      <c r="S4">
        <f t="shared" si="7"/>
        <v>6.4009975682042031</v>
      </c>
    </row>
    <row r="5" spans="1:19" x14ac:dyDescent="0.15">
      <c r="A5" s="11">
        <v>44106</v>
      </c>
      <c r="B5" t="s">
        <v>138</v>
      </c>
      <c r="C5" t="s">
        <v>131</v>
      </c>
      <c r="D5" t="s">
        <v>139</v>
      </c>
      <c r="E5" t="s">
        <v>120</v>
      </c>
      <c r="F5">
        <v>12</v>
      </c>
      <c r="G5">
        <f t="shared" si="0"/>
        <v>4.664789091693935</v>
      </c>
      <c r="H5">
        <f t="shared" si="1"/>
        <v>2143.7196416459374</v>
      </c>
      <c r="I5">
        <v>4</v>
      </c>
      <c r="J5">
        <v>159</v>
      </c>
      <c r="K5">
        <v>163</v>
      </c>
      <c r="L5">
        <f t="shared" si="2"/>
        <v>161</v>
      </c>
      <c r="M5">
        <v>165</v>
      </c>
      <c r="O5">
        <f t="shared" si="3"/>
        <v>149.55398380821023</v>
      </c>
      <c r="P5">
        <f t="shared" si="4"/>
        <v>186.21083834775862</v>
      </c>
      <c r="Q5">
        <f t="shared" si="5"/>
        <v>15.517569862313218</v>
      </c>
      <c r="R5">
        <f t="shared" si="6"/>
        <v>76.811970818450433</v>
      </c>
      <c r="S5">
        <f t="shared" si="7"/>
        <v>6.4009975682042031</v>
      </c>
    </row>
    <row r="6" spans="1:19" x14ac:dyDescent="0.15">
      <c r="A6" s="11">
        <v>44106</v>
      </c>
      <c r="B6" t="s">
        <v>138</v>
      </c>
      <c r="C6" t="s">
        <v>131</v>
      </c>
      <c r="D6" t="s">
        <v>139</v>
      </c>
      <c r="E6" t="s">
        <v>120</v>
      </c>
      <c r="F6">
        <v>12</v>
      </c>
      <c r="G6">
        <f t="shared" si="0"/>
        <v>4.664789091693935</v>
      </c>
      <c r="H6">
        <f t="shared" si="1"/>
        <v>2143.7196416459374</v>
      </c>
      <c r="I6">
        <v>5</v>
      </c>
      <c r="J6">
        <v>118</v>
      </c>
      <c r="K6">
        <v>119</v>
      </c>
      <c r="L6">
        <f t="shared" si="2"/>
        <v>118.5</v>
      </c>
      <c r="M6">
        <v>155</v>
      </c>
      <c r="O6">
        <f t="shared" si="3"/>
        <v>81.390926015042453</v>
      </c>
      <c r="P6">
        <f t="shared" si="4"/>
        <v>186.21083834775862</v>
      </c>
      <c r="Q6">
        <f t="shared" si="5"/>
        <v>15.517569862313218</v>
      </c>
      <c r="R6">
        <f t="shared" si="6"/>
        <v>76.811970818450433</v>
      </c>
      <c r="S6">
        <f t="shared" si="7"/>
        <v>6.4009975682042031</v>
      </c>
    </row>
    <row r="7" spans="1:19" x14ac:dyDescent="0.15">
      <c r="A7" s="11">
        <v>44106</v>
      </c>
      <c r="B7" t="s">
        <v>138</v>
      </c>
      <c r="C7" t="s">
        <v>131</v>
      </c>
      <c r="D7" t="s">
        <v>139</v>
      </c>
      <c r="E7" t="s">
        <v>120</v>
      </c>
      <c r="F7">
        <v>12</v>
      </c>
      <c r="G7">
        <f t="shared" si="0"/>
        <v>4.664789091693935</v>
      </c>
      <c r="H7">
        <f t="shared" si="1"/>
        <v>2143.7196416459374</v>
      </c>
      <c r="I7">
        <v>6</v>
      </c>
      <c r="J7">
        <v>67</v>
      </c>
      <c r="K7">
        <v>65</v>
      </c>
      <c r="L7">
        <f t="shared" si="2"/>
        <v>66</v>
      </c>
      <c r="M7">
        <v>122</v>
      </c>
      <c r="O7">
        <f t="shared" si="3"/>
        <v>21.64874509096699</v>
      </c>
      <c r="P7">
        <f t="shared" si="4"/>
        <v>186.21083834775862</v>
      </c>
      <c r="Q7">
        <f t="shared" si="5"/>
        <v>15.517569862313218</v>
      </c>
      <c r="R7">
        <f t="shared" si="6"/>
        <v>76.811970818450433</v>
      </c>
      <c r="S7">
        <f t="shared" si="7"/>
        <v>6.4009975682042031</v>
      </c>
    </row>
    <row r="8" spans="1:19" x14ac:dyDescent="0.15">
      <c r="A8" s="11">
        <v>44106</v>
      </c>
      <c r="B8" t="s">
        <v>138</v>
      </c>
      <c r="C8" t="s">
        <v>131</v>
      </c>
      <c r="D8" t="s">
        <v>139</v>
      </c>
      <c r="E8" t="s">
        <v>120</v>
      </c>
      <c r="F8">
        <v>12</v>
      </c>
      <c r="G8">
        <f t="shared" si="0"/>
        <v>4.664789091693935</v>
      </c>
      <c r="H8">
        <f t="shared" si="1"/>
        <v>2143.7196416459374</v>
      </c>
      <c r="I8">
        <v>7</v>
      </c>
      <c r="J8">
        <v>115</v>
      </c>
      <c r="K8">
        <v>112</v>
      </c>
      <c r="L8">
        <f t="shared" si="2"/>
        <v>113.5</v>
      </c>
      <c r="M8">
        <v>161</v>
      </c>
      <c r="O8">
        <f t="shared" si="3"/>
        <v>79.602250344212578</v>
      </c>
      <c r="P8">
        <f t="shared" si="4"/>
        <v>186.21083834775862</v>
      </c>
      <c r="Q8">
        <f t="shared" si="5"/>
        <v>15.517569862313218</v>
      </c>
      <c r="R8">
        <f t="shared" si="6"/>
        <v>76.811970818450433</v>
      </c>
      <c r="S8">
        <f t="shared" si="7"/>
        <v>6.4009975682042031</v>
      </c>
    </row>
    <row r="9" spans="1:19" x14ac:dyDescent="0.15">
      <c r="A9" s="11">
        <v>44106</v>
      </c>
      <c r="B9" t="s">
        <v>138</v>
      </c>
      <c r="C9" t="s">
        <v>131</v>
      </c>
      <c r="D9" t="s">
        <v>139</v>
      </c>
      <c r="E9" t="s">
        <v>120</v>
      </c>
      <c r="F9">
        <v>12</v>
      </c>
      <c r="G9">
        <f t="shared" si="0"/>
        <v>4.664789091693935</v>
      </c>
      <c r="H9">
        <f t="shared" si="1"/>
        <v>2143.7196416459374</v>
      </c>
      <c r="I9">
        <v>8</v>
      </c>
      <c r="J9">
        <v>119</v>
      </c>
      <c r="K9">
        <v>116</v>
      </c>
      <c r="L9">
        <f t="shared" si="2"/>
        <v>117.5</v>
      </c>
      <c r="M9">
        <v>154</v>
      </c>
      <c r="O9">
        <f t="shared" si="3"/>
        <v>79.520595575536944</v>
      </c>
      <c r="P9">
        <f t="shared" si="4"/>
        <v>186.21083834775862</v>
      </c>
      <c r="Q9">
        <f t="shared" si="5"/>
        <v>15.517569862313218</v>
      </c>
      <c r="R9">
        <f t="shared" si="6"/>
        <v>76.811970818450433</v>
      </c>
      <c r="S9">
        <f t="shared" si="7"/>
        <v>6.4009975682042031</v>
      </c>
    </row>
    <row r="10" spans="1:19" x14ac:dyDescent="0.15">
      <c r="A10" s="11">
        <v>44106</v>
      </c>
      <c r="B10" t="s">
        <v>138</v>
      </c>
      <c r="C10" t="s">
        <v>131</v>
      </c>
      <c r="D10" t="s">
        <v>139</v>
      </c>
      <c r="E10" t="s">
        <v>120</v>
      </c>
      <c r="F10">
        <v>12</v>
      </c>
      <c r="G10">
        <f t="shared" si="0"/>
        <v>4.664789091693935</v>
      </c>
      <c r="H10">
        <f t="shared" si="1"/>
        <v>2143.7196416459374</v>
      </c>
      <c r="I10">
        <v>9</v>
      </c>
      <c r="J10">
        <v>125</v>
      </c>
      <c r="K10">
        <v>123</v>
      </c>
      <c r="L10">
        <f t="shared" si="2"/>
        <v>124</v>
      </c>
      <c r="M10">
        <v>155</v>
      </c>
      <c r="O10">
        <f t="shared" si="3"/>
        <v>87.951584703288361</v>
      </c>
      <c r="P10">
        <f t="shared" si="4"/>
        <v>186.21083834775862</v>
      </c>
      <c r="Q10">
        <f t="shared" si="5"/>
        <v>15.517569862313218</v>
      </c>
      <c r="R10">
        <f t="shared" si="6"/>
        <v>76.811970818450433</v>
      </c>
      <c r="S10">
        <f t="shared" si="7"/>
        <v>6.4009975682042031</v>
      </c>
    </row>
    <row r="11" spans="1:19" x14ac:dyDescent="0.15">
      <c r="A11" s="11">
        <v>44106</v>
      </c>
      <c r="B11" t="s">
        <v>138</v>
      </c>
      <c r="C11" t="s">
        <v>131</v>
      </c>
      <c r="D11" t="s">
        <v>139</v>
      </c>
      <c r="E11" t="s">
        <v>120</v>
      </c>
      <c r="F11">
        <v>12</v>
      </c>
      <c r="G11">
        <f t="shared" si="0"/>
        <v>4.664789091693935</v>
      </c>
      <c r="H11">
        <f t="shared" si="1"/>
        <v>2143.7196416459374</v>
      </c>
      <c r="I11">
        <v>10</v>
      </c>
      <c r="J11">
        <v>97</v>
      </c>
      <c r="K11">
        <v>99</v>
      </c>
      <c r="L11">
        <f t="shared" si="2"/>
        <v>98</v>
      </c>
      <c r="M11">
        <v>150</v>
      </c>
      <c r="O11">
        <f t="shared" si="3"/>
        <v>56.276952971840274</v>
      </c>
      <c r="P11">
        <f t="shared" si="4"/>
        <v>186.21083834775862</v>
      </c>
      <c r="Q11">
        <f t="shared" si="5"/>
        <v>15.517569862313218</v>
      </c>
      <c r="R11">
        <f t="shared" si="6"/>
        <v>76.811970818450433</v>
      </c>
      <c r="S11">
        <f t="shared" si="7"/>
        <v>6.4009975682042031</v>
      </c>
    </row>
    <row r="12" spans="1:19" x14ac:dyDescent="0.15">
      <c r="A12" s="11">
        <v>44106</v>
      </c>
      <c r="B12" t="s">
        <v>138</v>
      </c>
      <c r="C12" t="s">
        <v>131</v>
      </c>
      <c r="D12" t="s">
        <v>139</v>
      </c>
      <c r="E12" t="s">
        <v>120</v>
      </c>
      <c r="F12">
        <v>12</v>
      </c>
      <c r="G12">
        <f t="shared" si="0"/>
        <v>4.664789091693935</v>
      </c>
      <c r="H12">
        <f t="shared" si="1"/>
        <v>2143.7196416459374</v>
      </c>
      <c r="I12">
        <v>11</v>
      </c>
      <c r="J12">
        <v>68</v>
      </c>
      <c r="K12">
        <v>69</v>
      </c>
      <c r="L12">
        <f t="shared" si="2"/>
        <v>68.5</v>
      </c>
      <c r="M12">
        <v>113</v>
      </c>
      <c r="O12">
        <f t="shared" si="3"/>
        <v>20.794285128773765</v>
      </c>
      <c r="P12">
        <f t="shared" si="4"/>
        <v>186.21083834775862</v>
      </c>
      <c r="Q12">
        <f t="shared" si="5"/>
        <v>15.517569862313218</v>
      </c>
      <c r="R12">
        <f t="shared" si="6"/>
        <v>76.811970818450433</v>
      </c>
      <c r="S12">
        <f t="shared" si="7"/>
        <v>6.4009975682042031</v>
      </c>
    </row>
    <row r="13" spans="1:19" x14ac:dyDescent="0.15">
      <c r="A13" s="11">
        <v>44106</v>
      </c>
      <c r="B13" t="s">
        <v>138</v>
      </c>
      <c r="C13" t="s">
        <v>131</v>
      </c>
      <c r="D13" t="s">
        <v>139</v>
      </c>
      <c r="E13" t="s">
        <v>120</v>
      </c>
      <c r="F13">
        <v>12</v>
      </c>
      <c r="G13">
        <f t="shared" si="0"/>
        <v>4.664789091693935</v>
      </c>
      <c r="H13">
        <f t="shared" si="1"/>
        <v>2143.7196416459374</v>
      </c>
      <c r="I13">
        <v>12</v>
      </c>
      <c r="J13">
        <v>133</v>
      </c>
      <c r="K13">
        <v>134</v>
      </c>
      <c r="L13">
        <f t="shared" si="2"/>
        <v>133.5</v>
      </c>
      <c r="M13">
        <v>176</v>
      </c>
      <c r="O13">
        <f t="shared" si="3"/>
        <v>118.51309930441026</v>
      </c>
      <c r="P13">
        <f t="shared" si="4"/>
        <v>186.21083834775862</v>
      </c>
      <c r="Q13">
        <f t="shared" si="5"/>
        <v>15.517569862313218</v>
      </c>
      <c r="R13">
        <f t="shared" si="6"/>
        <v>76.811970818450433</v>
      </c>
      <c r="S13">
        <f t="shared" si="7"/>
        <v>6.4009975682042031</v>
      </c>
    </row>
    <row r="14" spans="1:19" x14ac:dyDescent="0.15">
      <c r="A14" s="11">
        <v>44106</v>
      </c>
      <c r="B14" t="s">
        <v>138</v>
      </c>
      <c r="C14" t="s">
        <v>131</v>
      </c>
      <c r="D14" t="s">
        <v>139</v>
      </c>
      <c r="E14" t="s">
        <v>120</v>
      </c>
      <c r="F14">
        <v>12</v>
      </c>
      <c r="G14">
        <f t="shared" si="0"/>
        <v>4.664789091693935</v>
      </c>
      <c r="H14">
        <f t="shared" si="1"/>
        <v>2143.7196416459374</v>
      </c>
      <c r="I14">
        <v>13</v>
      </c>
      <c r="J14">
        <v>138</v>
      </c>
      <c r="K14">
        <v>142</v>
      </c>
      <c r="L14">
        <f t="shared" si="2"/>
        <v>140</v>
      </c>
      <c r="M14">
        <v>165</v>
      </c>
      <c r="O14">
        <f t="shared" si="3"/>
        <v>117.78277045931887</v>
      </c>
      <c r="P14">
        <f t="shared" si="4"/>
        <v>186.21083834775862</v>
      </c>
      <c r="Q14">
        <f t="shared" si="5"/>
        <v>15.517569862313218</v>
      </c>
      <c r="R14">
        <f t="shared" si="6"/>
        <v>76.811970818450433</v>
      </c>
      <c r="S14">
        <f t="shared" si="7"/>
        <v>6.4009975682042031</v>
      </c>
    </row>
    <row r="15" spans="1:19" x14ac:dyDescent="0.15">
      <c r="A15" s="11">
        <v>44106</v>
      </c>
      <c r="B15" t="s">
        <v>138</v>
      </c>
      <c r="C15" t="s">
        <v>131</v>
      </c>
      <c r="D15" t="s">
        <v>139</v>
      </c>
      <c r="E15" t="s">
        <v>120</v>
      </c>
      <c r="F15">
        <v>12</v>
      </c>
      <c r="G15">
        <f t="shared" si="0"/>
        <v>4.664789091693935</v>
      </c>
      <c r="H15">
        <f t="shared" si="1"/>
        <v>2143.7196416459374</v>
      </c>
      <c r="I15">
        <v>14</v>
      </c>
      <c r="J15">
        <v>126</v>
      </c>
      <c r="K15">
        <v>124</v>
      </c>
      <c r="L15">
        <f t="shared" si="2"/>
        <v>125</v>
      </c>
      <c r="M15">
        <v>153</v>
      </c>
      <c r="O15">
        <f t="shared" si="3"/>
        <v>87.612212944374249</v>
      </c>
      <c r="P15">
        <f t="shared" si="4"/>
        <v>186.21083834775862</v>
      </c>
      <c r="Q15">
        <f t="shared" si="5"/>
        <v>15.517569862313218</v>
      </c>
      <c r="R15">
        <f t="shared" si="6"/>
        <v>76.811970818450433</v>
      </c>
      <c r="S15">
        <f t="shared" si="7"/>
        <v>6.4009975682042031</v>
      </c>
    </row>
    <row r="16" spans="1:19" x14ac:dyDescent="0.15">
      <c r="A16" s="11">
        <v>44106</v>
      </c>
      <c r="B16" t="s">
        <v>138</v>
      </c>
      <c r="C16" t="s">
        <v>131</v>
      </c>
      <c r="D16" t="s">
        <v>139</v>
      </c>
      <c r="E16" t="s">
        <v>120</v>
      </c>
      <c r="F16">
        <v>12</v>
      </c>
      <c r="G16">
        <f t="shared" si="0"/>
        <v>4.664789091693935</v>
      </c>
      <c r="H16">
        <f t="shared" si="1"/>
        <v>2143.7196416459374</v>
      </c>
      <c r="I16">
        <v>15</v>
      </c>
      <c r="J16">
        <v>126</v>
      </c>
      <c r="K16">
        <v>131</v>
      </c>
      <c r="L16">
        <f t="shared" si="2"/>
        <v>128.5</v>
      </c>
      <c r="M16">
        <v>158</v>
      </c>
      <c r="O16">
        <f t="shared" si="3"/>
        <v>95.934285816357033</v>
      </c>
      <c r="P16">
        <f t="shared" si="4"/>
        <v>186.21083834775862</v>
      </c>
      <c r="Q16">
        <f t="shared" si="5"/>
        <v>15.517569862313218</v>
      </c>
      <c r="R16">
        <f t="shared" si="6"/>
        <v>76.811970818450433</v>
      </c>
      <c r="S16">
        <f t="shared" si="7"/>
        <v>6.4009975682042031</v>
      </c>
    </row>
    <row r="17" spans="1:19" x14ac:dyDescent="0.15">
      <c r="A17" s="11">
        <v>44106</v>
      </c>
      <c r="B17" t="s">
        <v>138</v>
      </c>
      <c r="C17" t="s">
        <v>131</v>
      </c>
      <c r="D17" t="s">
        <v>139</v>
      </c>
      <c r="E17" t="s">
        <v>120</v>
      </c>
      <c r="F17">
        <v>12</v>
      </c>
      <c r="G17">
        <f t="shared" si="0"/>
        <v>4.664789091693935</v>
      </c>
      <c r="H17">
        <f t="shared" si="1"/>
        <v>2143.7196416459374</v>
      </c>
      <c r="I17">
        <v>16</v>
      </c>
      <c r="J17">
        <v>110</v>
      </c>
      <c r="K17">
        <v>119</v>
      </c>
      <c r="L17">
        <f t="shared" si="2"/>
        <v>114.5</v>
      </c>
      <c r="M17">
        <v>144</v>
      </c>
      <c r="O17">
        <f t="shared" si="3"/>
        <v>69.469197479530195</v>
      </c>
      <c r="P17">
        <f t="shared" si="4"/>
        <v>186.21083834775862</v>
      </c>
      <c r="Q17">
        <f t="shared" si="5"/>
        <v>15.517569862313218</v>
      </c>
      <c r="R17">
        <f t="shared" si="6"/>
        <v>76.811970818450433</v>
      </c>
      <c r="S17">
        <f t="shared" si="7"/>
        <v>6.4009975682042031</v>
      </c>
    </row>
    <row r="18" spans="1:19" x14ac:dyDescent="0.15">
      <c r="A18" s="11">
        <v>44106</v>
      </c>
      <c r="B18" t="s">
        <v>138</v>
      </c>
      <c r="C18" t="s">
        <v>131</v>
      </c>
      <c r="D18" t="s">
        <v>139</v>
      </c>
      <c r="E18" t="s">
        <v>120</v>
      </c>
      <c r="F18">
        <v>12</v>
      </c>
      <c r="G18">
        <f t="shared" si="0"/>
        <v>4.664789091693935</v>
      </c>
      <c r="H18">
        <f t="shared" si="1"/>
        <v>2143.7196416459374</v>
      </c>
      <c r="I18">
        <v>17</v>
      </c>
      <c r="J18">
        <v>104</v>
      </c>
      <c r="K18">
        <v>97</v>
      </c>
      <c r="L18">
        <f t="shared" si="2"/>
        <v>100.5</v>
      </c>
      <c r="M18">
        <v>150</v>
      </c>
      <c r="O18">
        <f t="shared" si="3"/>
        <v>58.752189719254837</v>
      </c>
      <c r="P18">
        <f t="shared" si="4"/>
        <v>186.21083834775862</v>
      </c>
      <c r="Q18">
        <f t="shared" si="5"/>
        <v>15.517569862313218</v>
      </c>
      <c r="R18">
        <f t="shared" si="6"/>
        <v>76.811970818450433</v>
      </c>
      <c r="S18">
        <f t="shared" si="7"/>
        <v>6.4009975682042031</v>
      </c>
    </row>
    <row r="19" spans="1:19" x14ac:dyDescent="0.15">
      <c r="A19" s="11">
        <v>44106</v>
      </c>
      <c r="B19" t="s">
        <v>138</v>
      </c>
      <c r="C19" t="s">
        <v>131</v>
      </c>
      <c r="D19" t="s">
        <v>139</v>
      </c>
      <c r="E19" t="s">
        <v>120</v>
      </c>
      <c r="F19">
        <v>12</v>
      </c>
      <c r="G19">
        <f t="shared" si="0"/>
        <v>4.664789091693935</v>
      </c>
      <c r="H19">
        <f t="shared" si="1"/>
        <v>2143.7196416459374</v>
      </c>
      <c r="I19">
        <v>18</v>
      </c>
      <c r="J19">
        <v>145</v>
      </c>
      <c r="K19">
        <v>135</v>
      </c>
      <c r="L19">
        <f t="shared" si="2"/>
        <v>140</v>
      </c>
      <c r="M19">
        <v>177</v>
      </c>
      <c r="O19">
        <f t="shared" si="3"/>
        <v>129.53255815329979</v>
      </c>
      <c r="P19">
        <f t="shared" si="4"/>
        <v>186.21083834775862</v>
      </c>
      <c r="Q19">
        <f t="shared" si="5"/>
        <v>15.517569862313218</v>
      </c>
      <c r="R19">
        <f t="shared" si="6"/>
        <v>76.811970818450433</v>
      </c>
      <c r="S19">
        <f t="shared" si="7"/>
        <v>6.4009975682042031</v>
      </c>
    </row>
    <row r="20" spans="1:19" x14ac:dyDescent="0.15">
      <c r="A20" s="11">
        <v>44106</v>
      </c>
      <c r="B20" t="s">
        <v>138</v>
      </c>
      <c r="C20" t="s">
        <v>131</v>
      </c>
      <c r="D20" t="s">
        <v>139</v>
      </c>
      <c r="E20" t="s">
        <v>120</v>
      </c>
      <c r="F20">
        <v>12</v>
      </c>
      <c r="G20">
        <f t="shared" si="0"/>
        <v>4.664789091693935</v>
      </c>
      <c r="H20">
        <f t="shared" si="1"/>
        <v>2143.7196416459374</v>
      </c>
      <c r="I20">
        <v>19</v>
      </c>
      <c r="J20">
        <v>69</v>
      </c>
      <c r="K20">
        <v>72</v>
      </c>
      <c r="L20">
        <f t="shared" si="2"/>
        <v>70.5</v>
      </c>
      <c r="M20">
        <v>105</v>
      </c>
      <c r="O20">
        <f t="shared" si="3"/>
        <v>19.774587188627649</v>
      </c>
      <c r="P20">
        <f t="shared" si="4"/>
        <v>186.21083834775862</v>
      </c>
      <c r="Q20">
        <f t="shared" si="5"/>
        <v>15.517569862313218</v>
      </c>
      <c r="R20">
        <f t="shared" si="6"/>
        <v>76.811970818450433</v>
      </c>
      <c r="S20">
        <f t="shared" si="7"/>
        <v>6.4009975682042031</v>
      </c>
    </row>
    <row r="21" spans="1:19" x14ac:dyDescent="0.15">
      <c r="A21" s="11">
        <v>44106</v>
      </c>
      <c r="B21" t="s">
        <v>138</v>
      </c>
      <c r="C21" t="s">
        <v>131</v>
      </c>
      <c r="D21" t="s">
        <v>139</v>
      </c>
      <c r="E21" t="s">
        <v>120</v>
      </c>
      <c r="F21">
        <v>12</v>
      </c>
      <c r="G21">
        <f t="shared" si="0"/>
        <v>4.664789091693935</v>
      </c>
      <c r="H21">
        <f t="shared" si="1"/>
        <v>2143.7196416459374</v>
      </c>
      <c r="I21">
        <v>20</v>
      </c>
      <c r="J21">
        <v>91</v>
      </c>
      <c r="K21">
        <v>91</v>
      </c>
      <c r="L21">
        <f t="shared" si="2"/>
        <v>91</v>
      </c>
      <c r="M21">
        <v>93</v>
      </c>
      <c r="N21" t="s">
        <v>140</v>
      </c>
      <c r="O21">
        <f t="shared" si="3"/>
        <v>25.949819226041775</v>
      </c>
      <c r="P21">
        <f t="shared" si="4"/>
        <v>186.21083834775862</v>
      </c>
      <c r="Q21">
        <f t="shared" si="5"/>
        <v>15.517569862313218</v>
      </c>
      <c r="R21">
        <f t="shared" si="6"/>
        <v>76.811970818450433</v>
      </c>
      <c r="S21">
        <f t="shared" si="7"/>
        <v>6.4009975682042031</v>
      </c>
    </row>
    <row r="22" spans="1:19" x14ac:dyDescent="0.15">
      <c r="A22" s="11">
        <v>44106</v>
      </c>
      <c r="B22" t="s">
        <v>138</v>
      </c>
      <c r="C22" t="s">
        <v>131</v>
      </c>
      <c r="D22" t="s">
        <v>139</v>
      </c>
      <c r="E22" t="s">
        <v>120</v>
      </c>
      <c r="F22">
        <v>12</v>
      </c>
      <c r="G22">
        <f t="shared" si="0"/>
        <v>4.664789091693935</v>
      </c>
      <c r="H22">
        <f t="shared" si="1"/>
        <v>2143.7196416459374</v>
      </c>
      <c r="I22">
        <v>21</v>
      </c>
      <c r="J22">
        <v>109</v>
      </c>
      <c r="K22">
        <v>100</v>
      </c>
      <c r="L22">
        <f t="shared" si="2"/>
        <v>104.5</v>
      </c>
      <c r="M22">
        <v>140</v>
      </c>
      <c r="O22">
        <f t="shared" si="3"/>
        <v>57.200896445507063</v>
      </c>
      <c r="P22">
        <f t="shared" si="4"/>
        <v>186.21083834775862</v>
      </c>
      <c r="Q22">
        <f t="shared" si="5"/>
        <v>15.517569862313218</v>
      </c>
      <c r="R22">
        <f t="shared" si="6"/>
        <v>76.811970818450433</v>
      </c>
      <c r="S22">
        <f t="shared" si="7"/>
        <v>6.4009975682042031</v>
      </c>
    </row>
    <row r="23" spans="1:19" x14ac:dyDescent="0.15">
      <c r="A23" s="11">
        <v>44106</v>
      </c>
      <c r="B23" t="s">
        <v>138</v>
      </c>
      <c r="C23" t="s">
        <v>131</v>
      </c>
      <c r="D23" t="s">
        <v>139</v>
      </c>
      <c r="E23" t="s">
        <v>120</v>
      </c>
      <c r="F23">
        <v>12</v>
      </c>
      <c r="G23">
        <f t="shared" si="0"/>
        <v>4.664789091693935</v>
      </c>
      <c r="H23">
        <f t="shared" si="1"/>
        <v>2143.7196416459374</v>
      </c>
      <c r="I23">
        <v>22</v>
      </c>
      <c r="J23">
        <v>73</v>
      </c>
      <c r="K23">
        <v>81</v>
      </c>
      <c r="L23">
        <f t="shared" si="2"/>
        <v>77</v>
      </c>
      <c r="M23">
        <v>139</v>
      </c>
      <c r="O23">
        <f t="shared" si="3"/>
        <v>33.61744769136957</v>
      </c>
      <c r="P23">
        <f t="shared" si="4"/>
        <v>186.21083834775862</v>
      </c>
      <c r="Q23">
        <f t="shared" si="5"/>
        <v>15.517569862313218</v>
      </c>
      <c r="R23">
        <f t="shared" si="6"/>
        <v>76.811970818450433</v>
      </c>
      <c r="S23">
        <f t="shared" si="7"/>
        <v>6.4009975682042031</v>
      </c>
    </row>
    <row r="24" spans="1:19" x14ac:dyDescent="0.15">
      <c r="A24" s="11">
        <v>44106</v>
      </c>
      <c r="B24" t="s">
        <v>138</v>
      </c>
      <c r="C24" t="s">
        <v>131</v>
      </c>
      <c r="D24" t="s">
        <v>139</v>
      </c>
      <c r="E24" t="s">
        <v>120</v>
      </c>
      <c r="F24">
        <v>12</v>
      </c>
      <c r="G24">
        <f t="shared" si="0"/>
        <v>4.664789091693935</v>
      </c>
      <c r="H24">
        <f t="shared" si="1"/>
        <v>2143.7196416459374</v>
      </c>
      <c r="I24">
        <v>23</v>
      </c>
      <c r="J24">
        <v>107</v>
      </c>
      <c r="K24">
        <v>101</v>
      </c>
      <c r="L24">
        <f t="shared" si="2"/>
        <v>104</v>
      </c>
      <c r="M24">
        <v>162</v>
      </c>
      <c r="O24">
        <f t="shared" si="3"/>
        <v>69.135328231948819</v>
      </c>
      <c r="P24">
        <f t="shared" si="4"/>
        <v>186.21083834775862</v>
      </c>
      <c r="Q24">
        <f t="shared" si="5"/>
        <v>15.517569862313218</v>
      </c>
      <c r="R24">
        <f t="shared" si="6"/>
        <v>76.811970818450433</v>
      </c>
      <c r="S24">
        <f t="shared" si="7"/>
        <v>6.4009975682042031</v>
      </c>
    </row>
    <row r="25" spans="1:19" x14ac:dyDescent="0.15">
      <c r="A25" s="11">
        <v>44106</v>
      </c>
      <c r="B25" t="s">
        <v>138</v>
      </c>
      <c r="C25" t="s">
        <v>131</v>
      </c>
      <c r="D25" t="s">
        <v>139</v>
      </c>
      <c r="E25" t="s">
        <v>120</v>
      </c>
      <c r="F25">
        <v>12</v>
      </c>
      <c r="G25">
        <f t="shared" si="0"/>
        <v>4.664789091693935</v>
      </c>
      <c r="H25">
        <f t="shared" si="1"/>
        <v>2143.7196416459374</v>
      </c>
      <c r="I25">
        <v>24</v>
      </c>
      <c r="J25">
        <v>115</v>
      </c>
      <c r="K25">
        <v>106</v>
      </c>
      <c r="L25">
        <f t="shared" si="2"/>
        <v>110.5</v>
      </c>
      <c r="M25">
        <v>155</v>
      </c>
      <c r="O25">
        <f t="shared" si="3"/>
        <v>72.228011442872855</v>
      </c>
      <c r="P25">
        <f t="shared" si="4"/>
        <v>186.21083834775862</v>
      </c>
      <c r="Q25">
        <f t="shared" si="5"/>
        <v>15.517569862313218</v>
      </c>
      <c r="R25">
        <f t="shared" si="6"/>
        <v>76.811970818450433</v>
      </c>
      <c r="S25">
        <f t="shared" si="7"/>
        <v>6.4009975682042031</v>
      </c>
    </row>
    <row r="26" spans="1:19" x14ac:dyDescent="0.15">
      <c r="A26" s="11">
        <v>44106</v>
      </c>
      <c r="B26" t="s">
        <v>138</v>
      </c>
      <c r="C26" t="s">
        <v>131</v>
      </c>
      <c r="D26" t="s">
        <v>139</v>
      </c>
      <c r="E26" t="s">
        <v>120</v>
      </c>
      <c r="F26">
        <v>12</v>
      </c>
      <c r="G26">
        <f t="shared" si="0"/>
        <v>4.664789091693935</v>
      </c>
      <c r="H26">
        <f t="shared" si="1"/>
        <v>2143.7196416459374</v>
      </c>
      <c r="I26">
        <v>25</v>
      </c>
      <c r="J26">
        <v>150</v>
      </c>
      <c r="K26">
        <v>145</v>
      </c>
      <c r="L26">
        <f t="shared" si="2"/>
        <v>147.5</v>
      </c>
      <c r="M26">
        <v>181</v>
      </c>
      <c r="O26">
        <f t="shared" si="3"/>
        <v>145.96583609822406</v>
      </c>
      <c r="P26">
        <f t="shared" si="4"/>
        <v>186.21083834775862</v>
      </c>
      <c r="Q26">
        <f t="shared" si="5"/>
        <v>15.517569862313218</v>
      </c>
      <c r="R26">
        <f t="shared" si="6"/>
        <v>76.811970818450433</v>
      </c>
      <c r="S26">
        <f t="shared" si="7"/>
        <v>6.4009975682042031</v>
      </c>
    </row>
    <row r="27" spans="1:19" x14ac:dyDescent="0.15">
      <c r="A27" s="11">
        <v>44106</v>
      </c>
      <c r="B27" t="s">
        <v>138</v>
      </c>
      <c r="C27" t="s">
        <v>131</v>
      </c>
      <c r="D27" t="s">
        <v>139</v>
      </c>
      <c r="E27" t="s">
        <v>120</v>
      </c>
      <c r="F27">
        <v>12</v>
      </c>
      <c r="G27">
        <f t="shared" si="0"/>
        <v>4.664789091693935</v>
      </c>
      <c r="H27">
        <f t="shared" si="1"/>
        <v>2143.7196416459374</v>
      </c>
      <c r="I27">
        <v>26</v>
      </c>
      <c r="J27">
        <v>174</v>
      </c>
      <c r="K27">
        <v>172</v>
      </c>
      <c r="L27">
        <f t="shared" si="2"/>
        <v>173</v>
      </c>
      <c r="M27">
        <v>212</v>
      </c>
      <c r="O27">
        <f t="shared" si="3"/>
        <v>237.45573825718839</v>
      </c>
      <c r="P27">
        <f t="shared" si="4"/>
        <v>186.21083834775862</v>
      </c>
      <c r="Q27">
        <f t="shared" si="5"/>
        <v>15.517569862313218</v>
      </c>
      <c r="R27">
        <f t="shared" si="6"/>
        <v>76.811970818450433</v>
      </c>
      <c r="S27">
        <f t="shared" si="7"/>
        <v>6.4009975682042031</v>
      </c>
    </row>
    <row r="28" spans="1:19" x14ac:dyDescent="0.15">
      <c r="A28" s="11">
        <v>44106</v>
      </c>
      <c r="B28" t="s">
        <v>138</v>
      </c>
      <c r="C28" t="s">
        <v>131</v>
      </c>
      <c r="D28" t="s">
        <v>139</v>
      </c>
      <c r="E28" t="s">
        <v>120</v>
      </c>
      <c r="F28">
        <v>12</v>
      </c>
      <c r="G28">
        <f t="shared" si="0"/>
        <v>4.664789091693935</v>
      </c>
      <c r="H28">
        <f t="shared" si="1"/>
        <v>2143.7196416459374</v>
      </c>
      <c r="I28">
        <v>27</v>
      </c>
      <c r="J28">
        <v>107</v>
      </c>
      <c r="K28">
        <v>106</v>
      </c>
      <c r="L28">
        <f t="shared" si="2"/>
        <v>106.5</v>
      </c>
      <c r="M28">
        <v>169</v>
      </c>
      <c r="O28">
        <f t="shared" si="3"/>
        <v>76.24508155064413</v>
      </c>
      <c r="P28">
        <f t="shared" si="4"/>
        <v>186.21083834775862</v>
      </c>
      <c r="Q28">
        <f t="shared" si="5"/>
        <v>15.517569862313218</v>
      </c>
      <c r="R28">
        <f t="shared" si="6"/>
        <v>76.811970818450433</v>
      </c>
      <c r="S28">
        <f t="shared" si="7"/>
        <v>6.4009975682042031</v>
      </c>
    </row>
    <row r="29" spans="1:19" x14ac:dyDescent="0.15">
      <c r="A29" s="11">
        <v>44106</v>
      </c>
      <c r="B29" t="s">
        <v>138</v>
      </c>
      <c r="C29" t="s">
        <v>131</v>
      </c>
      <c r="D29" t="s">
        <v>139</v>
      </c>
      <c r="E29" t="s">
        <v>120</v>
      </c>
      <c r="F29">
        <v>12</v>
      </c>
      <c r="G29">
        <f t="shared" si="0"/>
        <v>4.664789091693935</v>
      </c>
      <c r="H29">
        <f t="shared" si="1"/>
        <v>2143.7196416459374</v>
      </c>
      <c r="I29">
        <v>28</v>
      </c>
      <c r="J29">
        <v>81</v>
      </c>
      <c r="K29">
        <v>86</v>
      </c>
      <c r="L29">
        <f t="shared" si="2"/>
        <v>83.5</v>
      </c>
      <c r="M29">
        <v>123</v>
      </c>
      <c r="O29">
        <f t="shared" si="3"/>
        <v>32.716644947808547</v>
      </c>
      <c r="P29">
        <f t="shared" si="4"/>
        <v>186.21083834775862</v>
      </c>
      <c r="Q29">
        <f t="shared" si="5"/>
        <v>15.517569862313218</v>
      </c>
      <c r="R29">
        <f t="shared" si="6"/>
        <v>76.811970818450433</v>
      </c>
      <c r="S29">
        <f t="shared" si="7"/>
        <v>6.4009975682042031</v>
      </c>
    </row>
    <row r="30" spans="1:19" x14ac:dyDescent="0.15">
      <c r="A30" s="11">
        <v>44106</v>
      </c>
      <c r="B30" t="s">
        <v>138</v>
      </c>
      <c r="C30" t="s">
        <v>131</v>
      </c>
      <c r="D30" t="s">
        <v>139</v>
      </c>
      <c r="E30" t="s">
        <v>120</v>
      </c>
      <c r="F30">
        <v>12</v>
      </c>
      <c r="G30">
        <f t="shared" si="0"/>
        <v>4.664789091693935</v>
      </c>
      <c r="H30">
        <f t="shared" si="1"/>
        <v>2143.7196416459374</v>
      </c>
      <c r="I30">
        <v>29</v>
      </c>
      <c r="J30">
        <v>161</v>
      </c>
      <c r="K30">
        <v>162</v>
      </c>
      <c r="L30">
        <f t="shared" si="2"/>
        <v>161.5</v>
      </c>
      <c r="M30">
        <v>212</v>
      </c>
      <c r="O30">
        <f t="shared" si="3"/>
        <v>211.12360486982368</v>
      </c>
      <c r="P30">
        <f t="shared" si="4"/>
        <v>186.21083834775862</v>
      </c>
      <c r="Q30">
        <f t="shared" si="5"/>
        <v>15.517569862313218</v>
      </c>
      <c r="R30">
        <f t="shared" si="6"/>
        <v>76.811970818450433</v>
      </c>
      <c r="S30">
        <f t="shared" si="7"/>
        <v>6.4009975682042031</v>
      </c>
    </row>
    <row r="31" spans="1:19" x14ac:dyDescent="0.15">
      <c r="A31" s="11">
        <v>44106</v>
      </c>
      <c r="B31" t="s">
        <v>138</v>
      </c>
      <c r="C31" t="s">
        <v>131</v>
      </c>
      <c r="D31" t="s">
        <v>139</v>
      </c>
      <c r="E31" t="s">
        <v>120</v>
      </c>
      <c r="F31">
        <v>12</v>
      </c>
      <c r="G31">
        <f t="shared" si="0"/>
        <v>4.664789091693935</v>
      </c>
      <c r="H31">
        <f t="shared" si="1"/>
        <v>2143.7196416459374</v>
      </c>
      <c r="I31">
        <v>30</v>
      </c>
      <c r="J31">
        <v>126</v>
      </c>
      <c r="K31">
        <v>135</v>
      </c>
      <c r="L31">
        <f t="shared" si="2"/>
        <v>130.5</v>
      </c>
      <c r="M31">
        <v>175</v>
      </c>
      <c r="O31">
        <f t="shared" si="3"/>
        <v>113.12226184204431</v>
      </c>
      <c r="P31">
        <f t="shared" si="4"/>
        <v>186.21083834775862</v>
      </c>
      <c r="Q31">
        <f t="shared" si="5"/>
        <v>15.517569862313218</v>
      </c>
      <c r="R31">
        <f t="shared" si="6"/>
        <v>76.811970818450433</v>
      </c>
      <c r="S31">
        <f t="shared" si="7"/>
        <v>6.4009975682042031</v>
      </c>
    </row>
    <row r="32" spans="1:19" x14ac:dyDescent="0.15">
      <c r="A32" s="11">
        <v>44106</v>
      </c>
      <c r="B32" t="s">
        <v>138</v>
      </c>
      <c r="C32" t="s">
        <v>131</v>
      </c>
      <c r="D32" t="s">
        <v>139</v>
      </c>
      <c r="E32" t="s">
        <v>120</v>
      </c>
      <c r="F32">
        <v>12</v>
      </c>
      <c r="G32">
        <f t="shared" si="0"/>
        <v>4.664789091693935</v>
      </c>
      <c r="H32">
        <f t="shared" si="1"/>
        <v>2143.7196416459374</v>
      </c>
      <c r="I32">
        <v>31</v>
      </c>
      <c r="J32">
        <v>100</v>
      </c>
      <c r="K32">
        <v>95</v>
      </c>
      <c r="L32">
        <f t="shared" si="2"/>
        <v>97.5</v>
      </c>
      <c r="M32">
        <v>158</v>
      </c>
      <c r="O32">
        <f t="shared" si="3"/>
        <v>59.854893505311267</v>
      </c>
      <c r="P32">
        <f t="shared" si="4"/>
        <v>186.21083834775862</v>
      </c>
      <c r="Q32">
        <f t="shared" si="5"/>
        <v>15.517569862313218</v>
      </c>
      <c r="R32">
        <f t="shared" si="6"/>
        <v>76.811970818450433</v>
      </c>
      <c r="S32">
        <f t="shared" si="7"/>
        <v>6.4009975682042031</v>
      </c>
    </row>
    <row r="33" spans="1:19" x14ac:dyDescent="0.15">
      <c r="A33" s="11">
        <v>44106</v>
      </c>
      <c r="B33" t="s">
        <v>138</v>
      </c>
      <c r="C33" t="s">
        <v>131</v>
      </c>
      <c r="D33" t="s">
        <v>139</v>
      </c>
      <c r="E33" t="s">
        <v>120</v>
      </c>
      <c r="F33">
        <v>12</v>
      </c>
      <c r="G33">
        <f t="shared" si="0"/>
        <v>4.664789091693935</v>
      </c>
      <c r="H33">
        <f t="shared" si="1"/>
        <v>2143.7196416459374</v>
      </c>
      <c r="I33">
        <v>32</v>
      </c>
      <c r="J33">
        <v>108</v>
      </c>
      <c r="K33">
        <v>111</v>
      </c>
      <c r="L33">
        <f t="shared" si="2"/>
        <v>109.5</v>
      </c>
      <c r="M33">
        <v>163</v>
      </c>
      <c r="O33">
        <f t="shared" si="3"/>
        <v>76.131205833493937</v>
      </c>
      <c r="P33">
        <f t="shared" si="4"/>
        <v>186.21083834775862</v>
      </c>
      <c r="Q33">
        <f t="shared" si="5"/>
        <v>15.517569862313218</v>
      </c>
      <c r="R33">
        <f t="shared" si="6"/>
        <v>76.811970818450433</v>
      </c>
      <c r="S33">
        <f t="shared" si="7"/>
        <v>6.4009975682042031</v>
      </c>
    </row>
    <row r="34" spans="1:19" x14ac:dyDescent="0.15">
      <c r="A34" s="11">
        <v>44106</v>
      </c>
      <c r="B34" t="s">
        <v>138</v>
      </c>
      <c r="C34" t="s">
        <v>131</v>
      </c>
      <c r="D34" t="s">
        <v>139</v>
      </c>
      <c r="E34" t="s">
        <v>120</v>
      </c>
      <c r="F34">
        <v>12</v>
      </c>
      <c r="G34">
        <f t="shared" si="0"/>
        <v>4.664789091693935</v>
      </c>
      <c r="H34">
        <f t="shared" si="1"/>
        <v>2143.7196416459374</v>
      </c>
      <c r="I34">
        <v>33</v>
      </c>
      <c r="J34">
        <v>121</v>
      </c>
      <c r="K34">
        <v>131</v>
      </c>
      <c r="L34">
        <f t="shared" si="2"/>
        <v>126</v>
      </c>
      <c r="M34">
        <v>158</v>
      </c>
      <c r="O34">
        <f t="shared" si="3"/>
        <v>92.767097163028026</v>
      </c>
      <c r="P34">
        <f t="shared" si="4"/>
        <v>186.21083834775862</v>
      </c>
      <c r="Q34">
        <f t="shared" si="5"/>
        <v>15.517569862313218</v>
      </c>
      <c r="R34">
        <f t="shared" si="6"/>
        <v>76.811970818450433</v>
      </c>
      <c r="S34">
        <f t="shared" si="7"/>
        <v>6.4009975682042031</v>
      </c>
    </row>
    <row r="37" spans="1:19" x14ac:dyDescent="0.15">
      <c r="A37" t="s">
        <v>261</v>
      </c>
    </row>
    <row r="38" spans="1:19" x14ac:dyDescent="0.15">
      <c r="A38" t="s">
        <v>262</v>
      </c>
    </row>
    <row r="39" spans="1:19" x14ac:dyDescent="0.15">
      <c r="A39" t="s">
        <v>228</v>
      </c>
      <c r="B39" t="s">
        <v>229</v>
      </c>
      <c r="D39" t="s">
        <v>251</v>
      </c>
    </row>
    <row r="40" spans="1:19" x14ac:dyDescent="0.15">
      <c r="A40">
        <v>1522</v>
      </c>
      <c r="B40">
        <v>401.5</v>
      </c>
      <c r="D40">
        <f t="shared" ref="D40:D49" si="8">B40/$A$51</f>
        <v>0.9861230504727988</v>
      </c>
    </row>
    <row r="41" spans="1:19" x14ac:dyDescent="0.15">
      <c r="A41">
        <v>1532</v>
      </c>
      <c r="B41">
        <v>401.6</v>
      </c>
      <c r="D41">
        <f t="shared" si="8"/>
        <v>0.98636866019894398</v>
      </c>
    </row>
    <row r="42" spans="1:19" x14ac:dyDescent="0.15">
      <c r="A42">
        <v>168</v>
      </c>
      <c r="B42">
        <v>386.1</v>
      </c>
      <c r="D42">
        <f t="shared" si="8"/>
        <v>0.94829915264644493</v>
      </c>
    </row>
    <row r="43" spans="1:19" x14ac:dyDescent="0.15">
      <c r="A43">
        <v>1527</v>
      </c>
      <c r="B43">
        <v>401</v>
      </c>
      <c r="D43">
        <f t="shared" si="8"/>
        <v>0.98489500184207301</v>
      </c>
    </row>
    <row r="44" spans="1:19" x14ac:dyDescent="0.15">
      <c r="A44">
        <v>1531</v>
      </c>
      <c r="B44">
        <v>372.2</v>
      </c>
      <c r="D44">
        <f t="shared" si="8"/>
        <v>0.9141594007122682</v>
      </c>
    </row>
    <row r="45" spans="1:19" x14ac:dyDescent="0.15">
      <c r="A45">
        <v>177</v>
      </c>
      <c r="B45">
        <v>384.3</v>
      </c>
      <c r="D45">
        <f t="shared" si="8"/>
        <v>0.94387817757583203</v>
      </c>
    </row>
    <row r="46" spans="1:19" x14ac:dyDescent="0.15">
      <c r="A46">
        <v>1524</v>
      </c>
      <c r="B46">
        <v>381.3</v>
      </c>
      <c r="D46">
        <f t="shared" si="8"/>
        <v>0.93650988579147743</v>
      </c>
    </row>
    <row r="47" spans="1:19" x14ac:dyDescent="0.15">
      <c r="A47">
        <v>164</v>
      </c>
      <c r="B47">
        <v>364.8</v>
      </c>
      <c r="D47">
        <f t="shared" si="8"/>
        <v>0.8959842809775268</v>
      </c>
    </row>
    <row r="48" spans="1:19" x14ac:dyDescent="0.15">
      <c r="A48">
        <v>1528</v>
      </c>
      <c r="B48">
        <v>409</v>
      </c>
      <c r="D48">
        <f t="shared" si="8"/>
        <v>1.0045437799336854</v>
      </c>
    </row>
    <row r="49" spans="1:4" x14ac:dyDescent="0.15">
      <c r="A49">
        <v>179</v>
      </c>
      <c r="B49">
        <v>383.8</v>
      </c>
      <c r="D49">
        <f t="shared" si="8"/>
        <v>0.94265012894510636</v>
      </c>
    </row>
    <row r="50" spans="1:4" x14ac:dyDescent="0.15">
      <c r="A50" t="s">
        <v>343</v>
      </c>
    </row>
    <row r="51" spans="1:4" x14ac:dyDescent="0.15">
      <c r="A51">
        <v>407.15</v>
      </c>
      <c r="B51" t="s">
        <v>340</v>
      </c>
      <c r="D51">
        <f>AVERAGE(D40:D49)</f>
        <v>0.95434115190961566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P2" sqref="P2"/>
    </sheetView>
  </sheetViews>
  <sheetFormatPr defaultRowHeight="10.5" x14ac:dyDescent="0.15"/>
  <cols>
    <col min="1" max="1" width="16.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x14ac:dyDescent="0.15">
      <c r="A1" t="s">
        <v>124</v>
      </c>
      <c r="B1" t="s">
        <v>126</v>
      </c>
      <c r="C1" t="s">
        <v>82</v>
      </c>
      <c r="D1" t="s">
        <v>84</v>
      </c>
      <c r="E1" t="s">
        <v>134</v>
      </c>
      <c r="F1" t="s">
        <v>135</v>
      </c>
      <c r="G1" t="s">
        <v>127</v>
      </c>
      <c r="H1" t="s">
        <v>128</v>
      </c>
      <c r="I1" t="s">
        <v>129</v>
      </c>
      <c r="J1" t="s">
        <v>89</v>
      </c>
      <c r="K1" t="s">
        <v>88</v>
      </c>
      <c r="L1" t="s">
        <v>92</v>
      </c>
      <c r="M1" t="s">
        <v>144</v>
      </c>
      <c r="N1" t="s">
        <v>143</v>
      </c>
      <c r="O1" t="s">
        <v>145</v>
      </c>
      <c r="P1" t="s">
        <v>146</v>
      </c>
      <c r="Q1" t="s">
        <v>147</v>
      </c>
    </row>
    <row r="2" spans="1:17" x14ac:dyDescent="0.15">
      <c r="A2" t="s">
        <v>141</v>
      </c>
      <c r="B2" t="s">
        <v>139</v>
      </c>
      <c r="C2" t="s">
        <v>120</v>
      </c>
      <c r="D2">
        <v>12</v>
      </c>
      <c r="E2">
        <f>7^2*PI()/26</f>
        <v>5.9206938471499946</v>
      </c>
      <c r="F2">
        <f>10000/E2</f>
        <v>1688.9912328119506</v>
      </c>
      <c r="G2">
        <v>1</v>
      </c>
      <c r="H2">
        <v>130</v>
      </c>
      <c r="I2">
        <v>124</v>
      </c>
      <c r="J2">
        <f>AVERAGE(H2:I2)</f>
        <v>127</v>
      </c>
      <c r="K2">
        <v>141</v>
      </c>
      <c r="M2">
        <f>EXP(-3.53769+1.70873*LN(J2/10)+1.35448*LN(K2/10))</f>
        <v>80.593049705565505</v>
      </c>
      <c r="N2">
        <f>AVERAGE(M$2:M$27)*F2/1000</f>
        <v>107.06919632004166</v>
      </c>
      <c r="O2">
        <f>N2/D2</f>
        <v>8.9224330266701379</v>
      </c>
      <c r="P2">
        <f>N2*0.33/0.8</f>
        <v>44.16604348201718</v>
      </c>
      <c r="Q2">
        <f>P2/D2</f>
        <v>3.6805036235014317</v>
      </c>
    </row>
    <row r="3" spans="1:17" x14ac:dyDescent="0.15">
      <c r="A3" t="s">
        <v>141</v>
      </c>
      <c r="B3" t="s">
        <v>139</v>
      </c>
      <c r="C3" t="s">
        <v>120</v>
      </c>
      <c r="D3">
        <v>12</v>
      </c>
      <c r="E3">
        <f t="shared" ref="E3:E27" si="0">7^2*PI()/26</f>
        <v>5.9206938471499946</v>
      </c>
      <c r="F3">
        <f t="shared" ref="F3:F27" si="1">10000/E3</f>
        <v>1688.9912328119506</v>
      </c>
      <c r="G3">
        <v>2</v>
      </c>
      <c r="H3">
        <v>97</v>
      </c>
      <c r="I3">
        <v>103</v>
      </c>
      <c r="J3">
        <f t="shared" ref="J3:J27" si="2">AVERAGE(H3:I3)</f>
        <v>100</v>
      </c>
      <c r="K3">
        <v>143</v>
      </c>
      <c r="M3">
        <f t="shared" ref="M3:M27" si="3">EXP(-3.53769+1.70873*LN(J3/10)+1.35448*LN(K3/10))</f>
        <v>54.602221240706044</v>
      </c>
      <c r="N3">
        <f t="shared" ref="N3:N27" si="4">AVERAGE(M$2:M$27)*F3/1000</f>
        <v>107.06919632004166</v>
      </c>
      <c r="O3">
        <f t="shared" ref="O3:O27" si="5">N3/D3</f>
        <v>8.9224330266701379</v>
      </c>
      <c r="P3">
        <f t="shared" ref="P3:P27" si="6">N3*0.33/0.8</f>
        <v>44.16604348201718</v>
      </c>
      <c r="Q3">
        <f t="shared" ref="Q3:Q27" si="7">P3/D3</f>
        <v>3.6805036235014317</v>
      </c>
    </row>
    <row r="4" spans="1:17" x14ac:dyDescent="0.15">
      <c r="A4" t="s">
        <v>141</v>
      </c>
      <c r="B4" t="s">
        <v>139</v>
      </c>
      <c r="C4" t="s">
        <v>120</v>
      </c>
      <c r="D4">
        <v>12</v>
      </c>
      <c r="E4">
        <f t="shared" si="0"/>
        <v>5.9206938471499946</v>
      </c>
      <c r="F4">
        <f t="shared" si="1"/>
        <v>1688.9912328119506</v>
      </c>
      <c r="G4">
        <v>3</v>
      </c>
      <c r="H4">
        <v>118</v>
      </c>
      <c r="I4">
        <v>123</v>
      </c>
      <c r="J4">
        <f t="shared" si="2"/>
        <v>120.5</v>
      </c>
      <c r="K4">
        <v>149</v>
      </c>
      <c r="M4">
        <f t="shared" si="3"/>
        <v>79.391331885994262</v>
      </c>
      <c r="N4">
        <f t="shared" si="4"/>
        <v>107.06919632004166</v>
      </c>
      <c r="O4">
        <f t="shared" si="5"/>
        <v>8.9224330266701379</v>
      </c>
      <c r="P4">
        <f t="shared" si="6"/>
        <v>44.16604348201718</v>
      </c>
      <c r="Q4">
        <f t="shared" si="7"/>
        <v>3.6805036235014317</v>
      </c>
    </row>
    <row r="5" spans="1:17" x14ac:dyDescent="0.15">
      <c r="A5" t="s">
        <v>141</v>
      </c>
      <c r="B5" t="s">
        <v>139</v>
      </c>
      <c r="C5" t="s">
        <v>120</v>
      </c>
      <c r="D5">
        <v>12</v>
      </c>
      <c r="E5">
        <f t="shared" si="0"/>
        <v>5.9206938471499946</v>
      </c>
      <c r="F5">
        <f t="shared" si="1"/>
        <v>1688.9912328119506</v>
      </c>
      <c r="G5">
        <v>4</v>
      </c>
      <c r="H5">
        <v>84</v>
      </c>
      <c r="I5">
        <v>94</v>
      </c>
      <c r="J5">
        <f t="shared" si="2"/>
        <v>89</v>
      </c>
      <c r="K5">
        <v>124</v>
      </c>
      <c r="M5">
        <f t="shared" si="3"/>
        <v>36.886694977967522</v>
      </c>
      <c r="N5">
        <f t="shared" si="4"/>
        <v>107.06919632004166</v>
      </c>
      <c r="O5">
        <f t="shared" si="5"/>
        <v>8.9224330266701379</v>
      </c>
      <c r="P5">
        <f t="shared" si="6"/>
        <v>44.16604348201718</v>
      </c>
      <c r="Q5">
        <f t="shared" si="7"/>
        <v>3.6805036235014317</v>
      </c>
    </row>
    <row r="6" spans="1:17" x14ac:dyDescent="0.15">
      <c r="A6" t="s">
        <v>141</v>
      </c>
      <c r="B6" t="s">
        <v>139</v>
      </c>
      <c r="C6" t="s">
        <v>120</v>
      </c>
      <c r="D6">
        <v>12</v>
      </c>
      <c r="E6">
        <f t="shared" si="0"/>
        <v>5.9206938471499946</v>
      </c>
      <c r="F6">
        <f t="shared" si="1"/>
        <v>1688.9912328119506</v>
      </c>
      <c r="G6">
        <v>5</v>
      </c>
      <c r="H6">
        <v>115</v>
      </c>
      <c r="I6">
        <v>111</v>
      </c>
      <c r="J6">
        <f t="shared" si="2"/>
        <v>113</v>
      </c>
      <c r="K6">
        <v>143</v>
      </c>
      <c r="M6">
        <f t="shared" si="3"/>
        <v>67.283262075049151</v>
      </c>
      <c r="N6">
        <f t="shared" si="4"/>
        <v>107.06919632004166</v>
      </c>
      <c r="O6">
        <f t="shared" si="5"/>
        <v>8.9224330266701379</v>
      </c>
      <c r="P6">
        <f t="shared" si="6"/>
        <v>44.16604348201718</v>
      </c>
      <c r="Q6">
        <f t="shared" si="7"/>
        <v>3.6805036235014317</v>
      </c>
    </row>
    <row r="7" spans="1:17" x14ac:dyDescent="0.15">
      <c r="A7" t="s">
        <v>141</v>
      </c>
      <c r="B7" t="s">
        <v>139</v>
      </c>
      <c r="C7" t="s">
        <v>120</v>
      </c>
      <c r="D7">
        <v>12</v>
      </c>
      <c r="E7">
        <f t="shared" si="0"/>
        <v>5.9206938471499946</v>
      </c>
      <c r="F7">
        <f t="shared" si="1"/>
        <v>1688.9912328119506</v>
      </c>
      <c r="G7">
        <v>6</v>
      </c>
      <c r="H7">
        <v>91</v>
      </c>
      <c r="I7">
        <v>96</v>
      </c>
      <c r="J7">
        <f t="shared" si="2"/>
        <v>93.5</v>
      </c>
      <c r="K7">
        <v>135</v>
      </c>
      <c r="M7">
        <f t="shared" si="3"/>
        <v>45.026704371089096</v>
      </c>
      <c r="N7">
        <f t="shared" si="4"/>
        <v>107.06919632004166</v>
      </c>
      <c r="O7">
        <f t="shared" si="5"/>
        <v>8.9224330266701379</v>
      </c>
      <c r="P7">
        <f t="shared" si="6"/>
        <v>44.16604348201718</v>
      </c>
      <c r="Q7">
        <f t="shared" si="7"/>
        <v>3.6805036235014317</v>
      </c>
    </row>
    <row r="8" spans="1:17" x14ac:dyDescent="0.15">
      <c r="A8" t="s">
        <v>141</v>
      </c>
      <c r="B8" t="s">
        <v>139</v>
      </c>
      <c r="C8" t="s">
        <v>120</v>
      </c>
      <c r="D8">
        <v>12</v>
      </c>
      <c r="E8">
        <f t="shared" si="0"/>
        <v>5.9206938471499946</v>
      </c>
      <c r="F8">
        <f t="shared" si="1"/>
        <v>1688.9912328119506</v>
      </c>
      <c r="G8">
        <v>7</v>
      </c>
      <c r="H8">
        <v>101</v>
      </c>
      <c r="I8">
        <v>109</v>
      </c>
      <c r="J8">
        <f t="shared" si="2"/>
        <v>105</v>
      </c>
      <c r="K8">
        <v>155</v>
      </c>
      <c r="M8">
        <f t="shared" si="3"/>
        <v>66.193908280652991</v>
      </c>
      <c r="N8">
        <f t="shared" si="4"/>
        <v>107.06919632004166</v>
      </c>
      <c r="O8">
        <f t="shared" si="5"/>
        <v>8.9224330266701379</v>
      </c>
      <c r="P8">
        <f t="shared" si="6"/>
        <v>44.16604348201718</v>
      </c>
      <c r="Q8">
        <f t="shared" si="7"/>
        <v>3.6805036235014317</v>
      </c>
    </row>
    <row r="9" spans="1:17" x14ac:dyDescent="0.15">
      <c r="A9" t="s">
        <v>141</v>
      </c>
      <c r="B9" t="s">
        <v>139</v>
      </c>
      <c r="C9" t="s">
        <v>120</v>
      </c>
      <c r="D9">
        <v>12</v>
      </c>
      <c r="E9">
        <f t="shared" si="0"/>
        <v>5.9206938471499946</v>
      </c>
      <c r="F9">
        <f t="shared" si="1"/>
        <v>1688.9912328119506</v>
      </c>
      <c r="G9">
        <v>8</v>
      </c>
      <c r="H9">
        <v>88</v>
      </c>
      <c r="I9">
        <v>80</v>
      </c>
      <c r="J9">
        <f t="shared" si="2"/>
        <v>84</v>
      </c>
      <c r="K9">
        <v>149</v>
      </c>
      <c r="M9">
        <f t="shared" si="3"/>
        <v>42.855033174214206</v>
      </c>
      <c r="N9">
        <f t="shared" si="4"/>
        <v>107.06919632004166</v>
      </c>
      <c r="O9">
        <f t="shared" si="5"/>
        <v>8.9224330266701379</v>
      </c>
      <c r="P9">
        <f t="shared" si="6"/>
        <v>44.16604348201718</v>
      </c>
      <c r="Q9">
        <f t="shared" si="7"/>
        <v>3.6805036235014317</v>
      </c>
    </row>
    <row r="10" spans="1:17" x14ac:dyDescent="0.15">
      <c r="A10" t="s">
        <v>141</v>
      </c>
      <c r="B10" t="s">
        <v>139</v>
      </c>
      <c r="C10" t="s">
        <v>120</v>
      </c>
      <c r="D10">
        <v>12</v>
      </c>
      <c r="E10">
        <f t="shared" si="0"/>
        <v>5.9206938471499946</v>
      </c>
      <c r="F10">
        <f t="shared" si="1"/>
        <v>1688.9912328119506</v>
      </c>
      <c r="G10">
        <v>9</v>
      </c>
      <c r="H10">
        <v>83</v>
      </c>
      <c r="I10">
        <v>86</v>
      </c>
      <c r="J10">
        <f t="shared" si="2"/>
        <v>84.5</v>
      </c>
      <c r="K10">
        <v>126</v>
      </c>
      <c r="M10">
        <f t="shared" si="3"/>
        <v>34.496776466891731</v>
      </c>
      <c r="N10">
        <f t="shared" si="4"/>
        <v>107.06919632004166</v>
      </c>
      <c r="O10">
        <f t="shared" si="5"/>
        <v>8.9224330266701379</v>
      </c>
      <c r="P10">
        <f t="shared" si="6"/>
        <v>44.16604348201718</v>
      </c>
      <c r="Q10">
        <f t="shared" si="7"/>
        <v>3.6805036235014317</v>
      </c>
    </row>
    <row r="11" spans="1:17" x14ac:dyDescent="0.15">
      <c r="A11" t="s">
        <v>141</v>
      </c>
      <c r="B11" t="s">
        <v>139</v>
      </c>
      <c r="C11" t="s">
        <v>120</v>
      </c>
      <c r="D11">
        <v>12</v>
      </c>
      <c r="E11">
        <f t="shared" si="0"/>
        <v>5.9206938471499946</v>
      </c>
      <c r="F11">
        <f t="shared" si="1"/>
        <v>1688.9912328119506</v>
      </c>
      <c r="G11">
        <v>10</v>
      </c>
      <c r="H11">
        <v>94</v>
      </c>
      <c r="I11">
        <v>101</v>
      </c>
      <c r="J11">
        <f t="shared" si="2"/>
        <v>97.5</v>
      </c>
      <c r="K11">
        <v>143</v>
      </c>
      <c r="M11">
        <f t="shared" si="3"/>
        <v>52.290424478898899</v>
      </c>
      <c r="N11">
        <f t="shared" si="4"/>
        <v>107.06919632004166</v>
      </c>
      <c r="O11">
        <f t="shared" si="5"/>
        <v>8.9224330266701379</v>
      </c>
      <c r="P11">
        <f t="shared" si="6"/>
        <v>44.16604348201718</v>
      </c>
      <c r="Q11">
        <f t="shared" si="7"/>
        <v>3.6805036235014317</v>
      </c>
    </row>
    <row r="12" spans="1:17" x14ac:dyDescent="0.15">
      <c r="A12" t="s">
        <v>141</v>
      </c>
      <c r="B12" t="s">
        <v>139</v>
      </c>
      <c r="C12" t="s">
        <v>120</v>
      </c>
      <c r="D12">
        <v>12</v>
      </c>
      <c r="E12">
        <f t="shared" si="0"/>
        <v>5.9206938471499946</v>
      </c>
      <c r="F12">
        <f t="shared" si="1"/>
        <v>1688.9912328119506</v>
      </c>
      <c r="G12">
        <v>11</v>
      </c>
      <c r="H12">
        <v>104</v>
      </c>
      <c r="I12">
        <v>108</v>
      </c>
      <c r="J12">
        <f t="shared" si="2"/>
        <v>106</v>
      </c>
      <c r="K12">
        <v>162</v>
      </c>
      <c r="M12">
        <f t="shared" si="3"/>
        <v>71.422581347646002</v>
      </c>
      <c r="N12">
        <f t="shared" si="4"/>
        <v>107.06919632004166</v>
      </c>
      <c r="O12">
        <f t="shared" si="5"/>
        <v>8.9224330266701379</v>
      </c>
      <c r="P12">
        <f t="shared" si="6"/>
        <v>44.16604348201718</v>
      </c>
      <c r="Q12">
        <f t="shared" si="7"/>
        <v>3.6805036235014317</v>
      </c>
    </row>
    <row r="13" spans="1:17" x14ac:dyDescent="0.15">
      <c r="A13" t="s">
        <v>141</v>
      </c>
      <c r="B13" t="s">
        <v>139</v>
      </c>
      <c r="C13" t="s">
        <v>120</v>
      </c>
      <c r="D13">
        <v>12</v>
      </c>
      <c r="E13">
        <f t="shared" si="0"/>
        <v>5.9206938471499946</v>
      </c>
      <c r="F13">
        <f t="shared" si="1"/>
        <v>1688.9912328119506</v>
      </c>
      <c r="G13">
        <v>12</v>
      </c>
      <c r="H13">
        <v>91</v>
      </c>
      <c r="I13">
        <v>87</v>
      </c>
      <c r="J13">
        <f t="shared" si="2"/>
        <v>89</v>
      </c>
      <c r="K13">
        <v>157</v>
      </c>
      <c r="M13">
        <f t="shared" si="3"/>
        <v>50.777825824358381</v>
      </c>
      <c r="N13">
        <f t="shared" si="4"/>
        <v>107.06919632004166</v>
      </c>
      <c r="O13">
        <f t="shared" si="5"/>
        <v>8.9224330266701379</v>
      </c>
      <c r="P13">
        <f t="shared" si="6"/>
        <v>44.16604348201718</v>
      </c>
      <c r="Q13">
        <f t="shared" si="7"/>
        <v>3.6805036235014317</v>
      </c>
    </row>
    <row r="14" spans="1:17" x14ac:dyDescent="0.15">
      <c r="A14" t="s">
        <v>141</v>
      </c>
      <c r="B14" t="s">
        <v>139</v>
      </c>
      <c r="C14" t="s">
        <v>120</v>
      </c>
      <c r="D14">
        <v>12</v>
      </c>
      <c r="E14">
        <f t="shared" si="0"/>
        <v>5.9206938471499946</v>
      </c>
      <c r="F14">
        <f t="shared" si="1"/>
        <v>1688.9912328119506</v>
      </c>
      <c r="G14">
        <v>13</v>
      </c>
      <c r="H14">
        <v>75</v>
      </c>
      <c r="I14">
        <v>79</v>
      </c>
      <c r="J14">
        <f t="shared" si="2"/>
        <v>77</v>
      </c>
      <c r="K14">
        <v>128</v>
      </c>
      <c r="M14">
        <f t="shared" si="3"/>
        <v>30.065457086361683</v>
      </c>
      <c r="N14">
        <f t="shared" si="4"/>
        <v>107.06919632004166</v>
      </c>
      <c r="O14">
        <f t="shared" si="5"/>
        <v>8.9224330266701379</v>
      </c>
      <c r="P14">
        <f t="shared" si="6"/>
        <v>44.16604348201718</v>
      </c>
      <c r="Q14">
        <f t="shared" si="7"/>
        <v>3.6805036235014317</v>
      </c>
    </row>
    <row r="15" spans="1:17" x14ac:dyDescent="0.15">
      <c r="A15" t="s">
        <v>141</v>
      </c>
      <c r="B15" t="s">
        <v>139</v>
      </c>
      <c r="C15" t="s">
        <v>120</v>
      </c>
      <c r="D15">
        <v>12</v>
      </c>
      <c r="E15">
        <f t="shared" si="0"/>
        <v>5.9206938471499946</v>
      </c>
      <c r="F15">
        <f t="shared" si="1"/>
        <v>1688.9912328119506</v>
      </c>
      <c r="G15">
        <v>14</v>
      </c>
      <c r="H15">
        <v>116</v>
      </c>
      <c r="I15">
        <v>114</v>
      </c>
      <c r="J15">
        <f t="shared" si="2"/>
        <v>115</v>
      </c>
      <c r="K15">
        <v>164</v>
      </c>
      <c r="M15">
        <f t="shared" si="3"/>
        <v>83.469664975841255</v>
      </c>
      <c r="N15">
        <f t="shared" si="4"/>
        <v>107.06919632004166</v>
      </c>
      <c r="O15">
        <f t="shared" si="5"/>
        <v>8.9224330266701379</v>
      </c>
      <c r="P15">
        <f t="shared" si="6"/>
        <v>44.16604348201718</v>
      </c>
      <c r="Q15">
        <f t="shared" si="7"/>
        <v>3.6805036235014317</v>
      </c>
    </row>
    <row r="16" spans="1:17" x14ac:dyDescent="0.15">
      <c r="A16" t="s">
        <v>141</v>
      </c>
      <c r="B16" t="s">
        <v>139</v>
      </c>
      <c r="C16" t="s">
        <v>120</v>
      </c>
      <c r="D16">
        <v>12</v>
      </c>
      <c r="E16">
        <f t="shared" si="0"/>
        <v>5.9206938471499946</v>
      </c>
      <c r="F16">
        <f t="shared" si="1"/>
        <v>1688.9912328119506</v>
      </c>
      <c r="G16">
        <v>15</v>
      </c>
      <c r="H16">
        <v>104</v>
      </c>
      <c r="I16">
        <v>99</v>
      </c>
      <c r="J16">
        <f t="shared" si="2"/>
        <v>101.5</v>
      </c>
      <c r="K16">
        <v>163</v>
      </c>
      <c r="M16">
        <f t="shared" si="3"/>
        <v>66.874930101762232</v>
      </c>
      <c r="N16">
        <f t="shared" si="4"/>
        <v>107.06919632004166</v>
      </c>
      <c r="O16">
        <f t="shared" si="5"/>
        <v>8.9224330266701379</v>
      </c>
      <c r="P16">
        <f t="shared" si="6"/>
        <v>44.16604348201718</v>
      </c>
      <c r="Q16">
        <f t="shared" si="7"/>
        <v>3.6805036235014317</v>
      </c>
    </row>
    <row r="17" spans="1:17" x14ac:dyDescent="0.15">
      <c r="A17" t="s">
        <v>141</v>
      </c>
      <c r="B17" t="s">
        <v>139</v>
      </c>
      <c r="C17" t="s">
        <v>120</v>
      </c>
      <c r="D17">
        <v>12</v>
      </c>
      <c r="E17">
        <f t="shared" si="0"/>
        <v>5.9206938471499946</v>
      </c>
      <c r="F17">
        <f t="shared" si="1"/>
        <v>1688.9912328119506</v>
      </c>
      <c r="G17">
        <v>16</v>
      </c>
      <c r="H17">
        <v>97</v>
      </c>
      <c r="I17">
        <v>109</v>
      </c>
      <c r="J17">
        <f t="shared" si="2"/>
        <v>103</v>
      </c>
      <c r="K17">
        <v>159</v>
      </c>
      <c r="M17">
        <f t="shared" si="3"/>
        <v>66.303198918162977</v>
      </c>
      <c r="N17">
        <f t="shared" si="4"/>
        <v>107.06919632004166</v>
      </c>
      <c r="O17">
        <f t="shared" si="5"/>
        <v>8.9224330266701379</v>
      </c>
      <c r="P17">
        <f t="shared" si="6"/>
        <v>44.16604348201718</v>
      </c>
      <c r="Q17">
        <f t="shared" si="7"/>
        <v>3.6805036235014317</v>
      </c>
    </row>
    <row r="18" spans="1:17" x14ac:dyDescent="0.15">
      <c r="A18" t="s">
        <v>141</v>
      </c>
      <c r="B18" t="s">
        <v>139</v>
      </c>
      <c r="C18" t="s">
        <v>120</v>
      </c>
      <c r="D18">
        <v>12</v>
      </c>
      <c r="E18">
        <f t="shared" si="0"/>
        <v>5.9206938471499946</v>
      </c>
      <c r="F18">
        <f t="shared" si="1"/>
        <v>1688.9912328119506</v>
      </c>
      <c r="G18">
        <v>17</v>
      </c>
      <c r="H18">
        <v>131</v>
      </c>
      <c r="I18">
        <v>120</v>
      </c>
      <c r="J18">
        <f t="shared" si="2"/>
        <v>125.5</v>
      </c>
      <c r="K18">
        <v>173</v>
      </c>
      <c r="M18">
        <f t="shared" si="3"/>
        <v>104.18253814038698</v>
      </c>
      <c r="N18">
        <f t="shared" si="4"/>
        <v>107.06919632004166</v>
      </c>
      <c r="O18">
        <f t="shared" si="5"/>
        <v>8.9224330266701379</v>
      </c>
      <c r="P18">
        <f t="shared" si="6"/>
        <v>44.16604348201718</v>
      </c>
      <c r="Q18">
        <f t="shared" si="7"/>
        <v>3.6805036235014317</v>
      </c>
    </row>
    <row r="19" spans="1:17" x14ac:dyDescent="0.15">
      <c r="A19" t="s">
        <v>141</v>
      </c>
      <c r="B19" t="s">
        <v>139</v>
      </c>
      <c r="C19" t="s">
        <v>120</v>
      </c>
      <c r="D19">
        <v>12</v>
      </c>
      <c r="E19">
        <f t="shared" si="0"/>
        <v>5.9206938471499946</v>
      </c>
      <c r="F19">
        <f t="shared" si="1"/>
        <v>1688.9912328119506</v>
      </c>
      <c r="G19">
        <v>18</v>
      </c>
      <c r="H19">
        <v>115</v>
      </c>
      <c r="I19">
        <v>130</v>
      </c>
      <c r="J19">
        <f t="shared" si="2"/>
        <v>122.5</v>
      </c>
      <c r="K19">
        <v>157</v>
      </c>
      <c r="M19">
        <f t="shared" si="3"/>
        <v>87.650358017370735</v>
      </c>
      <c r="N19">
        <f t="shared" si="4"/>
        <v>107.06919632004166</v>
      </c>
      <c r="O19">
        <f t="shared" si="5"/>
        <v>8.9224330266701379</v>
      </c>
      <c r="P19">
        <f t="shared" si="6"/>
        <v>44.16604348201718</v>
      </c>
      <c r="Q19">
        <f t="shared" si="7"/>
        <v>3.6805036235014317</v>
      </c>
    </row>
    <row r="20" spans="1:17" x14ac:dyDescent="0.15">
      <c r="A20" t="s">
        <v>141</v>
      </c>
      <c r="B20" t="s">
        <v>139</v>
      </c>
      <c r="C20" t="s">
        <v>120</v>
      </c>
      <c r="D20">
        <v>12</v>
      </c>
      <c r="E20">
        <f t="shared" si="0"/>
        <v>5.9206938471499946</v>
      </c>
      <c r="F20">
        <f t="shared" si="1"/>
        <v>1688.9912328119506</v>
      </c>
      <c r="G20">
        <v>19</v>
      </c>
      <c r="H20">
        <v>75</v>
      </c>
      <c r="I20">
        <v>76</v>
      </c>
      <c r="J20">
        <f t="shared" si="2"/>
        <v>75.5</v>
      </c>
      <c r="K20">
        <v>129</v>
      </c>
      <c r="M20">
        <f t="shared" si="3"/>
        <v>29.379648785539313</v>
      </c>
      <c r="N20">
        <f t="shared" si="4"/>
        <v>107.06919632004166</v>
      </c>
      <c r="O20">
        <f t="shared" si="5"/>
        <v>8.9224330266701379</v>
      </c>
      <c r="P20">
        <f t="shared" si="6"/>
        <v>44.16604348201718</v>
      </c>
      <c r="Q20">
        <f t="shared" si="7"/>
        <v>3.6805036235014317</v>
      </c>
    </row>
    <row r="21" spans="1:17" x14ac:dyDescent="0.15">
      <c r="A21" t="s">
        <v>141</v>
      </c>
      <c r="B21" t="s">
        <v>139</v>
      </c>
      <c r="C21" t="s">
        <v>120</v>
      </c>
      <c r="D21">
        <v>12</v>
      </c>
      <c r="E21">
        <f t="shared" si="0"/>
        <v>5.9206938471499946</v>
      </c>
      <c r="F21">
        <f t="shared" si="1"/>
        <v>1688.9912328119506</v>
      </c>
      <c r="G21">
        <v>20</v>
      </c>
      <c r="H21">
        <v>127</v>
      </c>
      <c r="I21">
        <v>123</v>
      </c>
      <c r="J21">
        <f t="shared" si="2"/>
        <v>125</v>
      </c>
      <c r="K21">
        <v>156</v>
      </c>
      <c r="M21">
        <f t="shared" si="3"/>
        <v>89.947108507755985</v>
      </c>
      <c r="N21">
        <f t="shared" si="4"/>
        <v>107.06919632004166</v>
      </c>
      <c r="O21">
        <f t="shared" si="5"/>
        <v>8.9224330266701379</v>
      </c>
      <c r="P21">
        <f t="shared" si="6"/>
        <v>44.16604348201718</v>
      </c>
      <c r="Q21">
        <f t="shared" si="7"/>
        <v>3.6805036235014317</v>
      </c>
    </row>
    <row r="22" spans="1:17" x14ac:dyDescent="0.15">
      <c r="A22" t="s">
        <v>141</v>
      </c>
      <c r="B22" t="s">
        <v>139</v>
      </c>
      <c r="C22" t="s">
        <v>120</v>
      </c>
      <c r="D22">
        <v>12</v>
      </c>
      <c r="E22">
        <f t="shared" si="0"/>
        <v>5.9206938471499946</v>
      </c>
      <c r="F22">
        <f t="shared" si="1"/>
        <v>1688.9912328119506</v>
      </c>
      <c r="G22">
        <v>21</v>
      </c>
      <c r="H22">
        <v>129</v>
      </c>
      <c r="I22">
        <v>134</v>
      </c>
      <c r="J22">
        <f t="shared" si="2"/>
        <v>131.5</v>
      </c>
      <c r="K22">
        <v>158</v>
      </c>
      <c r="M22">
        <f t="shared" si="3"/>
        <v>99.792937590682627</v>
      </c>
      <c r="N22">
        <f t="shared" si="4"/>
        <v>107.06919632004166</v>
      </c>
      <c r="O22">
        <f t="shared" si="5"/>
        <v>8.9224330266701379</v>
      </c>
      <c r="P22">
        <f t="shared" si="6"/>
        <v>44.16604348201718</v>
      </c>
      <c r="Q22">
        <f t="shared" si="7"/>
        <v>3.6805036235014317</v>
      </c>
    </row>
    <row r="23" spans="1:17" x14ac:dyDescent="0.15">
      <c r="A23" t="s">
        <v>141</v>
      </c>
      <c r="B23" t="s">
        <v>139</v>
      </c>
      <c r="C23" t="s">
        <v>120</v>
      </c>
      <c r="D23">
        <v>12</v>
      </c>
      <c r="E23">
        <f t="shared" si="0"/>
        <v>5.9206938471499946</v>
      </c>
      <c r="F23">
        <f t="shared" si="1"/>
        <v>1688.9912328119506</v>
      </c>
      <c r="G23">
        <v>22</v>
      </c>
      <c r="H23">
        <v>93</v>
      </c>
      <c r="I23">
        <v>97</v>
      </c>
      <c r="J23">
        <f t="shared" si="2"/>
        <v>95</v>
      </c>
      <c r="K23">
        <v>141</v>
      </c>
      <c r="M23">
        <f t="shared" si="3"/>
        <v>49.075045857232475</v>
      </c>
      <c r="N23">
        <f t="shared" si="4"/>
        <v>107.06919632004166</v>
      </c>
      <c r="O23">
        <f t="shared" si="5"/>
        <v>8.9224330266701379</v>
      </c>
      <c r="P23">
        <f t="shared" si="6"/>
        <v>44.16604348201718</v>
      </c>
      <c r="Q23">
        <f t="shared" si="7"/>
        <v>3.6805036235014317</v>
      </c>
    </row>
    <row r="24" spans="1:17" x14ac:dyDescent="0.15">
      <c r="A24" t="s">
        <v>141</v>
      </c>
      <c r="B24" t="s">
        <v>139</v>
      </c>
      <c r="C24" t="s">
        <v>120</v>
      </c>
      <c r="D24">
        <v>12</v>
      </c>
      <c r="E24">
        <f t="shared" si="0"/>
        <v>5.9206938471499946</v>
      </c>
      <c r="F24">
        <f t="shared" si="1"/>
        <v>1688.9912328119506</v>
      </c>
      <c r="G24">
        <v>23</v>
      </c>
      <c r="H24">
        <v>104</v>
      </c>
      <c r="I24">
        <v>98</v>
      </c>
      <c r="J24">
        <f t="shared" si="2"/>
        <v>101</v>
      </c>
      <c r="K24">
        <v>132</v>
      </c>
      <c r="M24">
        <f t="shared" si="3"/>
        <v>49.832169338633555</v>
      </c>
      <c r="N24">
        <f t="shared" si="4"/>
        <v>107.06919632004166</v>
      </c>
      <c r="O24">
        <f t="shared" si="5"/>
        <v>8.9224330266701379</v>
      </c>
      <c r="P24">
        <f t="shared" si="6"/>
        <v>44.16604348201718</v>
      </c>
      <c r="Q24">
        <f t="shared" si="7"/>
        <v>3.6805036235014317</v>
      </c>
    </row>
    <row r="25" spans="1:17" x14ac:dyDescent="0.15">
      <c r="A25" t="s">
        <v>141</v>
      </c>
      <c r="B25" t="s">
        <v>139</v>
      </c>
      <c r="C25" t="s">
        <v>120</v>
      </c>
      <c r="D25">
        <v>12</v>
      </c>
      <c r="E25">
        <f t="shared" si="0"/>
        <v>5.9206938471499946</v>
      </c>
      <c r="F25">
        <f t="shared" si="1"/>
        <v>1688.9912328119506</v>
      </c>
      <c r="G25">
        <v>24</v>
      </c>
      <c r="H25">
        <v>115</v>
      </c>
      <c r="I25">
        <v>108</v>
      </c>
      <c r="J25">
        <f t="shared" si="2"/>
        <v>111.5</v>
      </c>
      <c r="K25">
        <v>148</v>
      </c>
      <c r="M25">
        <f t="shared" si="3"/>
        <v>68.89803355639836</v>
      </c>
      <c r="N25">
        <f t="shared" si="4"/>
        <v>107.06919632004166</v>
      </c>
      <c r="O25">
        <f t="shared" si="5"/>
        <v>8.9224330266701379</v>
      </c>
      <c r="P25">
        <f t="shared" si="6"/>
        <v>44.16604348201718</v>
      </c>
      <c r="Q25">
        <f t="shared" si="7"/>
        <v>3.6805036235014317</v>
      </c>
    </row>
    <row r="26" spans="1:17" x14ac:dyDescent="0.15">
      <c r="A26" t="s">
        <v>141</v>
      </c>
      <c r="B26" t="s">
        <v>139</v>
      </c>
      <c r="C26" t="s">
        <v>120</v>
      </c>
      <c r="D26">
        <v>12</v>
      </c>
      <c r="E26">
        <f t="shared" si="0"/>
        <v>5.9206938471499946</v>
      </c>
      <c r="F26">
        <f t="shared" si="1"/>
        <v>1688.9912328119506</v>
      </c>
      <c r="G26">
        <v>25</v>
      </c>
      <c r="H26">
        <v>123</v>
      </c>
      <c r="I26">
        <v>135</v>
      </c>
      <c r="J26">
        <f t="shared" si="2"/>
        <v>129</v>
      </c>
      <c r="K26">
        <v>156</v>
      </c>
      <c r="M26">
        <f t="shared" si="3"/>
        <v>94.920958708841241</v>
      </c>
      <c r="N26">
        <f t="shared" si="4"/>
        <v>107.06919632004166</v>
      </c>
      <c r="O26">
        <f t="shared" si="5"/>
        <v>8.9224330266701379</v>
      </c>
      <c r="P26">
        <f t="shared" si="6"/>
        <v>44.16604348201718</v>
      </c>
      <c r="Q26">
        <f t="shared" si="7"/>
        <v>3.6805036235014317</v>
      </c>
    </row>
    <row r="27" spans="1:17" x14ac:dyDescent="0.15">
      <c r="A27" t="s">
        <v>141</v>
      </c>
      <c r="B27" t="s">
        <v>139</v>
      </c>
      <c r="C27" t="s">
        <v>120</v>
      </c>
      <c r="D27">
        <v>12</v>
      </c>
      <c r="E27">
        <f t="shared" si="0"/>
        <v>5.9206938471499946</v>
      </c>
      <c r="F27">
        <f t="shared" si="1"/>
        <v>1688.9912328119506</v>
      </c>
      <c r="G27">
        <v>26</v>
      </c>
      <c r="H27">
        <v>95</v>
      </c>
      <c r="I27">
        <v>90</v>
      </c>
      <c r="J27">
        <f t="shared" si="2"/>
        <v>92.5</v>
      </c>
      <c r="K27">
        <v>139</v>
      </c>
      <c r="M27">
        <f t="shared" si="3"/>
        <v>45.990359451547221</v>
      </c>
      <c r="N27">
        <f t="shared" si="4"/>
        <v>107.06919632004166</v>
      </c>
      <c r="O27">
        <f t="shared" si="5"/>
        <v>8.9224330266701379</v>
      </c>
      <c r="P27">
        <f t="shared" si="6"/>
        <v>44.16604348201718</v>
      </c>
      <c r="Q27">
        <f t="shared" si="7"/>
        <v>3.6805036235014317</v>
      </c>
    </row>
    <row r="29" spans="1:17" x14ac:dyDescent="0.15">
      <c r="A29" t="s">
        <v>263</v>
      </c>
    </row>
    <row r="30" spans="1:17" x14ac:dyDescent="0.15">
      <c r="A30" t="s">
        <v>255</v>
      </c>
    </row>
    <row r="31" spans="1:17" x14ac:dyDescent="0.15">
      <c r="A31" t="s">
        <v>228</v>
      </c>
      <c r="B31" t="s">
        <v>229</v>
      </c>
      <c r="D31" t="s">
        <v>251</v>
      </c>
    </row>
    <row r="32" spans="1:17" x14ac:dyDescent="0.15">
      <c r="A32">
        <v>1684</v>
      </c>
      <c r="B32">
        <v>395.4</v>
      </c>
      <c r="D32">
        <f t="shared" ref="D32:D41" si="8">B32/$A$44</f>
        <v>0.97114085717794429</v>
      </c>
    </row>
    <row r="33" spans="1:4" x14ac:dyDescent="0.15">
      <c r="A33">
        <v>1689</v>
      </c>
      <c r="B33">
        <v>368.4</v>
      </c>
      <c r="D33">
        <f t="shared" si="8"/>
        <v>0.90482623111875227</v>
      </c>
    </row>
    <row r="34" spans="1:4" x14ac:dyDescent="0.15">
      <c r="A34">
        <v>1690</v>
      </c>
      <c r="B34">
        <v>380.4</v>
      </c>
      <c r="D34">
        <f t="shared" si="8"/>
        <v>0.93429939825617092</v>
      </c>
    </row>
    <row r="35" spans="1:4" x14ac:dyDescent="0.15">
      <c r="A35">
        <v>1682</v>
      </c>
      <c r="B35">
        <v>410.7</v>
      </c>
      <c r="D35">
        <f t="shared" si="8"/>
        <v>1.008719145278153</v>
      </c>
    </row>
    <row r="36" spans="1:4" x14ac:dyDescent="0.15">
      <c r="A36">
        <v>1687</v>
      </c>
      <c r="B36">
        <v>407.8</v>
      </c>
      <c r="D36">
        <f t="shared" si="8"/>
        <v>1.0015964632199437</v>
      </c>
    </row>
    <row r="37" spans="1:4" x14ac:dyDescent="0.15">
      <c r="A37">
        <v>1681</v>
      </c>
      <c r="B37">
        <v>368.2</v>
      </c>
      <c r="D37">
        <f t="shared" si="8"/>
        <v>0.90433501166646202</v>
      </c>
    </row>
    <row r="38" spans="1:4" x14ac:dyDescent="0.15">
      <c r="A38">
        <v>1685</v>
      </c>
      <c r="B38">
        <v>399.2</v>
      </c>
      <c r="D38">
        <f t="shared" si="8"/>
        <v>0.98047402677146023</v>
      </c>
    </row>
    <row r="39" spans="1:4" x14ac:dyDescent="0.15">
      <c r="A39">
        <v>1698</v>
      </c>
      <c r="B39">
        <v>400.4</v>
      </c>
      <c r="D39">
        <f t="shared" si="8"/>
        <v>0.98342134348520205</v>
      </c>
    </row>
    <row r="40" spans="1:4" x14ac:dyDescent="0.15">
      <c r="A40">
        <v>1686</v>
      </c>
      <c r="B40">
        <v>431.4</v>
      </c>
      <c r="D40">
        <f t="shared" si="8"/>
        <v>1.0595603585902003</v>
      </c>
    </row>
    <row r="41" spans="1:4" x14ac:dyDescent="0.15">
      <c r="A41">
        <v>1683</v>
      </c>
      <c r="B41">
        <v>386.3</v>
      </c>
      <c r="D41">
        <f t="shared" si="8"/>
        <v>0.94879037209873518</v>
      </c>
    </row>
    <row r="43" spans="1:4" x14ac:dyDescent="0.15">
      <c r="A43" t="s">
        <v>343</v>
      </c>
      <c r="D43">
        <f>AVERAGE(D32:D41)</f>
        <v>0.96971632076630221</v>
      </c>
    </row>
    <row r="44" spans="1:4" x14ac:dyDescent="0.15">
      <c r="A44">
        <v>407.15</v>
      </c>
      <c r="B44" t="s">
        <v>253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P2" sqref="P2"/>
    </sheetView>
  </sheetViews>
  <sheetFormatPr defaultRowHeight="10.5" x14ac:dyDescent="0.15"/>
  <cols>
    <col min="1" max="1" width="16.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8" x14ac:dyDescent="0.15">
      <c r="A1" t="s">
        <v>124</v>
      </c>
      <c r="B1" t="s">
        <v>126</v>
      </c>
      <c r="C1" t="s">
        <v>82</v>
      </c>
      <c r="D1" t="s">
        <v>84</v>
      </c>
      <c r="E1" t="s">
        <v>134</v>
      </c>
      <c r="F1" t="s">
        <v>135</v>
      </c>
      <c r="G1" t="s">
        <v>127</v>
      </c>
      <c r="H1" t="s">
        <v>128</v>
      </c>
      <c r="I1" t="s">
        <v>129</v>
      </c>
      <c r="J1" t="s">
        <v>89</v>
      </c>
      <c r="K1" t="s">
        <v>88</v>
      </c>
      <c r="L1" t="s">
        <v>92</v>
      </c>
      <c r="M1" t="s">
        <v>144</v>
      </c>
      <c r="N1" t="s">
        <v>143</v>
      </c>
      <c r="O1" t="s">
        <v>145</v>
      </c>
      <c r="P1" t="s">
        <v>146</v>
      </c>
      <c r="Q1" t="s">
        <v>147</v>
      </c>
    </row>
    <row r="2" spans="1:18" x14ac:dyDescent="0.15">
      <c r="A2" t="s">
        <v>142</v>
      </c>
      <c r="B2" t="s">
        <v>139</v>
      </c>
      <c r="C2" t="s">
        <v>120</v>
      </c>
      <c r="D2">
        <v>30</v>
      </c>
      <c r="E2">
        <f>7^2*PI()/9</f>
        <v>17.104226669544428</v>
      </c>
      <c r="F2">
        <f>10000/E2</f>
        <v>584.65081135798289</v>
      </c>
      <c r="G2">
        <v>1</v>
      </c>
      <c r="H2">
        <v>291</v>
      </c>
      <c r="I2">
        <v>257</v>
      </c>
      <c r="J2">
        <f>AVERAGE(H2:I2)</f>
        <v>274</v>
      </c>
      <c r="K2">
        <v>275</v>
      </c>
      <c r="M2">
        <f>EXP(-3.53769+1.70873*LN(J2/10)+1.35448*LN(K2/10))</f>
        <v>741.09796488905886</v>
      </c>
      <c r="N2">
        <f>AVERAGE(M$2:M410)*F2/1000</f>
        <v>491.12356966371823</v>
      </c>
      <c r="O2">
        <f>N2/D2</f>
        <v>16.370785655457276</v>
      </c>
      <c r="P2">
        <f>N2*0.33/0.78</f>
        <v>207.78304870388078</v>
      </c>
      <c r="Q2">
        <f>P2/D2</f>
        <v>6.9261016234626931</v>
      </c>
    </row>
    <row r="3" spans="1:18" x14ac:dyDescent="0.15">
      <c r="A3" t="s">
        <v>142</v>
      </c>
      <c r="B3" t="s">
        <v>139</v>
      </c>
      <c r="C3" t="s">
        <v>120</v>
      </c>
      <c r="D3">
        <v>30</v>
      </c>
      <c r="E3">
        <f t="shared" ref="E3:E10" si="0">7^2*PI()/9</f>
        <v>17.104226669544428</v>
      </c>
      <c r="F3">
        <f t="shared" ref="F3:F10" si="1">10000/E3</f>
        <v>584.65081135798289</v>
      </c>
      <c r="G3">
        <v>2</v>
      </c>
      <c r="H3">
        <v>254</v>
      </c>
      <c r="I3">
        <v>299</v>
      </c>
      <c r="J3">
        <f t="shared" ref="J3:J10" si="2">AVERAGE(H3:I3)</f>
        <v>276.5</v>
      </c>
      <c r="K3">
        <v>271</v>
      </c>
      <c r="M3">
        <f t="shared" ref="M3:M10" si="3">EXP(-3.53769+1.70873*LN(J3/10)+1.35448*LN(K3/10))</f>
        <v>737.89867165840064</v>
      </c>
      <c r="N3">
        <f>AVERAGE(M$2:M411)*F3/1000</f>
        <v>491.12356966371823</v>
      </c>
      <c r="O3">
        <f t="shared" ref="O3:O10" si="4">N3/D3</f>
        <v>16.370785655457276</v>
      </c>
      <c r="P3">
        <f t="shared" ref="P3:P10" si="5">N3*0.33/0.78</f>
        <v>207.78304870388078</v>
      </c>
      <c r="Q3">
        <f t="shared" ref="Q3:Q10" si="6">P3/D3</f>
        <v>6.9261016234626931</v>
      </c>
    </row>
    <row r="4" spans="1:18" x14ac:dyDescent="0.15">
      <c r="A4" t="s">
        <v>142</v>
      </c>
      <c r="B4" t="s">
        <v>139</v>
      </c>
      <c r="C4" t="s">
        <v>120</v>
      </c>
      <c r="D4">
        <v>30</v>
      </c>
      <c r="E4">
        <f t="shared" si="0"/>
        <v>17.104226669544428</v>
      </c>
      <c r="F4">
        <f t="shared" si="1"/>
        <v>584.65081135798289</v>
      </c>
      <c r="G4">
        <v>3</v>
      </c>
      <c r="H4">
        <v>296</v>
      </c>
      <c r="I4">
        <v>325</v>
      </c>
      <c r="J4">
        <f t="shared" si="2"/>
        <v>310.5</v>
      </c>
      <c r="K4">
        <v>298</v>
      </c>
      <c r="M4">
        <f t="shared" si="3"/>
        <v>1023.1224755037172</v>
      </c>
      <c r="N4">
        <f>AVERAGE(M$2:M412)*F4/1000</f>
        <v>491.12356966371823</v>
      </c>
      <c r="O4">
        <f t="shared" si="4"/>
        <v>16.370785655457276</v>
      </c>
      <c r="P4">
        <f t="shared" si="5"/>
        <v>207.78304870388078</v>
      </c>
      <c r="Q4">
        <f t="shared" si="6"/>
        <v>6.9261016234626931</v>
      </c>
    </row>
    <row r="5" spans="1:18" x14ac:dyDescent="0.15">
      <c r="A5" t="s">
        <v>142</v>
      </c>
      <c r="B5" t="s">
        <v>139</v>
      </c>
      <c r="C5" t="s">
        <v>120</v>
      </c>
      <c r="D5">
        <v>30</v>
      </c>
      <c r="E5">
        <f t="shared" si="0"/>
        <v>17.104226669544428</v>
      </c>
      <c r="F5">
        <f t="shared" si="1"/>
        <v>584.65081135798289</v>
      </c>
      <c r="G5">
        <v>4</v>
      </c>
      <c r="H5">
        <v>285</v>
      </c>
      <c r="I5">
        <v>265</v>
      </c>
      <c r="J5">
        <f t="shared" si="2"/>
        <v>275</v>
      </c>
      <c r="K5">
        <v>278</v>
      </c>
      <c r="M5">
        <f t="shared" si="3"/>
        <v>756.76581107563777</v>
      </c>
      <c r="N5">
        <f>AVERAGE(M$2:M413)*F5/1000</f>
        <v>491.12356966371823</v>
      </c>
      <c r="O5">
        <f t="shared" si="4"/>
        <v>16.370785655457276</v>
      </c>
      <c r="P5">
        <f t="shared" si="5"/>
        <v>207.78304870388078</v>
      </c>
      <c r="Q5">
        <f t="shared" si="6"/>
        <v>6.9261016234626931</v>
      </c>
    </row>
    <row r="6" spans="1:18" x14ac:dyDescent="0.15">
      <c r="A6" t="s">
        <v>142</v>
      </c>
      <c r="B6" t="s">
        <v>139</v>
      </c>
      <c r="C6" t="s">
        <v>120</v>
      </c>
      <c r="D6">
        <v>30</v>
      </c>
      <c r="E6">
        <f t="shared" si="0"/>
        <v>17.104226669544428</v>
      </c>
      <c r="F6">
        <f t="shared" si="1"/>
        <v>584.65081135798289</v>
      </c>
      <c r="G6">
        <v>5</v>
      </c>
      <c r="H6">
        <v>291</v>
      </c>
      <c r="I6">
        <v>309</v>
      </c>
      <c r="J6">
        <f t="shared" si="2"/>
        <v>300</v>
      </c>
      <c r="K6">
        <v>305</v>
      </c>
      <c r="M6">
        <f t="shared" si="3"/>
        <v>995.53515857881973</v>
      </c>
      <c r="N6">
        <f>AVERAGE(M$2:M414)*F6/1000</f>
        <v>491.12356966371823</v>
      </c>
      <c r="O6">
        <f t="shared" si="4"/>
        <v>16.370785655457276</v>
      </c>
      <c r="P6">
        <f t="shared" si="5"/>
        <v>207.78304870388078</v>
      </c>
      <c r="Q6">
        <f t="shared" si="6"/>
        <v>6.9261016234626931</v>
      </c>
    </row>
    <row r="7" spans="1:18" x14ac:dyDescent="0.15">
      <c r="A7" t="s">
        <v>142</v>
      </c>
      <c r="B7" t="s">
        <v>139</v>
      </c>
      <c r="C7" t="s">
        <v>120</v>
      </c>
      <c r="D7">
        <v>30</v>
      </c>
      <c r="E7">
        <f t="shared" si="0"/>
        <v>17.104226669544428</v>
      </c>
      <c r="F7">
        <f t="shared" si="1"/>
        <v>584.65081135798289</v>
      </c>
      <c r="G7">
        <v>6</v>
      </c>
      <c r="H7">
        <v>309</v>
      </c>
      <c r="I7">
        <v>291</v>
      </c>
      <c r="J7">
        <f t="shared" si="2"/>
        <v>300</v>
      </c>
      <c r="K7">
        <v>298</v>
      </c>
      <c r="M7">
        <f t="shared" si="3"/>
        <v>964.71404481677621</v>
      </c>
      <c r="N7">
        <f>AVERAGE(M$2:M415)*F7/1000</f>
        <v>491.12356966371823</v>
      </c>
      <c r="O7">
        <f t="shared" si="4"/>
        <v>16.370785655457276</v>
      </c>
      <c r="P7">
        <f t="shared" si="5"/>
        <v>207.78304870388078</v>
      </c>
      <c r="Q7">
        <f t="shared" si="6"/>
        <v>6.9261016234626931</v>
      </c>
    </row>
    <row r="8" spans="1:18" x14ac:dyDescent="0.15">
      <c r="A8" t="s">
        <v>142</v>
      </c>
      <c r="B8" t="s">
        <v>139</v>
      </c>
      <c r="C8" t="s">
        <v>120</v>
      </c>
      <c r="D8">
        <v>30</v>
      </c>
      <c r="E8">
        <f t="shared" si="0"/>
        <v>17.104226669544428</v>
      </c>
      <c r="F8">
        <f t="shared" si="1"/>
        <v>584.65081135798289</v>
      </c>
      <c r="G8">
        <v>7</v>
      </c>
      <c r="H8">
        <v>290</v>
      </c>
      <c r="I8">
        <v>282</v>
      </c>
      <c r="J8">
        <f t="shared" si="2"/>
        <v>286</v>
      </c>
      <c r="K8">
        <v>303</v>
      </c>
      <c r="M8">
        <f t="shared" si="3"/>
        <v>909.32995453247543</v>
      </c>
      <c r="N8">
        <f>AVERAGE(M$2:M416)*F8/1000</f>
        <v>491.12356966371823</v>
      </c>
      <c r="O8">
        <f t="shared" si="4"/>
        <v>16.370785655457276</v>
      </c>
      <c r="P8">
        <f t="shared" si="5"/>
        <v>207.78304870388078</v>
      </c>
      <c r="Q8">
        <f t="shared" si="6"/>
        <v>6.9261016234626931</v>
      </c>
    </row>
    <row r="9" spans="1:18" x14ac:dyDescent="0.15">
      <c r="A9" t="s">
        <v>142</v>
      </c>
      <c r="B9" t="s">
        <v>139</v>
      </c>
      <c r="C9" t="s">
        <v>120</v>
      </c>
      <c r="D9">
        <v>30</v>
      </c>
      <c r="E9">
        <f t="shared" si="0"/>
        <v>17.104226669544428</v>
      </c>
      <c r="F9">
        <f t="shared" si="1"/>
        <v>584.65081135798289</v>
      </c>
      <c r="G9">
        <v>8</v>
      </c>
      <c r="H9">
        <v>248</v>
      </c>
      <c r="I9">
        <v>234</v>
      </c>
      <c r="J9">
        <f t="shared" si="2"/>
        <v>241</v>
      </c>
      <c r="K9">
        <v>297</v>
      </c>
      <c r="M9">
        <f t="shared" si="3"/>
        <v>660.56246304094157</v>
      </c>
      <c r="N9">
        <f>AVERAGE(M$2:M417)*F9/1000</f>
        <v>491.12356966371823</v>
      </c>
      <c r="O9">
        <f t="shared" si="4"/>
        <v>16.370785655457276</v>
      </c>
      <c r="P9">
        <f t="shared" si="5"/>
        <v>207.78304870388078</v>
      </c>
      <c r="Q9">
        <f t="shared" si="6"/>
        <v>6.9261016234626931</v>
      </c>
    </row>
    <row r="10" spans="1:18" x14ac:dyDescent="0.15">
      <c r="A10" t="s">
        <v>142</v>
      </c>
      <c r="B10" t="s">
        <v>139</v>
      </c>
      <c r="C10" t="s">
        <v>120</v>
      </c>
      <c r="D10">
        <v>30</v>
      </c>
      <c r="E10">
        <f t="shared" si="0"/>
        <v>17.104226669544428</v>
      </c>
      <c r="F10">
        <f t="shared" si="1"/>
        <v>584.65081135798289</v>
      </c>
      <c r="G10">
        <v>9</v>
      </c>
      <c r="H10">
        <v>280</v>
      </c>
      <c r="I10">
        <v>252</v>
      </c>
      <c r="J10">
        <f t="shared" si="2"/>
        <v>266</v>
      </c>
      <c r="K10">
        <v>294</v>
      </c>
      <c r="M10">
        <f t="shared" si="3"/>
        <v>771.23342835979975</v>
      </c>
      <c r="N10">
        <f>AVERAGE(M$2:M418)*F10/1000</f>
        <v>491.12356966371823</v>
      </c>
      <c r="O10">
        <f t="shared" si="4"/>
        <v>16.370785655457276</v>
      </c>
      <c r="P10">
        <f t="shared" si="5"/>
        <v>207.78304870388078</v>
      </c>
      <c r="Q10">
        <f t="shared" si="6"/>
        <v>6.9261016234626931</v>
      </c>
    </row>
    <row r="12" spans="1:18" s="75" customFormat="1" x14ac:dyDescent="0.15">
      <c r="A12" s="75" t="s">
        <v>264</v>
      </c>
      <c r="G12" s="75" t="s">
        <v>265</v>
      </c>
      <c r="N12" s="75" t="s">
        <v>266</v>
      </c>
    </row>
    <row r="13" spans="1:18" x14ac:dyDescent="0.15">
      <c r="A13" t="s">
        <v>262</v>
      </c>
    </row>
    <row r="14" spans="1:18" x14ac:dyDescent="0.15">
      <c r="A14" t="s">
        <v>228</v>
      </c>
      <c r="B14" t="s">
        <v>229</v>
      </c>
      <c r="D14" t="s">
        <v>251</v>
      </c>
      <c r="G14" t="s">
        <v>228</v>
      </c>
      <c r="H14" t="s">
        <v>229</v>
      </c>
      <c r="J14" t="s">
        <v>251</v>
      </c>
      <c r="K14">
        <v>407.15</v>
      </c>
      <c r="N14" t="s">
        <v>228</v>
      </c>
      <c r="O14" t="s">
        <v>229</v>
      </c>
      <c r="Q14" t="s">
        <v>251</v>
      </c>
      <c r="R14">
        <v>407.15</v>
      </c>
    </row>
    <row r="15" spans="1:18" x14ac:dyDescent="0.15">
      <c r="A15">
        <v>175</v>
      </c>
      <c r="B15">
        <v>473.1</v>
      </c>
      <c r="D15">
        <f t="shared" ref="D15:D24" si="7">B15/$A$27</f>
        <v>1.1619796143927301</v>
      </c>
      <c r="G15">
        <v>546</v>
      </c>
      <c r="H15">
        <v>423</v>
      </c>
      <c r="J15">
        <f>H15/$K$14</f>
        <v>1.0389291415940072</v>
      </c>
      <c r="N15">
        <v>554</v>
      </c>
      <c r="O15">
        <v>368</v>
      </c>
      <c r="Q15">
        <f>O15/$R$14</f>
        <v>0.90384379221417177</v>
      </c>
    </row>
    <row r="16" spans="1:18" x14ac:dyDescent="0.15">
      <c r="A16">
        <v>1521</v>
      </c>
      <c r="B16">
        <v>436.2</v>
      </c>
      <c r="D16">
        <f t="shared" si="7"/>
        <v>1.0713496254451678</v>
      </c>
      <c r="G16">
        <v>552</v>
      </c>
      <c r="H16">
        <v>403.5</v>
      </c>
      <c r="J16">
        <f t="shared" ref="J16:J24" si="8">H16/$K$14</f>
        <v>0.99103524499570184</v>
      </c>
      <c r="N16">
        <v>1536</v>
      </c>
      <c r="O16">
        <v>395.9</v>
      </c>
      <c r="Q16">
        <f t="shared" ref="Q16:Q24" si="9">O16/$R$14</f>
        <v>0.97236890580866997</v>
      </c>
    </row>
    <row r="17" spans="1:18" x14ac:dyDescent="0.15">
      <c r="A17">
        <v>176</v>
      </c>
      <c r="B17">
        <v>435.5</v>
      </c>
      <c r="D17">
        <f t="shared" si="7"/>
        <v>1.0696303573621515</v>
      </c>
      <c r="G17">
        <v>544</v>
      </c>
      <c r="H17">
        <v>429.2</v>
      </c>
      <c r="J17">
        <f t="shared" si="8"/>
        <v>1.0541569446150068</v>
      </c>
      <c r="N17">
        <v>559</v>
      </c>
      <c r="O17">
        <v>403.4</v>
      </c>
      <c r="Q17">
        <f t="shared" si="9"/>
        <v>0.99078963526955666</v>
      </c>
    </row>
    <row r="18" spans="1:18" x14ac:dyDescent="0.15">
      <c r="A18">
        <v>1525</v>
      </c>
      <c r="B18">
        <v>468.7</v>
      </c>
      <c r="D18">
        <f t="shared" si="7"/>
        <v>1.1511727864423431</v>
      </c>
      <c r="G18">
        <v>551</v>
      </c>
      <c r="H18">
        <v>412.5</v>
      </c>
      <c r="J18">
        <f t="shared" si="8"/>
        <v>1.0131401203487658</v>
      </c>
      <c r="N18">
        <v>555</v>
      </c>
      <c r="O18">
        <v>378</v>
      </c>
      <c r="Q18">
        <f t="shared" si="9"/>
        <v>0.92840476482868728</v>
      </c>
    </row>
    <row r="19" spans="1:18" x14ac:dyDescent="0.15">
      <c r="A19">
        <v>1534</v>
      </c>
      <c r="B19">
        <v>442.2</v>
      </c>
      <c r="D19">
        <f t="shared" si="7"/>
        <v>1.086086209013877</v>
      </c>
      <c r="G19">
        <v>545</v>
      </c>
      <c r="H19">
        <v>423.6</v>
      </c>
      <c r="J19">
        <f t="shared" si="8"/>
        <v>1.0404027999508783</v>
      </c>
      <c r="N19">
        <v>1540</v>
      </c>
      <c r="O19">
        <v>400.2</v>
      </c>
      <c r="Q19">
        <f t="shared" si="9"/>
        <v>0.98293012403291169</v>
      </c>
    </row>
    <row r="20" spans="1:18" x14ac:dyDescent="0.15">
      <c r="A20">
        <v>180</v>
      </c>
      <c r="B20">
        <v>431.1</v>
      </c>
      <c r="D20">
        <f t="shared" si="7"/>
        <v>1.0588235294117647</v>
      </c>
      <c r="G20">
        <v>543</v>
      </c>
      <c r="H20">
        <v>434.8</v>
      </c>
      <c r="J20">
        <f t="shared" si="8"/>
        <v>1.0679110892791355</v>
      </c>
      <c r="N20">
        <v>557</v>
      </c>
      <c r="O20">
        <v>441.5</v>
      </c>
      <c r="Q20">
        <f t="shared" si="9"/>
        <v>1.0843669409308609</v>
      </c>
    </row>
    <row r="21" spans="1:18" x14ac:dyDescent="0.15">
      <c r="A21">
        <v>1530</v>
      </c>
      <c r="B21">
        <v>445.6</v>
      </c>
      <c r="D21">
        <f t="shared" si="7"/>
        <v>1.0944369397028124</v>
      </c>
      <c r="G21">
        <v>542</v>
      </c>
      <c r="H21">
        <v>450.7</v>
      </c>
      <c r="J21">
        <f t="shared" si="8"/>
        <v>1.1069630357362152</v>
      </c>
      <c r="N21">
        <v>558</v>
      </c>
      <c r="O21">
        <v>394.9</v>
      </c>
      <c r="Q21">
        <f t="shared" si="9"/>
        <v>0.96991280854721851</v>
      </c>
    </row>
    <row r="22" spans="1:18" x14ac:dyDescent="0.15">
      <c r="A22">
        <v>1529</v>
      </c>
      <c r="B22">
        <v>422.3</v>
      </c>
      <c r="D22">
        <f t="shared" si="7"/>
        <v>1.0372098735109911</v>
      </c>
      <c r="G22">
        <v>548</v>
      </c>
      <c r="H22">
        <v>445.3</v>
      </c>
      <c r="J22">
        <f t="shared" si="8"/>
        <v>1.0937001105243769</v>
      </c>
      <c r="N22">
        <v>560</v>
      </c>
      <c r="O22">
        <v>377</v>
      </c>
      <c r="Q22">
        <f t="shared" si="9"/>
        <v>0.92594866756723571</v>
      </c>
    </row>
    <row r="23" spans="1:18" x14ac:dyDescent="0.15">
      <c r="A23">
        <v>1533</v>
      </c>
      <c r="B23">
        <v>417.7</v>
      </c>
      <c r="D23">
        <f t="shared" si="7"/>
        <v>1.025911826108314</v>
      </c>
      <c r="G23">
        <v>549</v>
      </c>
      <c r="H23">
        <v>448.8</v>
      </c>
      <c r="J23">
        <f t="shared" si="8"/>
        <v>1.1022964509394573</v>
      </c>
      <c r="N23">
        <v>550</v>
      </c>
      <c r="O23">
        <v>400.3</v>
      </c>
      <c r="Q23">
        <f t="shared" si="9"/>
        <v>0.98317573375905698</v>
      </c>
    </row>
    <row r="24" spans="1:18" x14ac:dyDescent="0.15">
      <c r="A24">
        <v>1526</v>
      </c>
      <c r="B24">
        <v>455</v>
      </c>
      <c r="D24">
        <f t="shared" si="7"/>
        <v>1.1175242539604568</v>
      </c>
      <c r="G24">
        <v>541</v>
      </c>
      <c r="H24">
        <v>376</v>
      </c>
      <c r="J24">
        <f t="shared" si="8"/>
        <v>0.92349257030578413</v>
      </c>
      <c r="N24">
        <v>556</v>
      </c>
      <c r="O24">
        <v>393.8</v>
      </c>
      <c r="Q24">
        <f t="shared" si="9"/>
        <v>0.96721110155962187</v>
      </c>
    </row>
    <row r="26" spans="1:18" x14ac:dyDescent="0.15">
      <c r="A26" t="s">
        <v>344</v>
      </c>
      <c r="D26">
        <f>AVERAGE(D15:D24)</f>
        <v>1.0874125015350606</v>
      </c>
      <c r="E26" t="s">
        <v>340</v>
      </c>
      <c r="J26">
        <f>AVERAGE(J15:J24)</f>
        <v>1.0432027508289328</v>
      </c>
      <c r="K26" t="s">
        <v>340</v>
      </c>
      <c r="Q26">
        <f>AVERAGE(Q15:Q24)</f>
        <v>0.97089524745179911</v>
      </c>
      <c r="R26" t="s">
        <v>340</v>
      </c>
    </row>
    <row r="27" spans="1:18" x14ac:dyDescent="0.15">
      <c r="A27">
        <v>407.15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"/>
  <sheetViews>
    <sheetView topLeftCell="AC1" zoomScale="124" zoomScaleNormal="124" workbookViewId="0">
      <selection activeCell="BC4" sqref="BC4"/>
    </sheetView>
  </sheetViews>
  <sheetFormatPr defaultRowHeight="10.5" x14ac:dyDescent="0.15"/>
  <sheetData>
    <row r="1" spans="1:56" x14ac:dyDescent="0.15">
      <c r="A1" s="76" t="s">
        <v>256</v>
      </c>
      <c r="B1" s="76"/>
      <c r="C1" s="76"/>
      <c r="D1" s="76" t="s">
        <v>257</v>
      </c>
      <c r="E1" s="76"/>
      <c r="F1" s="76"/>
      <c r="G1" s="76"/>
      <c r="O1" s="76" t="s">
        <v>256</v>
      </c>
      <c r="S1" t="s">
        <v>309</v>
      </c>
      <c r="U1" s="76"/>
      <c r="V1" s="76"/>
      <c r="AD1" t="s">
        <v>313</v>
      </c>
      <c r="AG1" t="s">
        <v>314</v>
      </c>
      <c r="AI1" s="76"/>
      <c r="AJ1" s="76"/>
      <c r="AK1" t="s">
        <v>313</v>
      </c>
      <c r="AN1" t="s">
        <v>315</v>
      </c>
      <c r="AP1" s="76"/>
      <c r="AQ1" s="76"/>
      <c r="AR1" t="s">
        <v>316</v>
      </c>
      <c r="AV1" t="s">
        <v>317</v>
      </c>
    </row>
    <row r="2" spans="1:56" x14ac:dyDescent="0.15">
      <c r="U2" t="s">
        <v>311</v>
      </c>
      <c r="V2" t="s">
        <v>312</v>
      </c>
    </row>
    <row r="3" spans="1:56" x14ac:dyDescent="0.15">
      <c r="A3" t="s">
        <v>223</v>
      </c>
      <c r="B3" t="s">
        <v>224</v>
      </c>
      <c r="C3" t="s">
        <v>225</v>
      </c>
      <c r="D3" t="s">
        <v>358</v>
      </c>
      <c r="E3" t="s">
        <v>226</v>
      </c>
      <c r="F3" t="s">
        <v>88</v>
      </c>
      <c r="G3" t="s">
        <v>310</v>
      </c>
      <c r="H3" t="s">
        <v>227</v>
      </c>
      <c r="I3" s="76" t="s">
        <v>355</v>
      </c>
      <c r="J3" t="s">
        <v>359</v>
      </c>
      <c r="K3" t="s">
        <v>143</v>
      </c>
      <c r="L3" t="s">
        <v>145</v>
      </c>
      <c r="M3" t="s">
        <v>146</v>
      </c>
      <c r="N3" t="s">
        <v>147</v>
      </c>
      <c r="O3" t="s">
        <v>223</v>
      </c>
      <c r="P3" t="s">
        <v>224</v>
      </c>
      <c r="Q3" t="s">
        <v>225</v>
      </c>
      <c r="R3" t="s">
        <v>358</v>
      </c>
      <c r="S3" t="s">
        <v>226</v>
      </c>
      <c r="T3" t="s">
        <v>362</v>
      </c>
      <c r="U3" t="s">
        <v>310</v>
      </c>
      <c r="V3" t="s">
        <v>227</v>
      </c>
      <c r="W3" s="76" t="s">
        <v>355</v>
      </c>
      <c r="X3" t="s">
        <v>359</v>
      </c>
      <c r="Y3" t="s">
        <v>143</v>
      </c>
      <c r="Z3" t="s">
        <v>145</v>
      </c>
      <c r="AA3" t="s">
        <v>146</v>
      </c>
      <c r="AB3" t="s">
        <v>147</v>
      </c>
      <c r="AD3" t="s">
        <v>223</v>
      </c>
      <c r="AE3" t="s">
        <v>224</v>
      </c>
      <c r="AF3" t="s">
        <v>225</v>
      </c>
      <c r="AG3" t="s">
        <v>226</v>
      </c>
      <c r="AH3" t="s">
        <v>310</v>
      </c>
      <c r="AI3" t="s">
        <v>227</v>
      </c>
      <c r="AK3" t="s">
        <v>223</v>
      </c>
      <c r="AL3" t="s">
        <v>224</v>
      </c>
      <c r="AM3" t="s">
        <v>225</v>
      </c>
      <c r="AN3" t="s">
        <v>226</v>
      </c>
      <c r="AO3" t="s">
        <v>310</v>
      </c>
      <c r="AP3" t="s">
        <v>227</v>
      </c>
      <c r="AR3" t="s">
        <v>223</v>
      </c>
      <c r="AS3" s="76" t="s">
        <v>356</v>
      </c>
      <c r="AT3" t="s">
        <v>224</v>
      </c>
      <c r="AU3" t="s">
        <v>225</v>
      </c>
      <c r="AV3" t="s">
        <v>226</v>
      </c>
      <c r="AW3" t="s">
        <v>310</v>
      </c>
      <c r="AX3" t="s">
        <v>227</v>
      </c>
      <c r="AY3" s="76" t="s">
        <v>355</v>
      </c>
      <c r="AZ3" t="s">
        <v>359</v>
      </c>
      <c r="BA3" t="s">
        <v>143</v>
      </c>
      <c r="BB3" t="s">
        <v>145</v>
      </c>
      <c r="BC3" t="s">
        <v>146</v>
      </c>
      <c r="BD3" t="s">
        <v>147</v>
      </c>
    </row>
    <row r="4" spans="1:56" x14ac:dyDescent="0.15">
      <c r="A4">
        <v>1</v>
      </c>
      <c r="B4">
        <v>146</v>
      </c>
      <c r="C4">
        <v>139</v>
      </c>
      <c r="D4">
        <f>((B4+C4)/2)/10</f>
        <v>14.25</v>
      </c>
      <c r="E4">
        <v>207</v>
      </c>
      <c r="F4">
        <f>E4/10</f>
        <v>20.7</v>
      </c>
      <c r="I4" s="76">
        <v>30</v>
      </c>
      <c r="J4" s="97">
        <f>10^(-0.89359)*(D4)^2.27954*((D4)+20)^(-1.18672)*(F4)^7.07362*((F4)-1.3)^(-5.45175)</f>
        <v>159.68562087007317</v>
      </c>
      <c r="K4" s="97">
        <f>J37</f>
        <v>375.47422548850403</v>
      </c>
      <c r="O4">
        <v>1</v>
      </c>
      <c r="P4">
        <v>157</v>
      </c>
      <c r="Q4">
        <v>151</v>
      </c>
      <c r="R4">
        <f>((P4+Q4)/2)/10</f>
        <v>15.4</v>
      </c>
      <c r="S4">
        <v>186</v>
      </c>
      <c r="T4">
        <f>S4/10</f>
        <v>18.600000000000001</v>
      </c>
      <c r="U4">
        <v>98</v>
      </c>
      <c r="V4">
        <v>130</v>
      </c>
      <c r="W4" s="76">
        <v>30</v>
      </c>
      <c r="X4" s="97">
        <f>10^(-0.89359)*(R4)^2.27954*((R4)+20)^(-1.18672)*(T4)^7.07362*((T4)-1.3)^(-5.45175)</f>
        <v>160.5876499331481</v>
      </c>
      <c r="AD4">
        <v>1</v>
      </c>
      <c r="AE4">
        <v>202</v>
      </c>
      <c r="AF4">
        <v>219</v>
      </c>
      <c r="AG4">
        <v>172</v>
      </c>
      <c r="AH4">
        <v>71</v>
      </c>
      <c r="AI4">
        <v>71</v>
      </c>
      <c r="AK4">
        <v>1</v>
      </c>
      <c r="AL4">
        <v>160</v>
      </c>
      <c r="AM4">
        <v>164</v>
      </c>
      <c r="AN4">
        <v>168</v>
      </c>
      <c r="AO4">
        <v>68</v>
      </c>
      <c r="AP4">
        <v>97</v>
      </c>
      <c r="AR4">
        <v>1</v>
      </c>
      <c r="AS4" s="76">
        <v>30</v>
      </c>
      <c r="AT4">
        <v>152</v>
      </c>
      <c r="AU4">
        <v>148</v>
      </c>
      <c r="AV4">
        <v>191</v>
      </c>
      <c r="AW4">
        <v>76</v>
      </c>
      <c r="AX4">
        <v>85</v>
      </c>
      <c r="AY4" s="76">
        <v>30</v>
      </c>
      <c r="AZ4" s="97">
        <f>10^(-0.89359)*(D4)^2.27954*((D4)+20)^(-1.18672)*(F4)^7.07362*((F4)-1.3)^(-5.45175)</f>
        <v>159.68562087007317</v>
      </c>
    </row>
    <row r="5" spans="1:56" x14ac:dyDescent="0.15">
      <c r="A5">
        <v>2</v>
      </c>
      <c r="B5">
        <v>152</v>
      </c>
      <c r="C5">
        <v>152</v>
      </c>
      <c r="D5">
        <f t="shared" ref="D5:D34" si="0">((B5+C5)/2)/10</f>
        <v>15.2</v>
      </c>
      <c r="E5">
        <v>218</v>
      </c>
      <c r="F5">
        <f t="shared" ref="F5:F34" si="1">E5/10</f>
        <v>21.8</v>
      </c>
      <c r="J5" s="97">
        <f t="shared" ref="J5:J34" si="2">10^(-0.89359)*(D5)^2.27954*((D5)+20)^(-1.18672)*(F5)^7.07362*((F5)-1.3)^(-5.45175)</f>
        <v>191.2208010330873</v>
      </c>
      <c r="O5">
        <v>2</v>
      </c>
      <c r="P5">
        <v>186</v>
      </c>
      <c r="Q5">
        <v>183</v>
      </c>
      <c r="R5">
        <f t="shared" ref="R5:R25" si="3">((P5+Q5)/2)/10</f>
        <v>18.45</v>
      </c>
      <c r="S5">
        <v>199</v>
      </c>
      <c r="T5">
        <f t="shared" ref="T5:T25" si="4">S5/10</f>
        <v>19.899999999999999</v>
      </c>
      <c r="U5">
        <v>48</v>
      </c>
      <c r="V5">
        <v>82</v>
      </c>
      <c r="W5" s="76"/>
      <c r="X5" s="97">
        <f t="shared" ref="X5:X25" si="5">10^(-0.89359)*(R5)^2.27954*((R5)+20)^(-1.18672)*(T5)^7.07362*((T5)-1.3)^(-5.45175)</f>
        <v>238.77952371814175</v>
      </c>
      <c r="AD5">
        <v>2</v>
      </c>
      <c r="AE5">
        <v>156</v>
      </c>
      <c r="AF5">
        <v>137</v>
      </c>
      <c r="AG5">
        <v>173</v>
      </c>
      <c r="AH5">
        <v>75</v>
      </c>
      <c r="AI5">
        <v>92</v>
      </c>
      <c r="AK5">
        <v>2</v>
      </c>
      <c r="AL5">
        <v>172</v>
      </c>
      <c r="AM5">
        <v>172</v>
      </c>
      <c r="AN5">
        <v>175</v>
      </c>
      <c r="AO5">
        <v>48</v>
      </c>
      <c r="AP5">
        <v>94</v>
      </c>
      <c r="AR5">
        <v>2</v>
      </c>
      <c r="AT5">
        <v>170</v>
      </c>
      <c r="AU5">
        <v>167</v>
      </c>
      <c r="AV5">
        <v>193</v>
      </c>
      <c r="AW5">
        <v>67</v>
      </c>
      <c r="AX5">
        <v>87</v>
      </c>
      <c r="AZ5" s="97">
        <f t="shared" ref="AZ5:AZ25" si="6">10^(-0.89359)*(D5)^2.27954*((D5)+20)^(-1.18672)*(F5)^7.07362*((F5)-1.3)^(-5.45175)</f>
        <v>191.2208010330873</v>
      </c>
    </row>
    <row r="6" spans="1:56" x14ac:dyDescent="0.15">
      <c r="A6">
        <v>3</v>
      </c>
      <c r="B6">
        <v>154</v>
      </c>
      <c r="C6">
        <v>162</v>
      </c>
      <c r="D6">
        <f t="shared" si="0"/>
        <v>15.8</v>
      </c>
      <c r="E6">
        <v>214</v>
      </c>
      <c r="F6">
        <f t="shared" si="1"/>
        <v>21.4</v>
      </c>
      <c r="J6" s="97">
        <f t="shared" si="2"/>
        <v>199.94708638807359</v>
      </c>
      <c r="O6">
        <v>3</v>
      </c>
      <c r="P6">
        <v>132</v>
      </c>
      <c r="Q6">
        <v>128</v>
      </c>
      <c r="R6">
        <f t="shared" si="3"/>
        <v>13</v>
      </c>
      <c r="S6">
        <v>191</v>
      </c>
      <c r="T6">
        <f t="shared" si="4"/>
        <v>19.100000000000001</v>
      </c>
      <c r="U6">
        <v>73</v>
      </c>
      <c r="V6">
        <v>109</v>
      </c>
      <c r="X6" s="97">
        <f t="shared" si="5"/>
        <v>122.51903464070534</v>
      </c>
      <c r="AD6">
        <v>3</v>
      </c>
      <c r="AE6">
        <v>108</v>
      </c>
      <c r="AF6">
        <v>105</v>
      </c>
      <c r="AG6">
        <v>118</v>
      </c>
      <c r="AH6">
        <v>47</v>
      </c>
      <c r="AI6">
        <v>69</v>
      </c>
      <c r="AK6">
        <v>3</v>
      </c>
      <c r="AL6">
        <v>204</v>
      </c>
      <c r="AM6">
        <v>210</v>
      </c>
      <c r="AN6">
        <v>166</v>
      </c>
      <c r="AO6">
        <v>57</v>
      </c>
      <c r="AP6">
        <v>72</v>
      </c>
      <c r="AR6">
        <v>3</v>
      </c>
      <c r="AT6">
        <v>143</v>
      </c>
      <c r="AU6">
        <v>155</v>
      </c>
      <c r="AV6">
        <v>199</v>
      </c>
      <c r="AW6">
        <v>80</v>
      </c>
      <c r="AX6">
        <v>108</v>
      </c>
      <c r="AZ6" s="97">
        <f t="shared" si="6"/>
        <v>199.94708638807359</v>
      </c>
    </row>
    <row r="7" spans="1:56" x14ac:dyDescent="0.15">
      <c r="A7">
        <v>4</v>
      </c>
      <c r="B7">
        <v>167</v>
      </c>
      <c r="C7">
        <v>172</v>
      </c>
      <c r="D7">
        <f t="shared" si="0"/>
        <v>16.95</v>
      </c>
      <c r="E7">
        <v>227</v>
      </c>
      <c r="F7">
        <f t="shared" si="1"/>
        <v>22.7</v>
      </c>
      <c r="J7" s="97">
        <f t="shared" si="2"/>
        <v>243.75886966465441</v>
      </c>
      <c r="O7">
        <v>4</v>
      </c>
      <c r="P7">
        <v>110</v>
      </c>
      <c r="Q7">
        <v>107</v>
      </c>
      <c r="R7">
        <f t="shared" si="3"/>
        <v>10.85</v>
      </c>
      <c r="S7">
        <v>135</v>
      </c>
      <c r="T7">
        <f t="shared" si="4"/>
        <v>13.5</v>
      </c>
      <c r="U7">
        <v>27</v>
      </c>
      <c r="V7">
        <v>53</v>
      </c>
      <c r="X7" s="97">
        <f t="shared" si="5"/>
        <v>59.207122767181787</v>
      </c>
      <c r="AD7">
        <v>4</v>
      </c>
      <c r="AE7">
        <v>208</v>
      </c>
      <c r="AF7">
        <v>209</v>
      </c>
      <c r="AG7">
        <v>169</v>
      </c>
      <c r="AH7">
        <v>33</v>
      </c>
      <c r="AI7">
        <v>61</v>
      </c>
      <c r="AK7">
        <v>4</v>
      </c>
      <c r="AL7">
        <v>101</v>
      </c>
      <c r="AM7">
        <v>100</v>
      </c>
      <c r="AN7">
        <v>138</v>
      </c>
      <c r="AO7">
        <v>44</v>
      </c>
      <c r="AP7">
        <v>71</v>
      </c>
      <c r="AR7">
        <v>4</v>
      </c>
      <c r="AT7">
        <v>143</v>
      </c>
      <c r="AU7">
        <v>153</v>
      </c>
      <c r="AV7">
        <v>185</v>
      </c>
      <c r="AW7">
        <v>79</v>
      </c>
      <c r="AX7">
        <v>97</v>
      </c>
      <c r="AZ7" s="97">
        <f t="shared" si="6"/>
        <v>243.75886966465441</v>
      </c>
    </row>
    <row r="8" spans="1:56" x14ac:dyDescent="0.15">
      <c r="A8">
        <v>5</v>
      </c>
      <c r="B8">
        <v>120</v>
      </c>
      <c r="C8">
        <v>126</v>
      </c>
      <c r="D8">
        <f t="shared" si="0"/>
        <v>12.3</v>
      </c>
      <c r="E8">
        <v>185</v>
      </c>
      <c r="F8">
        <f t="shared" si="1"/>
        <v>18.5</v>
      </c>
      <c r="J8" s="97">
        <f t="shared" si="2"/>
        <v>106.55910188552353</v>
      </c>
      <c r="O8">
        <v>5</v>
      </c>
      <c r="P8">
        <v>145</v>
      </c>
      <c r="Q8">
        <v>140</v>
      </c>
      <c r="R8">
        <f t="shared" si="3"/>
        <v>14.25</v>
      </c>
      <c r="S8">
        <v>192</v>
      </c>
      <c r="T8">
        <f t="shared" si="4"/>
        <v>19.2</v>
      </c>
      <c r="U8">
        <v>79</v>
      </c>
      <c r="V8">
        <v>90</v>
      </c>
      <c r="X8" s="97">
        <f t="shared" si="5"/>
        <v>145.4482375331888</v>
      </c>
      <c r="AD8">
        <v>5</v>
      </c>
      <c r="AE8">
        <v>216</v>
      </c>
      <c r="AF8">
        <v>209</v>
      </c>
      <c r="AG8">
        <v>168</v>
      </c>
      <c r="AH8">
        <v>71</v>
      </c>
      <c r="AI8">
        <v>71</v>
      </c>
      <c r="AK8">
        <v>5</v>
      </c>
      <c r="AL8">
        <v>182</v>
      </c>
      <c r="AM8">
        <v>177</v>
      </c>
      <c r="AN8">
        <v>156</v>
      </c>
      <c r="AO8">
        <v>55</v>
      </c>
      <c r="AP8">
        <v>55</v>
      </c>
      <c r="AR8">
        <v>5</v>
      </c>
      <c r="AT8">
        <v>137</v>
      </c>
      <c r="AU8">
        <v>143</v>
      </c>
      <c r="AV8">
        <v>198</v>
      </c>
      <c r="AW8">
        <v>91</v>
      </c>
      <c r="AX8">
        <v>106</v>
      </c>
      <c r="AZ8" s="97">
        <f t="shared" si="6"/>
        <v>106.55910188552353</v>
      </c>
    </row>
    <row r="9" spans="1:56" x14ac:dyDescent="0.15">
      <c r="A9">
        <v>6</v>
      </c>
      <c r="B9">
        <v>177</v>
      </c>
      <c r="C9">
        <v>178</v>
      </c>
      <c r="D9">
        <f t="shared" si="0"/>
        <v>17.75</v>
      </c>
      <c r="E9">
        <v>201</v>
      </c>
      <c r="F9">
        <f t="shared" si="1"/>
        <v>20.100000000000001</v>
      </c>
      <c r="J9" s="97">
        <f t="shared" si="2"/>
        <v>226.24155368644648</v>
      </c>
      <c r="O9">
        <v>6</v>
      </c>
      <c r="P9">
        <v>201</v>
      </c>
      <c r="Q9">
        <v>194</v>
      </c>
      <c r="R9">
        <f t="shared" si="3"/>
        <v>19.75</v>
      </c>
      <c r="S9">
        <v>203</v>
      </c>
      <c r="T9">
        <f t="shared" si="4"/>
        <v>20.3</v>
      </c>
      <c r="U9">
        <v>80</v>
      </c>
      <c r="V9">
        <v>97</v>
      </c>
      <c r="X9" s="97">
        <f t="shared" si="5"/>
        <v>274.80640091743402</v>
      </c>
      <c r="AD9">
        <v>6</v>
      </c>
      <c r="AE9">
        <v>129</v>
      </c>
      <c r="AF9">
        <v>122</v>
      </c>
      <c r="AG9">
        <v>126</v>
      </c>
      <c r="AH9">
        <v>62</v>
      </c>
      <c r="AI9">
        <v>76</v>
      </c>
      <c r="AK9">
        <v>6</v>
      </c>
      <c r="AL9">
        <v>225</v>
      </c>
      <c r="AM9">
        <v>209</v>
      </c>
      <c r="AN9">
        <v>179</v>
      </c>
      <c r="AO9">
        <v>62</v>
      </c>
      <c r="AP9">
        <v>77</v>
      </c>
      <c r="AR9">
        <v>6</v>
      </c>
      <c r="AT9">
        <v>134</v>
      </c>
      <c r="AU9">
        <v>123</v>
      </c>
      <c r="AV9">
        <v>198</v>
      </c>
      <c r="AW9">
        <v>81</v>
      </c>
      <c r="AX9">
        <v>93</v>
      </c>
      <c r="AZ9" s="97">
        <f t="shared" si="6"/>
        <v>226.24155368644648</v>
      </c>
    </row>
    <row r="10" spans="1:56" x14ac:dyDescent="0.15">
      <c r="A10">
        <v>7</v>
      </c>
      <c r="B10">
        <v>127</v>
      </c>
      <c r="C10">
        <v>124</v>
      </c>
      <c r="D10">
        <f t="shared" si="0"/>
        <v>12.55</v>
      </c>
      <c r="E10">
        <v>176</v>
      </c>
      <c r="F10">
        <f t="shared" si="1"/>
        <v>17.600000000000001</v>
      </c>
      <c r="J10" s="97">
        <f t="shared" si="2"/>
        <v>104.13035510997345</v>
      </c>
      <c r="O10">
        <v>7</v>
      </c>
      <c r="P10">
        <v>137</v>
      </c>
      <c r="Q10">
        <v>141</v>
      </c>
      <c r="R10">
        <f t="shared" si="3"/>
        <v>13.9</v>
      </c>
      <c r="S10">
        <v>168</v>
      </c>
      <c r="T10">
        <f t="shared" si="4"/>
        <v>16.8</v>
      </c>
      <c r="U10">
        <v>46</v>
      </c>
      <c r="V10">
        <v>107</v>
      </c>
      <c r="X10" s="97">
        <f t="shared" si="5"/>
        <v>118.58254799050866</v>
      </c>
      <c r="AD10">
        <v>7</v>
      </c>
      <c r="AE10">
        <v>162</v>
      </c>
      <c r="AF10">
        <v>172</v>
      </c>
      <c r="AG10">
        <v>157</v>
      </c>
      <c r="AH10">
        <v>24</v>
      </c>
      <c r="AI10">
        <v>74</v>
      </c>
      <c r="AK10">
        <v>7</v>
      </c>
      <c r="AL10">
        <v>188</v>
      </c>
      <c r="AM10">
        <v>188</v>
      </c>
      <c r="AN10">
        <v>162</v>
      </c>
      <c r="AO10">
        <v>44</v>
      </c>
      <c r="AP10">
        <v>61</v>
      </c>
      <c r="AR10">
        <v>7</v>
      </c>
      <c r="AT10">
        <v>148</v>
      </c>
      <c r="AU10">
        <v>158</v>
      </c>
      <c r="AV10">
        <v>189</v>
      </c>
      <c r="AW10">
        <v>91</v>
      </c>
      <c r="AX10">
        <v>112</v>
      </c>
      <c r="AZ10" s="97">
        <f t="shared" si="6"/>
        <v>104.13035510997345</v>
      </c>
    </row>
    <row r="11" spans="1:56" x14ac:dyDescent="0.15">
      <c r="A11">
        <v>8</v>
      </c>
      <c r="B11">
        <v>132</v>
      </c>
      <c r="C11">
        <v>133</v>
      </c>
      <c r="D11">
        <f t="shared" si="0"/>
        <v>13.25</v>
      </c>
      <c r="E11">
        <v>175</v>
      </c>
      <c r="F11">
        <f t="shared" si="1"/>
        <v>17.5</v>
      </c>
      <c r="J11" s="97">
        <f t="shared" si="2"/>
        <v>114.13286471374769</v>
      </c>
      <c r="O11">
        <v>8</v>
      </c>
      <c r="P11">
        <v>187</v>
      </c>
      <c r="Q11">
        <v>181</v>
      </c>
      <c r="R11">
        <f t="shared" si="3"/>
        <v>18.399999999999999</v>
      </c>
      <c r="S11">
        <v>211</v>
      </c>
      <c r="T11">
        <f t="shared" si="4"/>
        <v>21.1</v>
      </c>
      <c r="U11">
        <v>62</v>
      </c>
      <c r="V11">
        <v>95</v>
      </c>
      <c r="X11" s="97">
        <f t="shared" si="5"/>
        <v>255.75944457248846</v>
      </c>
      <c r="AD11">
        <v>8</v>
      </c>
      <c r="AE11">
        <v>130</v>
      </c>
      <c r="AF11">
        <v>132</v>
      </c>
      <c r="AG11">
        <v>159</v>
      </c>
      <c r="AH11">
        <v>43</v>
      </c>
      <c r="AI11">
        <v>69</v>
      </c>
      <c r="AK11">
        <v>8</v>
      </c>
      <c r="AL11">
        <v>147</v>
      </c>
      <c r="AM11">
        <v>154</v>
      </c>
      <c r="AN11">
        <v>174</v>
      </c>
      <c r="AO11">
        <v>67</v>
      </c>
      <c r="AP11">
        <v>67</v>
      </c>
      <c r="AR11">
        <v>8</v>
      </c>
      <c r="AT11">
        <v>181</v>
      </c>
      <c r="AU11">
        <v>173</v>
      </c>
      <c r="AV11">
        <v>195</v>
      </c>
      <c r="AW11">
        <v>75</v>
      </c>
      <c r="AX11">
        <v>99</v>
      </c>
      <c r="AZ11" s="97">
        <f t="shared" si="6"/>
        <v>114.13286471374769</v>
      </c>
    </row>
    <row r="12" spans="1:56" x14ac:dyDescent="0.15">
      <c r="A12">
        <v>9</v>
      </c>
      <c r="B12">
        <v>140</v>
      </c>
      <c r="C12">
        <v>138</v>
      </c>
      <c r="D12">
        <f t="shared" si="0"/>
        <v>13.9</v>
      </c>
      <c r="E12">
        <v>206</v>
      </c>
      <c r="F12">
        <f t="shared" si="1"/>
        <v>20.6</v>
      </c>
      <c r="J12" s="97">
        <f t="shared" si="2"/>
        <v>151.80978314202653</v>
      </c>
      <c r="O12">
        <v>9</v>
      </c>
      <c r="P12">
        <v>159</v>
      </c>
      <c r="Q12">
        <v>148</v>
      </c>
      <c r="R12">
        <f t="shared" si="3"/>
        <v>15.35</v>
      </c>
      <c r="S12">
        <v>191</v>
      </c>
      <c r="T12">
        <f t="shared" si="4"/>
        <v>19.100000000000001</v>
      </c>
      <c r="U12">
        <v>63</v>
      </c>
      <c r="V12">
        <v>91</v>
      </c>
      <c r="X12" s="97">
        <f t="shared" si="5"/>
        <v>164.91220762334166</v>
      </c>
      <c r="AD12">
        <v>9</v>
      </c>
      <c r="AE12">
        <v>143</v>
      </c>
      <c r="AF12">
        <v>146</v>
      </c>
      <c r="AG12">
        <v>177</v>
      </c>
      <c r="AH12">
        <v>90</v>
      </c>
      <c r="AI12">
        <v>90</v>
      </c>
      <c r="AK12">
        <v>9</v>
      </c>
      <c r="AL12">
        <v>180</v>
      </c>
      <c r="AM12">
        <v>179</v>
      </c>
      <c r="AN12">
        <v>186</v>
      </c>
      <c r="AO12">
        <v>64</v>
      </c>
      <c r="AP12">
        <v>102</v>
      </c>
      <c r="AR12">
        <v>9</v>
      </c>
      <c r="AT12">
        <v>171</v>
      </c>
      <c r="AU12">
        <v>164</v>
      </c>
      <c r="AV12">
        <v>181</v>
      </c>
      <c r="AW12">
        <v>56</v>
      </c>
      <c r="AX12">
        <v>76</v>
      </c>
      <c r="AZ12" s="97">
        <f t="shared" si="6"/>
        <v>151.80978314202653</v>
      </c>
    </row>
    <row r="13" spans="1:56" x14ac:dyDescent="0.15">
      <c r="A13">
        <v>10</v>
      </c>
      <c r="B13">
        <v>170</v>
      </c>
      <c r="C13">
        <v>163</v>
      </c>
      <c r="D13">
        <f t="shared" si="0"/>
        <v>16.649999999999999</v>
      </c>
      <c r="E13">
        <v>201</v>
      </c>
      <c r="F13">
        <f t="shared" si="1"/>
        <v>20.100000000000001</v>
      </c>
      <c r="J13" s="97">
        <f t="shared" si="2"/>
        <v>202.52487853144032</v>
      </c>
      <c r="O13">
        <v>10</v>
      </c>
      <c r="P13">
        <v>119</v>
      </c>
      <c r="Q13">
        <v>118</v>
      </c>
      <c r="R13">
        <f t="shared" si="3"/>
        <v>11.85</v>
      </c>
      <c r="S13">
        <v>194</v>
      </c>
      <c r="T13">
        <f t="shared" si="4"/>
        <v>19.399999999999999</v>
      </c>
      <c r="U13">
        <v>66</v>
      </c>
      <c r="V13">
        <v>113</v>
      </c>
      <c r="X13" s="97">
        <f t="shared" si="5"/>
        <v>105.46170783963404</v>
      </c>
      <c r="AD13">
        <v>10</v>
      </c>
      <c r="AE13">
        <v>219</v>
      </c>
      <c r="AF13">
        <v>226</v>
      </c>
      <c r="AG13">
        <v>226</v>
      </c>
      <c r="AH13">
        <v>58</v>
      </c>
      <c r="AI13">
        <v>118</v>
      </c>
      <c r="AK13">
        <v>10</v>
      </c>
      <c r="AL13">
        <v>108</v>
      </c>
      <c r="AM13">
        <v>110</v>
      </c>
      <c r="AN13">
        <v>118</v>
      </c>
      <c r="AO13">
        <v>30</v>
      </c>
      <c r="AP13">
        <v>76</v>
      </c>
      <c r="AR13">
        <v>10</v>
      </c>
      <c r="AT13">
        <v>203</v>
      </c>
      <c r="AU13">
        <v>197</v>
      </c>
      <c r="AV13">
        <v>177</v>
      </c>
      <c r="AW13">
        <v>30</v>
      </c>
      <c r="AX13">
        <v>47</v>
      </c>
      <c r="AZ13" s="97">
        <f t="shared" si="6"/>
        <v>202.52487853144032</v>
      </c>
    </row>
    <row r="14" spans="1:56" x14ac:dyDescent="0.15">
      <c r="A14">
        <v>11</v>
      </c>
      <c r="B14">
        <v>164</v>
      </c>
      <c r="C14">
        <v>166</v>
      </c>
      <c r="D14">
        <f t="shared" si="0"/>
        <v>16.5</v>
      </c>
      <c r="E14">
        <v>192</v>
      </c>
      <c r="F14">
        <f t="shared" si="1"/>
        <v>19.2</v>
      </c>
      <c r="J14" s="97">
        <f t="shared" si="2"/>
        <v>188.38784918190316</v>
      </c>
      <c r="O14">
        <v>11</v>
      </c>
      <c r="P14">
        <v>130</v>
      </c>
      <c r="Q14">
        <v>128</v>
      </c>
      <c r="R14">
        <f t="shared" si="3"/>
        <v>12.9</v>
      </c>
      <c r="S14">
        <v>166</v>
      </c>
      <c r="T14">
        <f t="shared" si="4"/>
        <v>16.600000000000001</v>
      </c>
      <c r="U14">
        <v>49</v>
      </c>
      <c r="V14">
        <v>94</v>
      </c>
      <c r="X14" s="97">
        <f t="shared" si="5"/>
        <v>102.21071302805208</v>
      </c>
      <c r="AD14">
        <v>11</v>
      </c>
      <c r="AE14">
        <v>155</v>
      </c>
      <c r="AF14">
        <v>168</v>
      </c>
      <c r="AG14">
        <v>181</v>
      </c>
      <c r="AH14">
        <v>56</v>
      </c>
      <c r="AI14">
        <v>85</v>
      </c>
      <c r="AK14">
        <v>11</v>
      </c>
      <c r="AL14">
        <v>133</v>
      </c>
      <c r="AM14">
        <v>133</v>
      </c>
      <c r="AN14">
        <v>170</v>
      </c>
      <c r="AO14">
        <v>49</v>
      </c>
      <c r="AP14">
        <v>88</v>
      </c>
      <c r="AR14">
        <v>11</v>
      </c>
      <c r="AT14">
        <v>138</v>
      </c>
      <c r="AU14">
        <v>143</v>
      </c>
      <c r="AV14">
        <v>170</v>
      </c>
      <c r="AW14">
        <v>76</v>
      </c>
      <c r="AX14">
        <v>90</v>
      </c>
      <c r="AZ14" s="97">
        <f t="shared" si="6"/>
        <v>188.38784918190316</v>
      </c>
    </row>
    <row r="15" spans="1:56" x14ac:dyDescent="0.15">
      <c r="A15">
        <v>12</v>
      </c>
      <c r="B15">
        <v>167</v>
      </c>
      <c r="C15">
        <v>166</v>
      </c>
      <c r="D15">
        <f t="shared" si="0"/>
        <v>16.649999999999999</v>
      </c>
      <c r="E15">
        <v>204</v>
      </c>
      <c r="F15">
        <f t="shared" si="1"/>
        <v>20.399999999999999</v>
      </c>
      <c r="J15" s="97">
        <f t="shared" si="2"/>
        <v>206.30379853061066</v>
      </c>
      <c r="O15">
        <v>12</v>
      </c>
      <c r="P15">
        <v>159</v>
      </c>
      <c r="Q15">
        <v>149</v>
      </c>
      <c r="R15">
        <f t="shared" si="3"/>
        <v>15.4</v>
      </c>
      <c r="S15">
        <v>199</v>
      </c>
      <c r="T15">
        <f t="shared" si="4"/>
        <v>19.899999999999999</v>
      </c>
      <c r="U15">
        <v>90</v>
      </c>
      <c r="V15">
        <v>100</v>
      </c>
      <c r="X15" s="97">
        <f t="shared" si="5"/>
        <v>174.46316125255458</v>
      </c>
      <c r="AD15">
        <v>12</v>
      </c>
      <c r="AE15">
        <v>118</v>
      </c>
      <c r="AF15">
        <v>118</v>
      </c>
      <c r="AG15">
        <v>153</v>
      </c>
      <c r="AH15">
        <v>45</v>
      </c>
      <c r="AI15">
        <v>76</v>
      </c>
      <c r="AK15">
        <v>12</v>
      </c>
      <c r="AL15">
        <v>107</v>
      </c>
      <c r="AM15">
        <v>114</v>
      </c>
      <c r="AN15">
        <v>132</v>
      </c>
      <c r="AO15">
        <v>40</v>
      </c>
      <c r="AP15">
        <v>40</v>
      </c>
      <c r="AR15">
        <v>12</v>
      </c>
      <c r="AT15">
        <v>144</v>
      </c>
      <c r="AU15">
        <v>140</v>
      </c>
      <c r="AV15">
        <v>162</v>
      </c>
      <c r="AW15">
        <v>31</v>
      </c>
      <c r="AX15">
        <v>78</v>
      </c>
      <c r="AZ15" s="97">
        <f t="shared" si="6"/>
        <v>206.30379853061066</v>
      </c>
    </row>
    <row r="16" spans="1:56" x14ac:dyDescent="0.15">
      <c r="A16">
        <v>13</v>
      </c>
      <c r="B16">
        <v>178</v>
      </c>
      <c r="C16">
        <v>176</v>
      </c>
      <c r="D16">
        <f t="shared" si="0"/>
        <v>17.7</v>
      </c>
      <c r="E16">
        <v>195</v>
      </c>
      <c r="F16">
        <f t="shared" si="1"/>
        <v>19.5</v>
      </c>
      <c r="J16" s="97">
        <f t="shared" si="2"/>
        <v>216.85009196391059</v>
      </c>
      <c r="O16">
        <v>13</v>
      </c>
      <c r="P16">
        <v>168</v>
      </c>
      <c r="Q16">
        <v>168</v>
      </c>
      <c r="R16">
        <f t="shared" si="3"/>
        <v>16.8</v>
      </c>
      <c r="S16">
        <v>194</v>
      </c>
      <c r="T16">
        <f t="shared" si="4"/>
        <v>19.399999999999999</v>
      </c>
      <c r="U16">
        <v>80</v>
      </c>
      <c r="V16">
        <v>90</v>
      </c>
      <c r="X16" s="97">
        <f t="shared" si="5"/>
        <v>196.87904724166782</v>
      </c>
      <c r="AD16">
        <v>13</v>
      </c>
      <c r="AE16">
        <v>111</v>
      </c>
      <c r="AF16">
        <v>105</v>
      </c>
      <c r="AG16">
        <v>135</v>
      </c>
      <c r="AH16">
        <v>37</v>
      </c>
      <c r="AI16">
        <v>37</v>
      </c>
      <c r="AR16">
        <v>13</v>
      </c>
      <c r="AT16">
        <v>144</v>
      </c>
      <c r="AU16">
        <v>154</v>
      </c>
      <c r="AV16">
        <v>174</v>
      </c>
      <c r="AW16">
        <v>84</v>
      </c>
      <c r="AX16">
        <v>99</v>
      </c>
      <c r="AZ16" s="97">
        <f t="shared" si="6"/>
        <v>216.85009196391059</v>
      </c>
    </row>
    <row r="17" spans="1:55" x14ac:dyDescent="0.15">
      <c r="A17">
        <v>14</v>
      </c>
      <c r="B17">
        <v>161</v>
      </c>
      <c r="C17">
        <v>149</v>
      </c>
      <c r="D17">
        <f t="shared" si="0"/>
        <v>15.5</v>
      </c>
      <c r="E17">
        <v>211</v>
      </c>
      <c r="F17">
        <f t="shared" si="1"/>
        <v>21.1</v>
      </c>
      <c r="J17" s="97">
        <f t="shared" si="2"/>
        <v>189.89264270612443</v>
      </c>
      <c r="O17">
        <v>14</v>
      </c>
      <c r="P17">
        <v>162</v>
      </c>
      <c r="Q17">
        <v>156</v>
      </c>
      <c r="R17">
        <f t="shared" si="3"/>
        <v>15.9</v>
      </c>
      <c r="S17">
        <v>179</v>
      </c>
      <c r="T17">
        <f t="shared" si="4"/>
        <v>17.899999999999999</v>
      </c>
      <c r="U17">
        <v>62</v>
      </c>
      <c r="V17">
        <v>108</v>
      </c>
      <c r="X17" s="97">
        <f t="shared" si="5"/>
        <v>162.2045770194608</v>
      </c>
      <c r="AD17">
        <v>14</v>
      </c>
      <c r="AE17">
        <v>93</v>
      </c>
      <c r="AF17">
        <v>93</v>
      </c>
      <c r="AG17">
        <v>101</v>
      </c>
      <c r="AH17">
        <v>39</v>
      </c>
      <c r="AI17">
        <v>39</v>
      </c>
      <c r="AR17">
        <v>14</v>
      </c>
      <c r="AT17">
        <v>203</v>
      </c>
      <c r="AU17">
        <v>225</v>
      </c>
      <c r="AV17">
        <v>167</v>
      </c>
      <c r="AW17">
        <v>27</v>
      </c>
      <c r="AX17">
        <v>52</v>
      </c>
      <c r="AZ17" s="97">
        <f t="shared" si="6"/>
        <v>189.89264270612443</v>
      </c>
    </row>
    <row r="18" spans="1:55" x14ac:dyDescent="0.15">
      <c r="A18">
        <v>15</v>
      </c>
      <c r="B18">
        <v>150</v>
      </c>
      <c r="C18">
        <v>143</v>
      </c>
      <c r="D18">
        <f t="shared" si="0"/>
        <v>14.65</v>
      </c>
      <c r="E18">
        <v>204</v>
      </c>
      <c r="F18">
        <f t="shared" si="1"/>
        <v>20.399999999999999</v>
      </c>
      <c r="J18" s="97">
        <f t="shared" si="2"/>
        <v>164.71735364549028</v>
      </c>
      <c r="O18">
        <v>15</v>
      </c>
      <c r="P18">
        <v>193</v>
      </c>
      <c r="Q18">
        <v>173</v>
      </c>
      <c r="R18">
        <f t="shared" si="3"/>
        <v>18.3</v>
      </c>
      <c r="S18">
        <v>218</v>
      </c>
      <c r="T18">
        <f t="shared" si="4"/>
        <v>21.8</v>
      </c>
      <c r="U18">
        <v>85</v>
      </c>
      <c r="V18">
        <v>96</v>
      </c>
      <c r="X18" s="97">
        <f t="shared" si="5"/>
        <v>264.10864574932026</v>
      </c>
      <c r="AR18">
        <v>15</v>
      </c>
      <c r="AT18">
        <v>150</v>
      </c>
      <c r="AU18">
        <v>168</v>
      </c>
      <c r="AV18">
        <v>183</v>
      </c>
      <c r="AW18">
        <v>76</v>
      </c>
      <c r="AX18">
        <v>98</v>
      </c>
      <c r="AZ18" s="97">
        <f t="shared" si="6"/>
        <v>164.71735364549028</v>
      </c>
    </row>
    <row r="19" spans="1:55" x14ac:dyDescent="0.15">
      <c r="A19">
        <v>16</v>
      </c>
      <c r="B19">
        <v>141</v>
      </c>
      <c r="C19">
        <v>139</v>
      </c>
      <c r="D19">
        <f t="shared" si="0"/>
        <v>14</v>
      </c>
      <c r="E19">
        <v>210</v>
      </c>
      <c r="F19">
        <f t="shared" si="1"/>
        <v>21</v>
      </c>
      <c r="J19" s="97">
        <f t="shared" si="2"/>
        <v>157.5392019622096</v>
      </c>
      <c r="O19">
        <v>16</v>
      </c>
      <c r="P19">
        <v>197</v>
      </c>
      <c r="Q19">
        <v>182</v>
      </c>
      <c r="R19">
        <f t="shared" si="3"/>
        <v>18.95</v>
      </c>
      <c r="S19">
        <v>222</v>
      </c>
      <c r="T19">
        <f t="shared" si="4"/>
        <v>22.2</v>
      </c>
      <c r="U19">
        <v>81</v>
      </c>
      <c r="V19">
        <v>94</v>
      </c>
      <c r="X19" s="97">
        <f t="shared" si="5"/>
        <v>286.92349009366563</v>
      </c>
      <c r="AR19">
        <v>16</v>
      </c>
      <c r="AT19">
        <v>84</v>
      </c>
      <c r="AU19">
        <v>102</v>
      </c>
      <c r="AV19">
        <v>103</v>
      </c>
      <c r="AW19">
        <v>17</v>
      </c>
      <c r="AX19">
        <v>43</v>
      </c>
      <c r="AZ19" s="97">
        <f t="shared" si="6"/>
        <v>157.5392019622096</v>
      </c>
    </row>
    <row r="20" spans="1:55" x14ac:dyDescent="0.15">
      <c r="A20">
        <v>17</v>
      </c>
      <c r="B20">
        <v>144</v>
      </c>
      <c r="C20">
        <v>130</v>
      </c>
      <c r="D20">
        <f t="shared" si="0"/>
        <v>13.7</v>
      </c>
      <c r="E20">
        <v>198</v>
      </c>
      <c r="F20">
        <f t="shared" si="1"/>
        <v>19.8</v>
      </c>
      <c r="J20" s="97">
        <f t="shared" si="2"/>
        <v>140.7843559859507</v>
      </c>
      <c r="O20">
        <v>17</v>
      </c>
      <c r="P20">
        <v>101</v>
      </c>
      <c r="Q20">
        <v>99</v>
      </c>
      <c r="R20">
        <f t="shared" si="3"/>
        <v>10</v>
      </c>
      <c r="S20">
        <v>148</v>
      </c>
      <c r="T20">
        <f t="shared" si="4"/>
        <v>14.8</v>
      </c>
      <c r="U20">
        <v>51</v>
      </c>
      <c r="V20">
        <v>64</v>
      </c>
      <c r="X20" s="97">
        <f t="shared" si="5"/>
        <v>56.067374222126197</v>
      </c>
      <c r="AR20">
        <v>17</v>
      </c>
      <c r="AT20">
        <v>187</v>
      </c>
      <c r="AU20">
        <v>202</v>
      </c>
      <c r="AV20">
        <v>171</v>
      </c>
      <c r="AW20">
        <v>36</v>
      </c>
      <c r="AX20">
        <v>56</v>
      </c>
      <c r="AZ20" s="97">
        <f t="shared" si="6"/>
        <v>140.7843559859507</v>
      </c>
    </row>
    <row r="21" spans="1:55" x14ac:dyDescent="0.15">
      <c r="A21">
        <v>18</v>
      </c>
      <c r="B21">
        <v>174</v>
      </c>
      <c r="C21">
        <v>168</v>
      </c>
      <c r="D21">
        <f t="shared" si="0"/>
        <v>17.100000000000001</v>
      </c>
      <c r="E21">
        <v>211</v>
      </c>
      <c r="F21">
        <f t="shared" si="1"/>
        <v>21.1</v>
      </c>
      <c r="J21" s="97">
        <f t="shared" si="2"/>
        <v>225.44621994918316</v>
      </c>
      <c r="O21">
        <v>18</v>
      </c>
      <c r="P21">
        <v>186</v>
      </c>
      <c r="Q21">
        <v>182</v>
      </c>
      <c r="R21">
        <f t="shared" si="3"/>
        <v>18.399999999999999</v>
      </c>
      <c r="S21">
        <v>204</v>
      </c>
      <c r="T21">
        <f t="shared" si="4"/>
        <v>20.399999999999999</v>
      </c>
      <c r="U21">
        <v>81</v>
      </c>
      <c r="V21">
        <v>81</v>
      </c>
      <c r="X21" s="97">
        <f t="shared" si="5"/>
        <v>245.13637223298466</v>
      </c>
      <c r="AR21">
        <v>18</v>
      </c>
      <c r="AT21">
        <v>144</v>
      </c>
      <c r="AU21">
        <v>145</v>
      </c>
      <c r="AV21">
        <v>174</v>
      </c>
      <c r="AW21">
        <v>47</v>
      </c>
      <c r="AX21">
        <v>87</v>
      </c>
      <c r="AZ21" s="97">
        <f t="shared" si="6"/>
        <v>225.44621994918316</v>
      </c>
    </row>
    <row r="22" spans="1:55" x14ac:dyDescent="0.15">
      <c r="A22">
        <v>19</v>
      </c>
      <c r="B22">
        <v>164</v>
      </c>
      <c r="C22">
        <v>170</v>
      </c>
      <c r="D22">
        <f t="shared" si="0"/>
        <v>16.7</v>
      </c>
      <c r="E22">
        <v>215</v>
      </c>
      <c r="F22">
        <f t="shared" si="1"/>
        <v>21.5</v>
      </c>
      <c r="J22" s="97">
        <f t="shared" si="2"/>
        <v>221.58206394077837</v>
      </c>
      <c r="O22">
        <v>19</v>
      </c>
      <c r="P22">
        <v>141</v>
      </c>
      <c r="Q22">
        <v>145</v>
      </c>
      <c r="R22">
        <f t="shared" si="3"/>
        <v>14.3</v>
      </c>
      <c r="S22">
        <v>175</v>
      </c>
      <c r="T22">
        <f t="shared" si="4"/>
        <v>17.5</v>
      </c>
      <c r="U22">
        <v>62</v>
      </c>
      <c r="V22">
        <v>90</v>
      </c>
      <c r="X22" s="97">
        <f t="shared" si="5"/>
        <v>130.88376943238939</v>
      </c>
      <c r="AR22">
        <v>19</v>
      </c>
      <c r="AT22">
        <v>184</v>
      </c>
      <c r="AU22">
        <v>176</v>
      </c>
      <c r="AV22">
        <v>176</v>
      </c>
      <c r="AW22">
        <v>43</v>
      </c>
      <c r="AX22">
        <v>64</v>
      </c>
      <c r="AZ22" s="97">
        <f t="shared" si="6"/>
        <v>221.58206394077837</v>
      </c>
    </row>
    <row r="23" spans="1:55" x14ac:dyDescent="0.15">
      <c r="A23">
        <v>20</v>
      </c>
      <c r="B23">
        <v>154</v>
      </c>
      <c r="C23">
        <v>163</v>
      </c>
      <c r="D23">
        <f t="shared" si="0"/>
        <v>15.85</v>
      </c>
      <c r="E23">
        <v>209</v>
      </c>
      <c r="F23">
        <f t="shared" si="1"/>
        <v>20.9</v>
      </c>
      <c r="J23" s="97">
        <f t="shared" si="2"/>
        <v>195.13603383996625</v>
      </c>
      <c r="O23">
        <v>20</v>
      </c>
      <c r="P23">
        <v>175</v>
      </c>
      <c r="Q23">
        <v>181</v>
      </c>
      <c r="R23">
        <f t="shared" si="3"/>
        <v>17.8</v>
      </c>
      <c r="S23">
        <v>205</v>
      </c>
      <c r="T23">
        <f t="shared" si="4"/>
        <v>20.5</v>
      </c>
      <c r="U23">
        <v>41</v>
      </c>
      <c r="V23">
        <v>94</v>
      </c>
      <c r="X23" s="97">
        <f t="shared" si="5"/>
        <v>233.00337751639449</v>
      </c>
      <c r="AR23">
        <v>20</v>
      </c>
      <c r="AT23">
        <v>165</v>
      </c>
      <c r="AU23">
        <v>154</v>
      </c>
      <c r="AV23">
        <v>179</v>
      </c>
      <c r="AW23">
        <v>58</v>
      </c>
      <c r="AX23">
        <v>88</v>
      </c>
      <c r="AZ23" s="97">
        <f t="shared" si="6"/>
        <v>195.13603383996625</v>
      </c>
    </row>
    <row r="24" spans="1:55" x14ac:dyDescent="0.15">
      <c r="A24">
        <v>21</v>
      </c>
      <c r="B24">
        <v>171</v>
      </c>
      <c r="C24">
        <v>171</v>
      </c>
      <c r="D24">
        <f t="shared" si="0"/>
        <v>17.100000000000001</v>
      </c>
      <c r="E24">
        <v>202</v>
      </c>
      <c r="F24">
        <f t="shared" si="1"/>
        <v>20.2</v>
      </c>
      <c r="J24" s="97">
        <f t="shared" si="2"/>
        <v>213.43982713852915</v>
      </c>
      <c r="O24">
        <v>21</v>
      </c>
      <c r="P24">
        <v>134</v>
      </c>
      <c r="Q24">
        <v>140</v>
      </c>
      <c r="R24">
        <f t="shared" si="3"/>
        <v>13.7</v>
      </c>
      <c r="S24">
        <v>189</v>
      </c>
      <c r="T24">
        <f t="shared" si="4"/>
        <v>18.899999999999999</v>
      </c>
      <c r="U24">
        <v>101</v>
      </c>
      <c r="V24">
        <v>118</v>
      </c>
      <c r="X24" s="97">
        <f t="shared" si="5"/>
        <v>132.96064283865491</v>
      </c>
      <c r="AR24">
        <v>21</v>
      </c>
      <c r="AT24">
        <v>138</v>
      </c>
      <c r="AU24">
        <v>140</v>
      </c>
      <c r="AV24">
        <v>172</v>
      </c>
      <c r="AW24">
        <v>63</v>
      </c>
      <c r="AX24">
        <v>94</v>
      </c>
      <c r="AZ24" s="97">
        <f t="shared" si="6"/>
        <v>213.43982713852915</v>
      </c>
    </row>
    <row r="25" spans="1:55" x14ac:dyDescent="0.15">
      <c r="A25">
        <v>22</v>
      </c>
      <c r="B25">
        <v>171</v>
      </c>
      <c r="C25">
        <v>179</v>
      </c>
      <c r="D25">
        <f t="shared" si="0"/>
        <v>17.5</v>
      </c>
      <c r="E25">
        <v>215</v>
      </c>
      <c r="F25">
        <f t="shared" si="1"/>
        <v>21.5</v>
      </c>
      <c r="J25" s="97">
        <f t="shared" si="2"/>
        <v>240.29491352386611</v>
      </c>
      <c r="O25">
        <v>22</v>
      </c>
      <c r="P25">
        <v>182</v>
      </c>
      <c r="Q25">
        <v>184</v>
      </c>
      <c r="R25">
        <f t="shared" si="3"/>
        <v>18.3</v>
      </c>
      <c r="S25">
        <v>199</v>
      </c>
      <c r="T25">
        <f t="shared" si="4"/>
        <v>19.899999999999999</v>
      </c>
      <c r="U25">
        <v>56</v>
      </c>
      <c r="V25">
        <v>84</v>
      </c>
      <c r="X25" s="97">
        <f t="shared" si="5"/>
        <v>235.46697945354285</v>
      </c>
      <c r="AR25">
        <v>22</v>
      </c>
      <c r="AT25">
        <v>169</v>
      </c>
      <c r="AU25">
        <v>150</v>
      </c>
      <c r="AV25">
        <v>178</v>
      </c>
      <c r="AW25">
        <v>65</v>
      </c>
      <c r="AX25">
        <v>72</v>
      </c>
      <c r="AZ25" s="97">
        <f t="shared" si="6"/>
        <v>240.29491352386611</v>
      </c>
    </row>
    <row r="26" spans="1:55" x14ac:dyDescent="0.15">
      <c r="A26">
        <v>23</v>
      </c>
      <c r="B26">
        <v>140</v>
      </c>
      <c r="C26">
        <v>140</v>
      </c>
      <c r="D26">
        <f t="shared" si="0"/>
        <v>14</v>
      </c>
      <c r="E26">
        <v>199</v>
      </c>
      <c r="F26">
        <f t="shared" si="1"/>
        <v>19.899999999999999</v>
      </c>
      <c r="J26" s="97">
        <f t="shared" si="2"/>
        <v>147.28005806997825</v>
      </c>
    </row>
    <row r="27" spans="1:55" ht="15" x14ac:dyDescent="0.25">
      <c r="A27">
        <v>24</v>
      </c>
      <c r="B27">
        <v>149</v>
      </c>
      <c r="C27">
        <v>167</v>
      </c>
      <c r="D27">
        <f t="shared" si="0"/>
        <v>15.8</v>
      </c>
      <c r="E27">
        <v>210</v>
      </c>
      <c r="F27">
        <f t="shared" si="1"/>
        <v>21</v>
      </c>
      <c r="G27">
        <v>96</v>
      </c>
      <c r="J27" s="97">
        <f t="shared" si="2"/>
        <v>195.22854148271867</v>
      </c>
      <c r="V27" s="82" t="s">
        <v>357</v>
      </c>
      <c r="W27" s="82"/>
      <c r="X27" s="98">
        <f>SUM(X4:X25)</f>
        <v>3866.3720276165868</v>
      </c>
      <c r="Y27" s="82" t="s">
        <v>361</v>
      </c>
      <c r="Z27" s="98">
        <f>PI()*7^2</f>
        <v>153.93804002589985</v>
      </c>
      <c r="AA27" s="82" t="s">
        <v>326</v>
      </c>
      <c r="AX27" s="82" t="s">
        <v>357</v>
      </c>
      <c r="AY27" s="82"/>
      <c r="AZ27" s="98">
        <f>SUM(AZ4:AZ25)</f>
        <v>4060.385267393568</v>
      </c>
      <c r="BA27" s="82" t="s">
        <v>361</v>
      </c>
      <c r="BB27" s="98">
        <f>PI()*7^2</f>
        <v>153.93804002589985</v>
      </c>
      <c r="BC27" s="82" t="s">
        <v>326</v>
      </c>
    </row>
    <row r="28" spans="1:55" ht="15" x14ac:dyDescent="0.25">
      <c r="A28">
        <v>25</v>
      </c>
      <c r="B28">
        <v>108</v>
      </c>
      <c r="C28">
        <v>107</v>
      </c>
      <c r="D28">
        <f t="shared" si="0"/>
        <v>10.75</v>
      </c>
      <c r="E28">
        <v>174</v>
      </c>
      <c r="F28">
        <f t="shared" si="1"/>
        <v>17.399999999999999</v>
      </c>
      <c r="G28">
        <v>98</v>
      </c>
      <c r="J28" s="97">
        <f t="shared" si="2"/>
        <v>77.224000081720348</v>
      </c>
      <c r="O28" s="76" t="s">
        <v>352</v>
      </c>
      <c r="V28" s="82"/>
      <c r="W28" s="82"/>
      <c r="X28" s="100">
        <f>((X27*Z28)/Z27)/1000</f>
        <v>251.16417143976076</v>
      </c>
      <c r="Y28" s="82" t="s">
        <v>360</v>
      </c>
      <c r="Z28" s="82">
        <v>10000</v>
      </c>
      <c r="AA28" s="82" t="s">
        <v>326</v>
      </c>
      <c r="AX28" s="82"/>
      <c r="AY28" s="82"/>
      <c r="AZ28" s="100">
        <f>((AZ27*BB28)/BB27)/1000</f>
        <v>263.76750455640558</v>
      </c>
      <c r="BA28" s="82" t="s">
        <v>360</v>
      </c>
      <c r="BB28" s="82">
        <v>10000</v>
      </c>
      <c r="BC28" s="82" t="s">
        <v>326</v>
      </c>
    </row>
    <row r="29" spans="1:55" x14ac:dyDescent="0.15">
      <c r="A29">
        <v>26</v>
      </c>
      <c r="B29">
        <v>154</v>
      </c>
      <c r="C29">
        <v>162</v>
      </c>
      <c r="D29">
        <f t="shared" si="0"/>
        <v>15.8</v>
      </c>
      <c r="E29">
        <v>209</v>
      </c>
      <c r="F29">
        <f t="shared" si="1"/>
        <v>20.9</v>
      </c>
      <c r="G29">
        <v>102</v>
      </c>
      <c r="J29" s="97">
        <f t="shared" si="2"/>
        <v>194.05679123326993</v>
      </c>
      <c r="O29" t="s">
        <v>354</v>
      </c>
    </row>
    <row r="30" spans="1:55" x14ac:dyDescent="0.15">
      <c r="A30">
        <v>27</v>
      </c>
      <c r="B30">
        <v>172</v>
      </c>
      <c r="C30">
        <v>166</v>
      </c>
      <c r="D30">
        <f t="shared" si="0"/>
        <v>16.899999999999999</v>
      </c>
      <c r="E30">
        <v>214</v>
      </c>
      <c r="F30">
        <f t="shared" si="1"/>
        <v>21.4</v>
      </c>
      <c r="G30">
        <v>108</v>
      </c>
      <c r="J30" s="97">
        <f t="shared" si="2"/>
        <v>224.87837729897169</v>
      </c>
    </row>
    <row r="31" spans="1:55" x14ac:dyDescent="0.15">
      <c r="A31">
        <v>28</v>
      </c>
      <c r="B31">
        <v>184</v>
      </c>
      <c r="C31">
        <v>180</v>
      </c>
      <c r="D31">
        <f t="shared" si="0"/>
        <v>18.2</v>
      </c>
      <c r="E31">
        <v>200</v>
      </c>
      <c r="F31">
        <f t="shared" si="1"/>
        <v>20</v>
      </c>
      <c r="G31">
        <v>80</v>
      </c>
      <c r="H31">
        <v>122</v>
      </c>
      <c r="J31" s="97">
        <f t="shared" si="2"/>
        <v>234.72330804839774</v>
      </c>
    </row>
    <row r="32" spans="1:55" x14ac:dyDescent="0.15">
      <c r="A32">
        <v>29</v>
      </c>
      <c r="B32">
        <v>159</v>
      </c>
      <c r="C32">
        <v>153</v>
      </c>
      <c r="D32">
        <f t="shared" si="0"/>
        <v>15.6</v>
      </c>
      <c r="E32">
        <v>212</v>
      </c>
      <c r="F32">
        <f t="shared" si="1"/>
        <v>21.2</v>
      </c>
      <c r="G32">
        <v>90</v>
      </c>
      <c r="H32">
        <v>129</v>
      </c>
      <c r="J32" s="97">
        <f t="shared" si="2"/>
        <v>193.20667146103116</v>
      </c>
    </row>
    <row r="33" spans="1:50" x14ac:dyDescent="0.15">
      <c r="A33">
        <v>30</v>
      </c>
      <c r="B33">
        <v>163</v>
      </c>
      <c r="C33">
        <v>161</v>
      </c>
      <c r="D33">
        <f t="shared" si="0"/>
        <v>16.2</v>
      </c>
      <c r="E33">
        <v>203</v>
      </c>
      <c r="F33">
        <f t="shared" si="1"/>
        <v>20.3</v>
      </c>
      <c r="G33">
        <v>192</v>
      </c>
      <c r="H33">
        <v>128</v>
      </c>
      <c r="J33" s="97">
        <f t="shared" si="2"/>
        <v>195.47102987802413</v>
      </c>
    </row>
    <row r="34" spans="1:50" x14ac:dyDescent="0.15">
      <c r="A34">
        <v>31</v>
      </c>
      <c r="B34">
        <v>180</v>
      </c>
      <c r="C34">
        <v>177</v>
      </c>
      <c r="D34">
        <f t="shared" si="0"/>
        <v>17.850000000000001</v>
      </c>
      <c r="E34">
        <v>221</v>
      </c>
      <c r="F34">
        <f t="shared" si="1"/>
        <v>22.1</v>
      </c>
      <c r="G34">
        <v>131</v>
      </c>
      <c r="J34" s="97">
        <f t="shared" si="2"/>
        <v>257.52259024662914</v>
      </c>
    </row>
    <row r="35" spans="1:50" x14ac:dyDescent="0.15">
      <c r="J35" s="97"/>
    </row>
    <row r="36" spans="1:50" ht="15" x14ac:dyDescent="0.25">
      <c r="A36" t="s">
        <v>367</v>
      </c>
      <c r="H36" s="82" t="s">
        <v>357</v>
      </c>
      <c r="I36" s="82"/>
      <c r="J36" s="98">
        <f>SUM(J4:J34)</f>
        <v>5779.9766351943081</v>
      </c>
      <c r="K36" s="82" t="s">
        <v>361</v>
      </c>
      <c r="L36" s="82">
        <f>PI()*7^2</f>
        <v>153.93804002589985</v>
      </c>
      <c r="M36" s="82" t="s">
        <v>326</v>
      </c>
    </row>
    <row r="37" spans="1:50" ht="13.5" customHeight="1" x14ac:dyDescent="0.25">
      <c r="H37" s="82"/>
      <c r="I37" s="82"/>
      <c r="J37" s="100">
        <f>((J36*L37)/L36)/1000</f>
        <v>375.47422548850403</v>
      </c>
      <c r="K37" s="82" t="s">
        <v>360</v>
      </c>
      <c r="L37" s="82">
        <v>10000</v>
      </c>
      <c r="M37" s="82" t="s">
        <v>326</v>
      </c>
    </row>
    <row r="38" spans="1:50" x14ac:dyDescent="0.15">
      <c r="AT38" s="76"/>
      <c r="AU38" s="76"/>
      <c r="AV38" s="76"/>
      <c r="AW38" s="76"/>
      <c r="AX38" s="76"/>
    </row>
    <row r="39" spans="1:50" x14ac:dyDescent="0.15">
      <c r="A39" t="s">
        <v>153</v>
      </c>
      <c r="D39" t="s">
        <v>159</v>
      </c>
      <c r="E39" t="s">
        <v>353</v>
      </c>
      <c r="AR39" s="76"/>
      <c r="AS39" s="76"/>
      <c r="AT39" s="76"/>
      <c r="AU39" s="76"/>
      <c r="AV39" s="76"/>
      <c r="AW39" s="76"/>
      <c r="AX39" s="76"/>
    </row>
    <row r="40" spans="1:50" x14ac:dyDescent="0.15">
      <c r="A40" t="s">
        <v>154</v>
      </c>
      <c r="B40">
        <v>-0.89359</v>
      </c>
      <c r="D40" t="s">
        <v>160</v>
      </c>
      <c r="AR40" s="76"/>
      <c r="AS40" s="76"/>
      <c r="AT40" s="76"/>
      <c r="AU40" s="76"/>
      <c r="AV40" s="76"/>
      <c r="AW40" s="76"/>
      <c r="AX40" s="76"/>
    </row>
    <row r="41" spans="1:50" x14ac:dyDescent="0.15">
      <c r="A41" t="s">
        <v>155</v>
      </c>
      <c r="B41">
        <v>2.2795399999999999</v>
      </c>
      <c r="AR41" s="76"/>
      <c r="AS41" s="76"/>
      <c r="AT41" s="76"/>
      <c r="AU41" s="76"/>
      <c r="AV41" s="76"/>
      <c r="AW41" s="76"/>
      <c r="AX41" s="76"/>
    </row>
    <row r="42" spans="1:50" x14ac:dyDescent="0.15">
      <c r="A42" t="s">
        <v>156</v>
      </c>
      <c r="B42">
        <v>-1.18672</v>
      </c>
      <c r="AR42" s="76"/>
      <c r="AS42" s="76"/>
      <c r="AT42" s="76"/>
      <c r="AU42" s="76"/>
      <c r="AV42" s="76"/>
      <c r="AW42" s="76"/>
      <c r="AX42" s="76"/>
    </row>
    <row r="43" spans="1:50" x14ac:dyDescent="0.15">
      <c r="A43" t="s">
        <v>157</v>
      </c>
      <c r="B43">
        <v>7.07362</v>
      </c>
      <c r="AR43" s="76"/>
      <c r="AS43" s="76"/>
      <c r="AT43" s="76"/>
      <c r="AU43" s="76"/>
      <c r="AV43" s="76"/>
      <c r="AW43" s="76"/>
      <c r="AX43" s="76"/>
    </row>
    <row r="44" spans="1:50" x14ac:dyDescent="0.15">
      <c r="A44" t="s">
        <v>158</v>
      </c>
      <c r="B44">
        <v>-5.4517499999999997</v>
      </c>
      <c r="AR44" s="76"/>
      <c r="AS44" s="76"/>
      <c r="AT44" s="76"/>
      <c r="AU44" s="76"/>
      <c r="AV44" s="76"/>
      <c r="AW44" s="76"/>
      <c r="AX44" s="76"/>
    </row>
    <row r="45" spans="1:50" x14ac:dyDescent="0.15">
      <c r="AR45" s="76" t="s">
        <v>259</v>
      </c>
      <c r="AS45" s="76"/>
      <c r="AT45" s="76"/>
      <c r="AU45" s="76"/>
      <c r="AV45" s="76"/>
      <c r="AW45" s="76"/>
      <c r="AX45" s="76"/>
    </row>
    <row r="46" spans="1:50" ht="12.6" customHeight="1" x14ac:dyDescent="0.15">
      <c r="A46" s="76" t="s">
        <v>258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AR46" t="s">
        <v>260</v>
      </c>
    </row>
    <row r="47" spans="1:50" x14ac:dyDescent="0.15">
      <c r="A47" t="s">
        <v>260</v>
      </c>
      <c r="AR47" t="s">
        <v>228</v>
      </c>
      <c r="AT47" t="s">
        <v>229</v>
      </c>
      <c r="AV47" t="s">
        <v>251</v>
      </c>
    </row>
    <row r="48" spans="1:50" x14ac:dyDescent="0.15">
      <c r="A48" t="s">
        <v>228</v>
      </c>
      <c r="B48" t="s">
        <v>229</v>
      </c>
      <c r="D48" t="s">
        <v>251</v>
      </c>
      <c r="AR48">
        <v>1526</v>
      </c>
      <c r="AT48">
        <v>473</v>
      </c>
      <c r="AV48">
        <f t="shared" ref="AV48:AV57" si="7">AT48/$AR$60</f>
        <v>1.1617340046665849</v>
      </c>
    </row>
    <row r="49" spans="1:48" x14ac:dyDescent="0.15">
      <c r="A49">
        <v>176</v>
      </c>
      <c r="B49">
        <v>395.2</v>
      </c>
      <c r="D49">
        <f t="shared" ref="D49:D58" si="8">B49/$A$61</f>
        <v>0.97064963772565394</v>
      </c>
      <c r="AR49">
        <v>168</v>
      </c>
      <c r="AT49">
        <v>470</v>
      </c>
      <c r="AV49">
        <f t="shared" si="7"/>
        <v>1.1543657128822302</v>
      </c>
    </row>
    <row r="50" spans="1:48" x14ac:dyDescent="0.15">
      <c r="A50">
        <v>1525</v>
      </c>
      <c r="B50">
        <v>402.2</v>
      </c>
      <c r="D50">
        <f t="shared" si="8"/>
        <v>0.98784231855581484</v>
      </c>
      <c r="AR50">
        <v>180</v>
      </c>
      <c r="AT50">
        <v>474.3</v>
      </c>
      <c r="AV50">
        <f t="shared" si="7"/>
        <v>1.1649269311064718</v>
      </c>
    </row>
    <row r="51" spans="1:48" x14ac:dyDescent="0.15">
      <c r="A51">
        <v>179</v>
      </c>
      <c r="B51">
        <v>393.2</v>
      </c>
      <c r="D51">
        <f t="shared" si="8"/>
        <v>0.9657374432027509</v>
      </c>
      <c r="AR51">
        <v>1528</v>
      </c>
      <c r="AT51">
        <v>484</v>
      </c>
      <c r="AV51">
        <f t="shared" si="7"/>
        <v>1.188751074542552</v>
      </c>
    </row>
    <row r="52" spans="1:48" x14ac:dyDescent="0.15">
      <c r="A52">
        <v>164</v>
      </c>
      <c r="B52">
        <v>412.5</v>
      </c>
      <c r="D52">
        <f t="shared" si="8"/>
        <v>1.0131401203487658</v>
      </c>
      <c r="AR52">
        <v>1533</v>
      </c>
      <c r="AT52">
        <v>499.9</v>
      </c>
      <c r="AV52">
        <f t="shared" si="7"/>
        <v>1.2278030209996316</v>
      </c>
    </row>
    <row r="53" spans="1:48" x14ac:dyDescent="0.15">
      <c r="A53">
        <v>1521</v>
      </c>
      <c r="B53">
        <v>411.1</v>
      </c>
      <c r="D53">
        <f t="shared" si="8"/>
        <v>1.0097015841827337</v>
      </c>
      <c r="AR53">
        <v>1522</v>
      </c>
      <c r="AT53">
        <v>485.7</v>
      </c>
      <c r="AV53">
        <f t="shared" si="7"/>
        <v>1.1929264398870196</v>
      </c>
    </row>
    <row r="54" spans="1:48" x14ac:dyDescent="0.15">
      <c r="A54">
        <v>1534</v>
      </c>
      <c r="B54">
        <v>400.8</v>
      </c>
      <c r="D54">
        <f t="shared" si="8"/>
        <v>0.98440378238978277</v>
      </c>
      <c r="AR54">
        <v>1529</v>
      </c>
      <c r="AT54">
        <v>473.9</v>
      </c>
      <c r="AV54">
        <f t="shared" si="7"/>
        <v>1.1639444922018911</v>
      </c>
    </row>
    <row r="55" spans="1:48" x14ac:dyDescent="0.15">
      <c r="A55">
        <v>1524</v>
      </c>
      <c r="B55">
        <v>418.8</v>
      </c>
      <c r="D55">
        <f t="shared" si="8"/>
        <v>1.0286135330959107</v>
      </c>
      <c r="AR55">
        <v>175</v>
      </c>
      <c r="AT55">
        <v>478.5</v>
      </c>
      <c r="AV55">
        <f t="shared" si="7"/>
        <v>1.1752425396045685</v>
      </c>
    </row>
    <row r="56" spans="1:48" x14ac:dyDescent="0.15">
      <c r="A56">
        <v>1531</v>
      </c>
      <c r="B56">
        <v>412.4</v>
      </c>
      <c r="D56">
        <f t="shared" si="8"/>
        <v>1.0128945106226206</v>
      </c>
      <c r="AR56">
        <v>153</v>
      </c>
      <c r="AT56">
        <v>448.1</v>
      </c>
      <c r="AV56">
        <f t="shared" si="7"/>
        <v>1.1005771828564412</v>
      </c>
    </row>
    <row r="57" spans="1:48" x14ac:dyDescent="0.15">
      <c r="A57">
        <v>1530</v>
      </c>
      <c r="B57">
        <v>417.8</v>
      </c>
      <c r="D57">
        <f t="shared" si="8"/>
        <v>1.0261574358344592</v>
      </c>
      <c r="AR57">
        <v>1527</v>
      </c>
      <c r="AT57">
        <v>475.4</v>
      </c>
      <c r="AV57">
        <f t="shared" si="7"/>
        <v>1.1676286380940686</v>
      </c>
    </row>
    <row r="58" spans="1:48" x14ac:dyDescent="0.15">
      <c r="A58">
        <v>177</v>
      </c>
      <c r="B58">
        <v>384.3</v>
      </c>
      <c r="D58">
        <f t="shared" si="8"/>
        <v>0.94387817757583203</v>
      </c>
    </row>
    <row r="59" spans="1:48" x14ac:dyDescent="0.15">
      <c r="AR59" t="s">
        <v>343</v>
      </c>
      <c r="AV59">
        <f>AVERAGE(AV48:AV57)</f>
        <v>1.1697900036841458</v>
      </c>
    </row>
    <row r="60" spans="1:48" x14ac:dyDescent="0.15">
      <c r="A60" t="s">
        <v>343</v>
      </c>
      <c r="D60">
        <f>AVERAGE(D49:D58)</f>
        <v>0.99430185435343255</v>
      </c>
      <c r="AR60">
        <v>407.15</v>
      </c>
      <c r="AT60" t="s">
        <v>253</v>
      </c>
    </row>
    <row r="61" spans="1:48" x14ac:dyDescent="0.15">
      <c r="A61">
        <v>407.15</v>
      </c>
      <c r="B61" t="s">
        <v>253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P3" sqref="P3"/>
    </sheetView>
  </sheetViews>
  <sheetFormatPr defaultRowHeight="10.5" x14ac:dyDescent="0.15"/>
  <cols>
    <col min="1" max="1" width="16.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s="76" customFormat="1" x14ac:dyDescent="0.15">
      <c r="A1" s="76" t="s">
        <v>323</v>
      </c>
      <c r="N1" s="76" t="s">
        <v>342</v>
      </c>
    </row>
    <row r="2" spans="1:17" x14ac:dyDescent="0.15">
      <c r="A2" t="s">
        <v>124</v>
      </c>
      <c r="B2" t="s">
        <v>126</v>
      </c>
      <c r="C2" t="s">
        <v>82</v>
      </c>
      <c r="D2" t="s">
        <v>84</v>
      </c>
      <c r="E2" t="s">
        <v>134</v>
      </c>
      <c r="F2" t="s">
        <v>135</v>
      </c>
      <c r="G2" t="s">
        <v>127</v>
      </c>
      <c r="H2" t="s">
        <v>128</v>
      </c>
      <c r="I2" t="s">
        <v>129</v>
      </c>
      <c r="J2" t="s">
        <v>89</v>
      </c>
      <c r="K2" t="s">
        <v>88</v>
      </c>
      <c r="L2" t="s">
        <v>92</v>
      </c>
      <c r="M2" t="s">
        <v>144</v>
      </c>
      <c r="N2" t="s">
        <v>143</v>
      </c>
      <c r="O2" t="s">
        <v>145</v>
      </c>
      <c r="P2" t="s">
        <v>146</v>
      </c>
      <c r="Q2" t="s">
        <v>147</v>
      </c>
    </row>
    <row r="3" spans="1:17" x14ac:dyDescent="0.15">
      <c r="A3" t="s">
        <v>152</v>
      </c>
      <c r="B3" t="s">
        <v>162</v>
      </c>
      <c r="D3">
        <v>34</v>
      </c>
      <c r="E3">
        <f>7^2*PI()/20</f>
        <v>7.6969020012949922</v>
      </c>
      <c r="F3">
        <f>10000/E3</f>
        <v>1299.2240252399622</v>
      </c>
      <c r="G3">
        <v>1</v>
      </c>
      <c r="H3">
        <v>237</v>
      </c>
      <c r="I3">
        <v>239</v>
      </c>
      <c r="J3">
        <f>AVERAGE(H3:I3)</f>
        <v>238</v>
      </c>
      <c r="K3">
        <v>270</v>
      </c>
      <c r="M3">
        <f>10^(-0.89359)*(J3/10)^2.27954*((J3/10)+20)^(-1.18672)*(K3/10)^7.07362*((K3/10)-1.3)^(-5.45175)</f>
        <v>542.90335386292304</v>
      </c>
      <c r="N3">
        <f>AVERAGE(M$3:M$22)/1000*F3</f>
        <v>356.11135119095059</v>
      </c>
      <c r="O3">
        <f>N3/D3</f>
        <v>10.473863270322076</v>
      </c>
      <c r="P3">
        <f>N3/0.85*0.438</f>
        <v>183.50208449604278</v>
      </c>
      <c r="Q3">
        <f>P3/D3</f>
        <v>5.3971201322365525</v>
      </c>
    </row>
    <row r="4" spans="1:17" x14ac:dyDescent="0.15">
      <c r="A4" t="s">
        <v>152</v>
      </c>
      <c r="B4" t="s">
        <v>162</v>
      </c>
      <c r="D4">
        <v>34</v>
      </c>
      <c r="E4">
        <f t="shared" ref="E4:E22" si="0">7^2*PI()/20</f>
        <v>7.6969020012949922</v>
      </c>
      <c r="F4">
        <f t="shared" ref="F4:F22" si="1">10000/E4</f>
        <v>1299.2240252399622</v>
      </c>
      <c r="G4">
        <v>2</v>
      </c>
      <c r="H4">
        <v>229</v>
      </c>
      <c r="I4">
        <v>232</v>
      </c>
      <c r="J4">
        <f t="shared" ref="J4:J22" si="2">AVERAGE(H4:I4)</f>
        <v>230.5</v>
      </c>
      <c r="K4">
        <v>244</v>
      </c>
      <c r="M4">
        <f t="shared" ref="M4:M22" si="3">10^(-0.89359)*(J4/10)^2.27954*((J4/10)+20)^(-1.18672)*(K4/10)^7.07362*((K4/10)-1.3)^(-5.45175)</f>
        <v>450.19542753032329</v>
      </c>
      <c r="N4">
        <f t="shared" ref="N4:N22" si="4">AVERAGE(M$3:M$22)/1000*F4</f>
        <v>356.11135119095059</v>
      </c>
      <c r="O4">
        <f t="shared" ref="O4:O22" si="5">N4/D4</f>
        <v>10.473863270322076</v>
      </c>
      <c r="P4">
        <f t="shared" ref="P4:P22" si="6">N4/0.85*0.438</f>
        <v>183.50208449604278</v>
      </c>
      <c r="Q4">
        <f t="shared" ref="Q4:Q22" si="7">P4/D4</f>
        <v>5.3971201322365525</v>
      </c>
    </row>
    <row r="5" spans="1:17" x14ac:dyDescent="0.15">
      <c r="A5" t="s">
        <v>152</v>
      </c>
      <c r="B5" t="s">
        <v>162</v>
      </c>
      <c r="D5">
        <v>34</v>
      </c>
      <c r="E5">
        <f t="shared" si="0"/>
        <v>7.6969020012949922</v>
      </c>
      <c r="F5">
        <f t="shared" si="1"/>
        <v>1299.2240252399622</v>
      </c>
      <c r="G5">
        <v>3</v>
      </c>
      <c r="H5">
        <v>128</v>
      </c>
      <c r="I5">
        <v>131</v>
      </c>
      <c r="J5">
        <f t="shared" si="2"/>
        <v>129.5</v>
      </c>
      <c r="K5">
        <v>169</v>
      </c>
      <c r="M5">
        <f t="shared" si="3"/>
        <v>105.09715688820683</v>
      </c>
      <c r="N5">
        <f t="shared" si="4"/>
        <v>356.11135119095059</v>
      </c>
      <c r="O5">
        <f t="shared" si="5"/>
        <v>10.473863270322076</v>
      </c>
      <c r="P5">
        <f t="shared" si="6"/>
        <v>183.50208449604278</v>
      </c>
      <c r="Q5">
        <f t="shared" si="7"/>
        <v>5.3971201322365525</v>
      </c>
    </row>
    <row r="6" spans="1:17" x14ac:dyDescent="0.15">
      <c r="A6" t="s">
        <v>152</v>
      </c>
      <c r="B6" t="s">
        <v>162</v>
      </c>
      <c r="D6">
        <v>34</v>
      </c>
      <c r="E6">
        <f t="shared" si="0"/>
        <v>7.6969020012949922</v>
      </c>
      <c r="F6">
        <f t="shared" si="1"/>
        <v>1299.2240252399622</v>
      </c>
      <c r="G6">
        <v>4</v>
      </c>
      <c r="H6">
        <v>196</v>
      </c>
      <c r="I6">
        <v>209</v>
      </c>
      <c r="J6">
        <f t="shared" si="2"/>
        <v>202.5</v>
      </c>
      <c r="K6">
        <v>247</v>
      </c>
      <c r="M6">
        <f t="shared" si="3"/>
        <v>368.83897672931346</v>
      </c>
      <c r="N6">
        <f t="shared" si="4"/>
        <v>356.11135119095059</v>
      </c>
      <c r="O6">
        <f t="shared" si="5"/>
        <v>10.473863270322076</v>
      </c>
      <c r="P6">
        <f t="shared" si="6"/>
        <v>183.50208449604278</v>
      </c>
      <c r="Q6">
        <f t="shared" si="7"/>
        <v>5.3971201322365525</v>
      </c>
    </row>
    <row r="7" spans="1:17" x14ac:dyDescent="0.15">
      <c r="A7" t="s">
        <v>152</v>
      </c>
      <c r="B7" t="s">
        <v>162</v>
      </c>
      <c r="D7">
        <v>34</v>
      </c>
      <c r="E7">
        <f t="shared" si="0"/>
        <v>7.6969020012949922</v>
      </c>
      <c r="F7">
        <f t="shared" si="1"/>
        <v>1299.2240252399622</v>
      </c>
      <c r="G7">
        <v>5</v>
      </c>
      <c r="H7">
        <v>97</v>
      </c>
      <c r="I7">
        <v>102</v>
      </c>
      <c r="J7">
        <f t="shared" si="2"/>
        <v>99.5</v>
      </c>
      <c r="K7">
        <v>151</v>
      </c>
      <c r="M7">
        <f t="shared" si="3"/>
        <v>56.782837107368948</v>
      </c>
      <c r="N7">
        <f t="shared" si="4"/>
        <v>356.11135119095059</v>
      </c>
      <c r="O7">
        <f t="shared" si="5"/>
        <v>10.473863270322076</v>
      </c>
      <c r="P7">
        <f t="shared" si="6"/>
        <v>183.50208449604278</v>
      </c>
      <c r="Q7">
        <f t="shared" si="7"/>
        <v>5.3971201322365525</v>
      </c>
    </row>
    <row r="8" spans="1:17" x14ac:dyDescent="0.15">
      <c r="A8" t="s">
        <v>152</v>
      </c>
      <c r="B8" t="s">
        <v>162</v>
      </c>
      <c r="D8">
        <v>34</v>
      </c>
      <c r="E8">
        <f t="shared" si="0"/>
        <v>7.6969020012949922</v>
      </c>
      <c r="F8">
        <f t="shared" si="1"/>
        <v>1299.2240252399622</v>
      </c>
      <c r="G8">
        <v>6</v>
      </c>
      <c r="H8">
        <v>111</v>
      </c>
      <c r="I8">
        <v>115</v>
      </c>
      <c r="J8">
        <f t="shared" si="2"/>
        <v>113</v>
      </c>
      <c r="K8">
        <v>170</v>
      </c>
      <c r="M8">
        <f t="shared" si="3"/>
        <v>82.439287193761828</v>
      </c>
      <c r="N8">
        <f t="shared" si="4"/>
        <v>356.11135119095059</v>
      </c>
      <c r="O8">
        <f t="shared" si="5"/>
        <v>10.473863270322076</v>
      </c>
      <c r="P8">
        <f t="shared" si="6"/>
        <v>183.50208449604278</v>
      </c>
      <c r="Q8">
        <f t="shared" si="7"/>
        <v>5.3971201322365525</v>
      </c>
    </row>
    <row r="9" spans="1:17" x14ac:dyDescent="0.15">
      <c r="A9" t="s">
        <v>152</v>
      </c>
      <c r="B9" t="s">
        <v>162</v>
      </c>
      <c r="D9">
        <v>34</v>
      </c>
      <c r="E9">
        <f t="shared" si="0"/>
        <v>7.6969020012949922</v>
      </c>
      <c r="F9">
        <f t="shared" si="1"/>
        <v>1299.2240252399622</v>
      </c>
      <c r="G9">
        <v>7</v>
      </c>
      <c r="H9">
        <v>182</v>
      </c>
      <c r="I9">
        <v>186</v>
      </c>
      <c r="J9">
        <f t="shared" si="2"/>
        <v>184</v>
      </c>
      <c r="K9">
        <v>244</v>
      </c>
      <c r="M9">
        <f t="shared" si="3"/>
        <v>308.49780739352377</v>
      </c>
      <c r="N9">
        <f t="shared" si="4"/>
        <v>356.11135119095059</v>
      </c>
      <c r="O9">
        <f t="shared" si="5"/>
        <v>10.473863270322076</v>
      </c>
      <c r="P9">
        <f t="shared" si="6"/>
        <v>183.50208449604278</v>
      </c>
      <c r="Q9">
        <f t="shared" si="7"/>
        <v>5.3971201322365525</v>
      </c>
    </row>
    <row r="10" spans="1:17" x14ac:dyDescent="0.15">
      <c r="A10" t="s">
        <v>152</v>
      </c>
      <c r="B10" t="s">
        <v>162</v>
      </c>
      <c r="D10">
        <v>34</v>
      </c>
      <c r="E10">
        <f t="shared" si="0"/>
        <v>7.6969020012949922</v>
      </c>
      <c r="F10">
        <f t="shared" si="1"/>
        <v>1299.2240252399622</v>
      </c>
      <c r="G10">
        <v>8</v>
      </c>
      <c r="H10">
        <v>194</v>
      </c>
      <c r="I10">
        <v>183</v>
      </c>
      <c r="J10">
        <f t="shared" si="2"/>
        <v>188.5</v>
      </c>
      <c r="K10">
        <v>254</v>
      </c>
      <c r="M10">
        <f t="shared" si="3"/>
        <v>339.01552965022466</v>
      </c>
      <c r="N10">
        <f t="shared" si="4"/>
        <v>356.11135119095059</v>
      </c>
      <c r="O10">
        <f t="shared" si="5"/>
        <v>10.473863270322076</v>
      </c>
      <c r="P10">
        <f t="shared" si="6"/>
        <v>183.50208449604278</v>
      </c>
      <c r="Q10">
        <f t="shared" si="7"/>
        <v>5.3971201322365525</v>
      </c>
    </row>
    <row r="11" spans="1:17" x14ac:dyDescent="0.15">
      <c r="A11" t="s">
        <v>152</v>
      </c>
      <c r="B11" t="s">
        <v>162</v>
      </c>
      <c r="D11">
        <v>34</v>
      </c>
      <c r="E11">
        <f t="shared" si="0"/>
        <v>7.6969020012949922</v>
      </c>
      <c r="F11">
        <f t="shared" si="1"/>
        <v>1299.2240252399622</v>
      </c>
      <c r="G11">
        <v>9</v>
      </c>
      <c r="H11">
        <v>206</v>
      </c>
      <c r="I11">
        <v>201</v>
      </c>
      <c r="J11">
        <f t="shared" si="2"/>
        <v>203.5</v>
      </c>
      <c r="K11">
        <v>259</v>
      </c>
      <c r="M11">
        <f t="shared" si="3"/>
        <v>396.06209982757053</v>
      </c>
      <c r="N11">
        <f t="shared" si="4"/>
        <v>356.11135119095059</v>
      </c>
      <c r="O11">
        <f t="shared" si="5"/>
        <v>10.473863270322076</v>
      </c>
      <c r="P11">
        <f t="shared" si="6"/>
        <v>183.50208449604278</v>
      </c>
      <c r="Q11">
        <f t="shared" si="7"/>
        <v>5.3971201322365525</v>
      </c>
    </row>
    <row r="12" spans="1:17" x14ac:dyDescent="0.15">
      <c r="A12" t="s">
        <v>152</v>
      </c>
      <c r="B12" t="s">
        <v>162</v>
      </c>
      <c r="D12">
        <v>34</v>
      </c>
      <c r="E12">
        <f t="shared" si="0"/>
        <v>7.6969020012949922</v>
      </c>
      <c r="F12">
        <f t="shared" si="1"/>
        <v>1299.2240252399622</v>
      </c>
      <c r="G12">
        <v>10</v>
      </c>
      <c r="H12">
        <v>134</v>
      </c>
      <c r="I12">
        <v>122</v>
      </c>
      <c r="J12">
        <f t="shared" si="2"/>
        <v>128</v>
      </c>
      <c r="K12">
        <v>182</v>
      </c>
      <c r="M12">
        <f t="shared" si="3"/>
        <v>112.34569519584693</v>
      </c>
      <c r="N12">
        <f t="shared" si="4"/>
        <v>356.11135119095059</v>
      </c>
      <c r="O12">
        <f t="shared" si="5"/>
        <v>10.473863270322076</v>
      </c>
      <c r="P12">
        <f t="shared" si="6"/>
        <v>183.50208449604278</v>
      </c>
      <c r="Q12">
        <f t="shared" si="7"/>
        <v>5.3971201322365525</v>
      </c>
    </row>
    <row r="13" spans="1:17" x14ac:dyDescent="0.15">
      <c r="A13" t="s">
        <v>152</v>
      </c>
      <c r="B13" t="s">
        <v>162</v>
      </c>
      <c r="D13">
        <v>34</v>
      </c>
      <c r="E13">
        <f t="shared" si="0"/>
        <v>7.6969020012949922</v>
      </c>
      <c r="F13">
        <f t="shared" si="1"/>
        <v>1299.2240252399622</v>
      </c>
      <c r="G13">
        <v>11</v>
      </c>
      <c r="H13">
        <v>193</v>
      </c>
      <c r="I13">
        <v>200</v>
      </c>
      <c r="J13">
        <f t="shared" si="2"/>
        <v>196.5</v>
      </c>
      <c r="K13">
        <v>259</v>
      </c>
      <c r="M13">
        <f t="shared" si="3"/>
        <v>373.36149306669159</v>
      </c>
      <c r="N13">
        <f t="shared" si="4"/>
        <v>356.11135119095059</v>
      </c>
      <c r="O13">
        <f t="shared" si="5"/>
        <v>10.473863270322076</v>
      </c>
      <c r="P13">
        <f t="shared" si="6"/>
        <v>183.50208449604278</v>
      </c>
      <c r="Q13">
        <f t="shared" si="7"/>
        <v>5.3971201322365525</v>
      </c>
    </row>
    <row r="14" spans="1:17" x14ac:dyDescent="0.15">
      <c r="A14" t="s">
        <v>152</v>
      </c>
      <c r="B14" t="s">
        <v>162</v>
      </c>
      <c r="D14">
        <v>34</v>
      </c>
      <c r="E14">
        <f t="shared" si="0"/>
        <v>7.6969020012949922</v>
      </c>
      <c r="F14">
        <f t="shared" si="1"/>
        <v>1299.2240252399622</v>
      </c>
      <c r="G14">
        <v>12</v>
      </c>
      <c r="H14">
        <v>176</v>
      </c>
      <c r="I14">
        <v>177</v>
      </c>
      <c r="J14">
        <f t="shared" si="2"/>
        <v>176.5</v>
      </c>
      <c r="K14">
        <v>251</v>
      </c>
      <c r="M14">
        <f t="shared" si="3"/>
        <v>298.14616125483974</v>
      </c>
      <c r="N14">
        <f t="shared" si="4"/>
        <v>356.11135119095059</v>
      </c>
      <c r="O14">
        <f t="shared" si="5"/>
        <v>10.473863270322076</v>
      </c>
      <c r="P14">
        <f t="shared" si="6"/>
        <v>183.50208449604278</v>
      </c>
      <c r="Q14">
        <f t="shared" si="7"/>
        <v>5.3971201322365525</v>
      </c>
    </row>
    <row r="15" spans="1:17" x14ac:dyDescent="0.15">
      <c r="A15" t="s">
        <v>152</v>
      </c>
      <c r="B15" t="s">
        <v>162</v>
      </c>
      <c r="D15">
        <v>34</v>
      </c>
      <c r="E15">
        <f t="shared" si="0"/>
        <v>7.6969020012949922</v>
      </c>
      <c r="F15">
        <f t="shared" si="1"/>
        <v>1299.2240252399622</v>
      </c>
      <c r="G15">
        <v>13</v>
      </c>
      <c r="H15">
        <v>210</v>
      </c>
      <c r="I15">
        <v>210</v>
      </c>
      <c r="J15">
        <f t="shared" si="2"/>
        <v>210</v>
      </c>
      <c r="K15">
        <v>273</v>
      </c>
      <c r="M15">
        <f t="shared" si="3"/>
        <v>448.05031421892676</v>
      </c>
      <c r="N15">
        <f t="shared" si="4"/>
        <v>356.11135119095059</v>
      </c>
      <c r="O15">
        <f t="shared" si="5"/>
        <v>10.473863270322076</v>
      </c>
      <c r="P15">
        <f t="shared" si="6"/>
        <v>183.50208449604278</v>
      </c>
      <c r="Q15">
        <f t="shared" si="7"/>
        <v>5.3971201322365525</v>
      </c>
    </row>
    <row r="16" spans="1:17" x14ac:dyDescent="0.15">
      <c r="A16" t="s">
        <v>152</v>
      </c>
      <c r="B16" t="s">
        <v>162</v>
      </c>
      <c r="D16">
        <v>34</v>
      </c>
      <c r="E16">
        <f t="shared" si="0"/>
        <v>7.6969020012949922</v>
      </c>
      <c r="F16">
        <f t="shared" si="1"/>
        <v>1299.2240252399622</v>
      </c>
      <c r="G16">
        <v>14</v>
      </c>
      <c r="H16">
        <v>202</v>
      </c>
      <c r="I16">
        <v>209</v>
      </c>
      <c r="J16">
        <f t="shared" si="2"/>
        <v>205.5</v>
      </c>
      <c r="K16">
        <v>258</v>
      </c>
      <c r="M16">
        <f t="shared" si="3"/>
        <v>400.55055952057148</v>
      </c>
      <c r="N16">
        <f t="shared" si="4"/>
        <v>356.11135119095059</v>
      </c>
      <c r="O16">
        <f t="shared" si="5"/>
        <v>10.473863270322076</v>
      </c>
      <c r="P16">
        <f t="shared" si="6"/>
        <v>183.50208449604278</v>
      </c>
      <c r="Q16">
        <f t="shared" si="7"/>
        <v>5.3971201322365525</v>
      </c>
    </row>
    <row r="17" spans="1:17" x14ac:dyDescent="0.15">
      <c r="A17" t="s">
        <v>152</v>
      </c>
      <c r="B17" t="s">
        <v>162</v>
      </c>
      <c r="D17">
        <v>34</v>
      </c>
      <c r="E17">
        <f t="shared" si="0"/>
        <v>7.6969020012949922</v>
      </c>
      <c r="F17">
        <f t="shared" si="1"/>
        <v>1299.2240252399622</v>
      </c>
      <c r="G17">
        <v>15</v>
      </c>
      <c r="H17">
        <v>95</v>
      </c>
      <c r="I17">
        <v>94</v>
      </c>
      <c r="J17">
        <f t="shared" si="2"/>
        <v>94.5</v>
      </c>
      <c r="K17">
        <v>145</v>
      </c>
      <c r="M17">
        <f t="shared" si="3"/>
        <v>49.265162213374339</v>
      </c>
      <c r="N17">
        <f t="shared" si="4"/>
        <v>356.11135119095059</v>
      </c>
      <c r="O17">
        <f t="shared" si="5"/>
        <v>10.473863270322076</v>
      </c>
      <c r="P17">
        <f t="shared" si="6"/>
        <v>183.50208449604278</v>
      </c>
      <c r="Q17">
        <f t="shared" si="7"/>
        <v>5.3971201322365525</v>
      </c>
    </row>
    <row r="18" spans="1:17" x14ac:dyDescent="0.15">
      <c r="A18" t="s">
        <v>152</v>
      </c>
      <c r="B18" t="s">
        <v>162</v>
      </c>
      <c r="D18">
        <v>34</v>
      </c>
      <c r="E18">
        <f t="shared" si="0"/>
        <v>7.6969020012949922</v>
      </c>
      <c r="F18">
        <f t="shared" si="1"/>
        <v>1299.2240252399622</v>
      </c>
      <c r="G18">
        <v>16</v>
      </c>
      <c r="H18">
        <v>140</v>
      </c>
      <c r="I18">
        <v>138</v>
      </c>
      <c r="J18">
        <f t="shared" si="2"/>
        <v>139</v>
      </c>
      <c r="K18">
        <v>168</v>
      </c>
      <c r="M18">
        <f t="shared" si="3"/>
        <v>118.58254799050866</v>
      </c>
      <c r="N18">
        <f t="shared" si="4"/>
        <v>356.11135119095059</v>
      </c>
      <c r="O18">
        <f t="shared" si="5"/>
        <v>10.473863270322076</v>
      </c>
      <c r="P18">
        <f t="shared" si="6"/>
        <v>183.50208449604278</v>
      </c>
      <c r="Q18">
        <f t="shared" si="7"/>
        <v>5.3971201322365525</v>
      </c>
    </row>
    <row r="19" spans="1:17" x14ac:dyDescent="0.15">
      <c r="A19" t="s">
        <v>152</v>
      </c>
      <c r="B19" t="s">
        <v>162</v>
      </c>
      <c r="D19">
        <v>34</v>
      </c>
      <c r="E19">
        <f t="shared" si="0"/>
        <v>7.6969020012949922</v>
      </c>
      <c r="F19">
        <f t="shared" si="1"/>
        <v>1299.2240252399622</v>
      </c>
      <c r="G19">
        <v>17</v>
      </c>
      <c r="H19">
        <v>177</v>
      </c>
      <c r="I19">
        <v>178</v>
      </c>
      <c r="J19">
        <f t="shared" si="2"/>
        <v>177.5</v>
      </c>
      <c r="K19">
        <v>258</v>
      </c>
      <c r="M19">
        <f t="shared" si="3"/>
        <v>312.2654373890573</v>
      </c>
      <c r="N19">
        <f t="shared" si="4"/>
        <v>356.11135119095059</v>
      </c>
      <c r="O19">
        <f t="shared" si="5"/>
        <v>10.473863270322076</v>
      </c>
      <c r="P19">
        <f t="shared" si="6"/>
        <v>183.50208449604278</v>
      </c>
      <c r="Q19">
        <f t="shared" si="7"/>
        <v>5.3971201322365525</v>
      </c>
    </row>
    <row r="20" spans="1:17" x14ac:dyDescent="0.15">
      <c r="A20" t="s">
        <v>152</v>
      </c>
      <c r="B20" t="s">
        <v>162</v>
      </c>
      <c r="D20">
        <v>34</v>
      </c>
      <c r="E20">
        <f t="shared" si="0"/>
        <v>7.6969020012949922</v>
      </c>
      <c r="F20">
        <f t="shared" si="1"/>
        <v>1299.2240252399622</v>
      </c>
      <c r="G20">
        <v>18</v>
      </c>
      <c r="H20">
        <v>235</v>
      </c>
      <c r="I20">
        <v>232</v>
      </c>
      <c r="J20">
        <f t="shared" si="2"/>
        <v>233.5</v>
      </c>
      <c r="K20">
        <v>279</v>
      </c>
      <c r="M20">
        <f t="shared" si="3"/>
        <v>550.02612825707467</v>
      </c>
      <c r="N20">
        <f t="shared" si="4"/>
        <v>356.11135119095059</v>
      </c>
      <c r="O20">
        <f t="shared" si="5"/>
        <v>10.473863270322076</v>
      </c>
      <c r="P20">
        <f t="shared" si="6"/>
        <v>183.50208449604278</v>
      </c>
      <c r="Q20">
        <f t="shared" si="7"/>
        <v>5.3971201322365525</v>
      </c>
    </row>
    <row r="21" spans="1:17" x14ac:dyDescent="0.15">
      <c r="A21" t="s">
        <v>152</v>
      </c>
      <c r="B21" t="s">
        <v>162</v>
      </c>
      <c r="D21">
        <v>34</v>
      </c>
      <c r="E21">
        <f t="shared" si="0"/>
        <v>7.6969020012949922</v>
      </c>
      <c r="F21">
        <f t="shared" si="1"/>
        <v>1299.2240252399622</v>
      </c>
      <c r="G21">
        <v>19</v>
      </c>
      <c r="H21">
        <v>125</v>
      </c>
      <c r="I21">
        <v>126</v>
      </c>
      <c r="J21">
        <f t="shared" si="2"/>
        <v>125.5</v>
      </c>
      <c r="K21">
        <v>211</v>
      </c>
      <c r="M21">
        <f t="shared" si="3"/>
        <v>130.08110422638325</v>
      </c>
      <c r="N21">
        <f t="shared" si="4"/>
        <v>356.11135119095059</v>
      </c>
      <c r="O21">
        <f t="shared" si="5"/>
        <v>10.473863270322076</v>
      </c>
      <c r="P21">
        <f t="shared" si="6"/>
        <v>183.50208449604278</v>
      </c>
      <c r="Q21">
        <f t="shared" si="7"/>
        <v>5.3971201322365525</v>
      </c>
    </row>
    <row r="22" spans="1:17" x14ac:dyDescent="0.15">
      <c r="A22" t="s">
        <v>152</v>
      </c>
      <c r="B22" t="s">
        <v>162</v>
      </c>
      <c r="D22">
        <v>34</v>
      </c>
      <c r="E22">
        <f t="shared" si="0"/>
        <v>7.6969020012949922</v>
      </c>
      <c r="F22">
        <f t="shared" si="1"/>
        <v>1299.2240252399622</v>
      </c>
      <c r="G22">
        <v>20</v>
      </c>
      <c r="H22">
        <v>90</v>
      </c>
      <c r="I22">
        <v>90</v>
      </c>
      <c r="J22">
        <f t="shared" si="2"/>
        <v>90</v>
      </c>
      <c r="K22">
        <v>128</v>
      </c>
      <c r="M22">
        <f t="shared" si="3"/>
        <v>39.401263814491656</v>
      </c>
      <c r="N22">
        <f t="shared" si="4"/>
        <v>356.11135119095059</v>
      </c>
      <c r="O22">
        <f t="shared" si="5"/>
        <v>10.473863270322076</v>
      </c>
      <c r="P22">
        <f t="shared" si="6"/>
        <v>183.50208449604278</v>
      </c>
      <c r="Q22">
        <f t="shared" si="7"/>
        <v>5.3971201322365525</v>
      </c>
    </row>
    <row r="24" spans="1:17" x14ac:dyDescent="0.15">
      <c r="M24" t="s">
        <v>366</v>
      </c>
    </row>
    <row r="26" spans="1:17" x14ac:dyDescent="0.15">
      <c r="C26" t="s">
        <v>153</v>
      </c>
      <c r="F26" t="s">
        <v>159</v>
      </c>
    </row>
    <row r="27" spans="1:17" x14ac:dyDescent="0.15">
      <c r="C27" t="s">
        <v>154</v>
      </c>
      <c r="D27">
        <v>-0.89359</v>
      </c>
      <c r="F27" t="s">
        <v>160</v>
      </c>
    </row>
    <row r="28" spans="1:17" x14ac:dyDescent="0.15">
      <c r="C28" t="s">
        <v>155</v>
      </c>
      <c r="D28">
        <v>2.2795399999999999</v>
      </c>
    </row>
    <row r="29" spans="1:17" x14ac:dyDescent="0.15">
      <c r="C29" t="s">
        <v>156</v>
      </c>
      <c r="D29">
        <v>-1.18672</v>
      </c>
    </row>
    <row r="30" spans="1:17" x14ac:dyDescent="0.15">
      <c r="C30" t="s">
        <v>157</v>
      </c>
      <c r="D30">
        <v>7.07362</v>
      </c>
    </row>
    <row r="31" spans="1:17" x14ac:dyDescent="0.15">
      <c r="C31" t="s">
        <v>158</v>
      </c>
      <c r="D31">
        <v>-5.4517499999999997</v>
      </c>
    </row>
    <row r="33" spans="1:5" x14ac:dyDescent="0.15">
      <c r="A33" t="s">
        <v>321</v>
      </c>
    </row>
    <row r="34" spans="1:5" x14ac:dyDescent="0.15">
      <c r="A34" t="s">
        <v>320</v>
      </c>
    </row>
    <row r="35" spans="1:5" ht="15" x14ac:dyDescent="0.25">
      <c r="A35" t="s">
        <v>228</v>
      </c>
      <c r="B35" t="s">
        <v>229</v>
      </c>
      <c r="D35" s="84" t="s">
        <v>251</v>
      </c>
    </row>
    <row r="36" spans="1:5" x14ac:dyDescent="0.15">
      <c r="A36">
        <v>558</v>
      </c>
      <c r="B36">
        <v>355.9</v>
      </c>
      <c r="D36">
        <f t="shared" ref="D36:D45" si="8">B36/$A$47</f>
        <v>0.87412501535060783</v>
      </c>
    </row>
    <row r="37" spans="1:5" x14ac:dyDescent="0.15">
      <c r="A37">
        <v>560</v>
      </c>
      <c r="B37">
        <v>365.9</v>
      </c>
      <c r="D37">
        <f t="shared" si="8"/>
        <v>0.89868598796512345</v>
      </c>
    </row>
    <row r="38" spans="1:5" x14ac:dyDescent="0.15">
      <c r="A38">
        <v>1540</v>
      </c>
      <c r="B38">
        <v>355.2</v>
      </c>
      <c r="D38">
        <f t="shared" si="8"/>
        <v>0.87240574726759179</v>
      </c>
    </row>
    <row r="39" spans="1:5" x14ac:dyDescent="0.15">
      <c r="A39">
        <v>1536</v>
      </c>
      <c r="B39">
        <v>353.6</v>
      </c>
      <c r="D39">
        <f t="shared" si="8"/>
        <v>0.86847599164926936</v>
      </c>
    </row>
    <row r="40" spans="1:5" x14ac:dyDescent="0.15">
      <c r="A40">
        <v>546</v>
      </c>
      <c r="B40">
        <v>381.4</v>
      </c>
      <c r="D40">
        <f t="shared" si="8"/>
        <v>0.93675549551762249</v>
      </c>
    </row>
    <row r="41" spans="1:5" x14ac:dyDescent="0.15">
      <c r="A41">
        <v>555</v>
      </c>
      <c r="B41">
        <v>379.6</v>
      </c>
      <c r="D41">
        <f t="shared" si="8"/>
        <v>0.93233452044700982</v>
      </c>
    </row>
    <row r="42" spans="1:5" x14ac:dyDescent="0.15">
      <c r="A42">
        <v>556</v>
      </c>
      <c r="B42">
        <v>339.2</v>
      </c>
      <c r="D42">
        <f t="shared" si="8"/>
        <v>0.83310819108436696</v>
      </c>
    </row>
    <row r="43" spans="1:5" x14ac:dyDescent="0.15">
      <c r="A43">
        <v>543</v>
      </c>
      <c r="B43">
        <v>375.2</v>
      </c>
      <c r="D43">
        <f t="shared" si="8"/>
        <v>0.92152769249662292</v>
      </c>
    </row>
    <row r="44" spans="1:5" x14ac:dyDescent="0.15">
      <c r="A44">
        <v>554</v>
      </c>
      <c r="B44">
        <v>346.2</v>
      </c>
      <c r="D44">
        <f t="shared" si="8"/>
        <v>0.85030087191452786</v>
      </c>
    </row>
    <row r="45" spans="1:5" x14ac:dyDescent="0.15">
      <c r="A45">
        <v>550</v>
      </c>
      <c r="B45">
        <v>363.2</v>
      </c>
      <c r="D45">
        <f t="shared" si="8"/>
        <v>0.89205452535920426</v>
      </c>
    </row>
    <row r="46" spans="1:5" x14ac:dyDescent="0.15">
      <c r="A46" t="s">
        <v>341</v>
      </c>
    </row>
    <row r="47" spans="1:5" ht="15" x14ac:dyDescent="0.25">
      <c r="A47">
        <v>407.15</v>
      </c>
      <c r="D47" s="84">
        <f>AVERAGE(D36:D45)</f>
        <v>0.88797740390519464</v>
      </c>
      <c r="E47" s="84" t="s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P3" sqref="P3"/>
    </sheetView>
  </sheetViews>
  <sheetFormatPr defaultRowHeight="10.5" x14ac:dyDescent="0.15"/>
  <cols>
    <col min="1" max="1" width="16.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x14ac:dyDescent="0.15">
      <c r="A1" s="76" t="s">
        <v>322</v>
      </c>
    </row>
    <row r="2" spans="1:17" x14ac:dyDescent="0.15">
      <c r="A2" t="s">
        <v>124</v>
      </c>
      <c r="B2" t="s">
        <v>126</v>
      </c>
      <c r="C2" t="s">
        <v>82</v>
      </c>
      <c r="D2" t="s">
        <v>84</v>
      </c>
      <c r="E2" t="s">
        <v>134</v>
      </c>
      <c r="F2" t="s">
        <v>135</v>
      </c>
      <c r="G2" t="s">
        <v>127</v>
      </c>
      <c r="H2" t="s">
        <v>128</v>
      </c>
      <c r="I2" t="s">
        <v>129</v>
      </c>
      <c r="J2" t="s">
        <v>89</v>
      </c>
      <c r="K2" t="s">
        <v>88</v>
      </c>
      <c r="L2" t="s">
        <v>92</v>
      </c>
      <c r="M2" t="s">
        <v>144</v>
      </c>
      <c r="N2" t="s">
        <v>143</v>
      </c>
      <c r="O2" t="s">
        <v>145</v>
      </c>
      <c r="P2" t="s">
        <v>146</v>
      </c>
      <c r="Q2" t="s">
        <v>147</v>
      </c>
    </row>
    <row r="3" spans="1:17" x14ac:dyDescent="0.15">
      <c r="A3" t="s">
        <v>161</v>
      </c>
      <c r="B3" t="s">
        <v>162</v>
      </c>
      <c r="D3">
        <v>34</v>
      </c>
      <c r="E3">
        <f>7^2*PI()/21</f>
        <v>7.3303828583761836</v>
      </c>
      <c r="F3">
        <f>10000/E3</f>
        <v>1364.1852265019602</v>
      </c>
      <c r="G3">
        <v>1</v>
      </c>
      <c r="H3">
        <v>213</v>
      </c>
      <c r="I3">
        <v>215</v>
      </c>
      <c r="J3">
        <f>AVERAGE(H3:I3)</f>
        <v>214</v>
      </c>
      <c r="K3">
        <v>261</v>
      </c>
      <c r="M3">
        <f>10^(-0.89359)*(J3/10)^2.27954*((J3/10)+20)^(-1.18672)*(K3/10)^7.07362*((K3/10)-1.3)^(-5.45175)</f>
        <v>435.30077729811615</v>
      </c>
      <c r="N3">
        <f>AVERAGE(M$3:M$23)/1000*F3</f>
        <v>423.9506300872734</v>
      </c>
      <c r="O3">
        <f>N3/D3</f>
        <v>12.469136179037452</v>
      </c>
      <c r="P3">
        <f>N3/0.85*0.438</f>
        <v>218.45926585673618</v>
      </c>
      <c r="Q3">
        <f>P3/D3</f>
        <v>6.4252725251981229</v>
      </c>
    </row>
    <row r="4" spans="1:17" x14ac:dyDescent="0.15">
      <c r="A4" t="s">
        <v>161</v>
      </c>
      <c r="B4" t="s">
        <v>162</v>
      </c>
      <c r="D4">
        <v>34</v>
      </c>
      <c r="E4">
        <f t="shared" ref="E4:E23" si="0">7^2*PI()/21</f>
        <v>7.3303828583761836</v>
      </c>
      <c r="F4">
        <f t="shared" ref="F4:F23" si="1">10000/E4</f>
        <v>1364.1852265019602</v>
      </c>
      <c r="G4">
        <v>2</v>
      </c>
      <c r="H4">
        <v>175</v>
      </c>
      <c r="I4">
        <v>173</v>
      </c>
      <c r="J4">
        <f t="shared" ref="J4:J23" si="2">AVERAGE(H4:I4)</f>
        <v>174</v>
      </c>
      <c r="K4">
        <v>230</v>
      </c>
      <c r="M4">
        <f t="shared" ref="M4:M23" si="3">10^(-0.89359)*(J4/10)^2.27954*((J4/10)+20)^(-1.18672)*(K4/10)^7.07362*((K4/10)-1.3)^(-5.45175)</f>
        <v>259.4384536221371</v>
      </c>
      <c r="N4">
        <f t="shared" ref="N4:N23" si="4">AVERAGE(M$3:M$23)/1000*F4</f>
        <v>423.9506300872734</v>
      </c>
      <c r="O4">
        <f t="shared" ref="O4:O23" si="5">N4/D4</f>
        <v>12.469136179037452</v>
      </c>
      <c r="P4">
        <f t="shared" ref="P4:P23" si="6">N4/0.85*0.438</f>
        <v>218.45926585673618</v>
      </c>
      <c r="Q4">
        <f t="shared" ref="Q4:Q23" si="7">P4/D4</f>
        <v>6.4252725251981229</v>
      </c>
    </row>
    <row r="5" spans="1:17" x14ac:dyDescent="0.15">
      <c r="A5" t="s">
        <v>161</v>
      </c>
      <c r="B5" t="s">
        <v>162</v>
      </c>
      <c r="D5">
        <v>34</v>
      </c>
      <c r="E5">
        <f t="shared" si="0"/>
        <v>7.3303828583761836</v>
      </c>
      <c r="F5">
        <f t="shared" si="1"/>
        <v>1364.1852265019602</v>
      </c>
      <c r="G5">
        <v>3</v>
      </c>
      <c r="H5">
        <v>122</v>
      </c>
      <c r="I5">
        <v>123</v>
      </c>
      <c r="J5">
        <f t="shared" si="2"/>
        <v>122.5</v>
      </c>
      <c r="K5">
        <v>190</v>
      </c>
      <c r="M5">
        <f t="shared" si="3"/>
        <v>109.25369739829284</v>
      </c>
      <c r="N5">
        <f t="shared" si="4"/>
        <v>423.9506300872734</v>
      </c>
      <c r="O5">
        <f t="shared" si="5"/>
        <v>12.469136179037452</v>
      </c>
      <c r="P5">
        <f t="shared" si="6"/>
        <v>218.45926585673618</v>
      </c>
      <c r="Q5">
        <f t="shared" si="7"/>
        <v>6.4252725251981229</v>
      </c>
    </row>
    <row r="6" spans="1:17" x14ac:dyDescent="0.15">
      <c r="A6" t="s">
        <v>161</v>
      </c>
      <c r="B6" t="s">
        <v>162</v>
      </c>
      <c r="D6">
        <v>34</v>
      </c>
      <c r="E6">
        <f t="shared" si="0"/>
        <v>7.3303828583761836</v>
      </c>
      <c r="F6">
        <f t="shared" si="1"/>
        <v>1364.1852265019602</v>
      </c>
      <c r="G6">
        <v>4</v>
      </c>
      <c r="H6">
        <v>178</v>
      </c>
      <c r="I6">
        <v>172</v>
      </c>
      <c r="J6">
        <f t="shared" si="2"/>
        <v>175</v>
      </c>
      <c r="K6">
        <v>285</v>
      </c>
      <c r="M6">
        <f t="shared" si="3"/>
        <v>348.44901689419225</v>
      </c>
      <c r="N6">
        <f t="shared" si="4"/>
        <v>423.9506300872734</v>
      </c>
      <c r="O6">
        <f t="shared" si="5"/>
        <v>12.469136179037452</v>
      </c>
      <c r="P6">
        <f t="shared" si="6"/>
        <v>218.45926585673618</v>
      </c>
      <c r="Q6">
        <f t="shared" si="7"/>
        <v>6.4252725251981229</v>
      </c>
    </row>
    <row r="7" spans="1:17" x14ac:dyDescent="0.15">
      <c r="A7" t="s">
        <v>161</v>
      </c>
      <c r="B7" t="s">
        <v>162</v>
      </c>
      <c r="D7">
        <v>34</v>
      </c>
      <c r="E7">
        <f t="shared" si="0"/>
        <v>7.3303828583761836</v>
      </c>
      <c r="F7">
        <f t="shared" si="1"/>
        <v>1364.1852265019602</v>
      </c>
      <c r="G7">
        <v>5</v>
      </c>
      <c r="H7">
        <v>246</v>
      </c>
      <c r="I7">
        <v>239</v>
      </c>
      <c r="J7">
        <f t="shared" si="2"/>
        <v>242.5</v>
      </c>
      <c r="K7">
        <v>272</v>
      </c>
      <c r="M7">
        <f t="shared" si="3"/>
        <v>565.34806085097489</v>
      </c>
      <c r="N7">
        <f t="shared" si="4"/>
        <v>423.9506300872734</v>
      </c>
      <c r="O7">
        <f t="shared" si="5"/>
        <v>12.469136179037452</v>
      </c>
      <c r="P7">
        <f t="shared" si="6"/>
        <v>218.45926585673618</v>
      </c>
      <c r="Q7">
        <f t="shared" si="7"/>
        <v>6.4252725251981229</v>
      </c>
    </row>
    <row r="8" spans="1:17" x14ac:dyDescent="0.15">
      <c r="A8" t="s">
        <v>161</v>
      </c>
      <c r="B8" t="s">
        <v>162</v>
      </c>
      <c r="D8">
        <v>34</v>
      </c>
      <c r="E8">
        <f t="shared" si="0"/>
        <v>7.3303828583761836</v>
      </c>
      <c r="F8">
        <f t="shared" si="1"/>
        <v>1364.1852265019602</v>
      </c>
      <c r="G8">
        <v>6</v>
      </c>
      <c r="H8">
        <v>265</v>
      </c>
      <c r="I8">
        <v>265</v>
      </c>
      <c r="J8">
        <f t="shared" si="2"/>
        <v>265</v>
      </c>
      <c r="K8">
        <v>261</v>
      </c>
      <c r="M8">
        <f t="shared" si="3"/>
        <v>617.34908073486929</v>
      </c>
      <c r="N8">
        <f t="shared" si="4"/>
        <v>423.9506300872734</v>
      </c>
      <c r="O8">
        <f t="shared" si="5"/>
        <v>12.469136179037452</v>
      </c>
      <c r="P8">
        <f t="shared" si="6"/>
        <v>218.45926585673618</v>
      </c>
      <c r="Q8">
        <f t="shared" si="7"/>
        <v>6.4252725251981229</v>
      </c>
    </row>
    <row r="9" spans="1:17" x14ac:dyDescent="0.15">
      <c r="A9" t="s">
        <v>161</v>
      </c>
      <c r="B9" t="s">
        <v>162</v>
      </c>
      <c r="D9">
        <v>34</v>
      </c>
      <c r="E9">
        <f t="shared" si="0"/>
        <v>7.3303828583761836</v>
      </c>
      <c r="F9">
        <f t="shared" si="1"/>
        <v>1364.1852265019602</v>
      </c>
      <c r="G9">
        <v>7</v>
      </c>
      <c r="H9">
        <v>93</v>
      </c>
      <c r="I9">
        <v>90</v>
      </c>
      <c r="J9">
        <f t="shared" si="2"/>
        <v>91.5</v>
      </c>
      <c r="K9">
        <v>136</v>
      </c>
      <c r="M9">
        <f t="shared" si="3"/>
        <v>43.27382372491612</v>
      </c>
      <c r="N9">
        <f t="shared" si="4"/>
        <v>423.9506300872734</v>
      </c>
      <c r="O9">
        <f t="shared" si="5"/>
        <v>12.469136179037452</v>
      </c>
      <c r="P9">
        <f t="shared" si="6"/>
        <v>218.45926585673618</v>
      </c>
      <c r="Q9">
        <f t="shared" si="7"/>
        <v>6.4252725251981229</v>
      </c>
    </row>
    <row r="10" spans="1:17" x14ac:dyDescent="0.15">
      <c r="A10" t="s">
        <v>161</v>
      </c>
      <c r="B10" t="s">
        <v>162</v>
      </c>
      <c r="D10">
        <v>34</v>
      </c>
      <c r="E10">
        <f t="shared" si="0"/>
        <v>7.3303828583761836</v>
      </c>
      <c r="F10">
        <f t="shared" si="1"/>
        <v>1364.1852265019602</v>
      </c>
      <c r="G10">
        <v>8</v>
      </c>
      <c r="H10">
        <v>154</v>
      </c>
      <c r="I10">
        <v>151</v>
      </c>
      <c r="J10">
        <f t="shared" si="2"/>
        <v>152.5</v>
      </c>
      <c r="K10">
        <v>247</v>
      </c>
      <c r="M10">
        <f t="shared" si="3"/>
        <v>226.18444722430092</v>
      </c>
      <c r="N10">
        <f t="shared" si="4"/>
        <v>423.9506300872734</v>
      </c>
      <c r="O10">
        <f t="shared" si="5"/>
        <v>12.469136179037452</v>
      </c>
      <c r="P10">
        <f t="shared" si="6"/>
        <v>218.45926585673618</v>
      </c>
      <c r="Q10">
        <f t="shared" si="7"/>
        <v>6.4252725251981229</v>
      </c>
    </row>
    <row r="11" spans="1:17" x14ac:dyDescent="0.15">
      <c r="A11" t="s">
        <v>161</v>
      </c>
      <c r="B11" t="s">
        <v>162</v>
      </c>
      <c r="D11">
        <v>34</v>
      </c>
      <c r="E11">
        <f t="shared" si="0"/>
        <v>7.3303828583761836</v>
      </c>
      <c r="F11">
        <f t="shared" si="1"/>
        <v>1364.1852265019602</v>
      </c>
      <c r="G11">
        <v>9</v>
      </c>
      <c r="H11">
        <v>206</v>
      </c>
      <c r="I11">
        <v>212</v>
      </c>
      <c r="J11">
        <f t="shared" si="2"/>
        <v>209</v>
      </c>
      <c r="K11">
        <v>243</v>
      </c>
      <c r="M11">
        <f t="shared" si="3"/>
        <v>380.64883066955338</v>
      </c>
      <c r="N11">
        <f t="shared" si="4"/>
        <v>423.9506300872734</v>
      </c>
      <c r="O11">
        <f t="shared" si="5"/>
        <v>12.469136179037452</v>
      </c>
      <c r="P11">
        <f t="shared" si="6"/>
        <v>218.45926585673618</v>
      </c>
      <c r="Q11">
        <f t="shared" si="7"/>
        <v>6.4252725251981229</v>
      </c>
    </row>
    <row r="12" spans="1:17" x14ac:dyDescent="0.15">
      <c r="A12" t="s">
        <v>161</v>
      </c>
      <c r="B12" t="s">
        <v>162</v>
      </c>
      <c r="D12">
        <v>34</v>
      </c>
      <c r="E12">
        <f t="shared" si="0"/>
        <v>7.3303828583761836</v>
      </c>
      <c r="F12">
        <f t="shared" si="1"/>
        <v>1364.1852265019602</v>
      </c>
      <c r="G12">
        <v>10</v>
      </c>
      <c r="H12">
        <v>168</v>
      </c>
      <c r="I12">
        <v>168</v>
      </c>
      <c r="J12">
        <f t="shared" si="2"/>
        <v>168</v>
      </c>
      <c r="K12">
        <v>190</v>
      </c>
      <c r="M12">
        <f t="shared" si="3"/>
        <v>191.91432310985294</v>
      </c>
      <c r="N12">
        <f t="shared" si="4"/>
        <v>423.9506300872734</v>
      </c>
      <c r="O12">
        <f t="shared" si="5"/>
        <v>12.469136179037452</v>
      </c>
      <c r="P12">
        <f t="shared" si="6"/>
        <v>218.45926585673618</v>
      </c>
      <c r="Q12">
        <f t="shared" si="7"/>
        <v>6.4252725251981229</v>
      </c>
    </row>
    <row r="13" spans="1:17" x14ac:dyDescent="0.15">
      <c r="A13" t="s">
        <v>161</v>
      </c>
      <c r="B13" t="s">
        <v>162</v>
      </c>
      <c r="D13">
        <v>34</v>
      </c>
      <c r="E13">
        <f t="shared" si="0"/>
        <v>7.3303828583761836</v>
      </c>
      <c r="F13">
        <f t="shared" si="1"/>
        <v>1364.1852265019602</v>
      </c>
      <c r="G13">
        <v>11</v>
      </c>
      <c r="H13">
        <v>225</v>
      </c>
      <c r="I13">
        <v>238</v>
      </c>
      <c r="J13">
        <f t="shared" si="2"/>
        <v>231.5</v>
      </c>
      <c r="K13">
        <v>242</v>
      </c>
      <c r="M13">
        <f t="shared" si="3"/>
        <v>448.53374173666242</v>
      </c>
      <c r="N13">
        <f t="shared" si="4"/>
        <v>423.9506300872734</v>
      </c>
      <c r="O13">
        <f t="shared" si="5"/>
        <v>12.469136179037452</v>
      </c>
      <c r="P13">
        <f t="shared" si="6"/>
        <v>218.45926585673618</v>
      </c>
      <c r="Q13">
        <f t="shared" si="7"/>
        <v>6.4252725251981229</v>
      </c>
    </row>
    <row r="14" spans="1:17" x14ac:dyDescent="0.15">
      <c r="A14" t="s">
        <v>161</v>
      </c>
      <c r="B14" t="s">
        <v>162</v>
      </c>
      <c r="D14">
        <v>34</v>
      </c>
      <c r="E14">
        <f t="shared" si="0"/>
        <v>7.3303828583761836</v>
      </c>
      <c r="F14">
        <f t="shared" si="1"/>
        <v>1364.1852265019602</v>
      </c>
      <c r="G14">
        <v>12</v>
      </c>
      <c r="H14">
        <v>167</v>
      </c>
      <c r="I14">
        <v>169</v>
      </c>
      <c r="J14">
        <f t="shared" si="2"/>
        <v>168</v>
      </c>
      <c r="K14">
        <v>242</v>
      </c>
      <c r="M14">
        <f t="shared" si="3"/>
        <v>260.87325373436522</v>
      </c>
      <c r="N14">
        <f t="shared" si="4"/>
        <v>423.9506300872734</v>
      </c>
      <c r="O14">
        <f t="shared" si="5"/>
        <v>12.469136179037452</v>
      </c>
      <c r="P14">
        <f t="shared" si="6"/>
        <v>218.45926585673618</v>
      </c>
      <c r="Q14">
        <f t="shared" si="7"/>
        <v>6.4252725251981229</v>
      </c>
    </row>
    <row r="15" spans="1:17" x14ac:dyDescent="0.15">
      <c r="A15" t="s">
        <v>161</v>
      </c>
      <c r="B15" t="s">
        <v>162</v>
      </c>
      <c r="D15">
        <v>34</v>
      </c>
      <c r="E15">
        <f t="shared" si="0"/>
        <v>7.3303828583761836</v>
      </c>
      <c r="F15">
        <f t="shared" si="1"/>
        <v>1364.1852265019602</v>
      </c>
      <c r="G15">
        <v>13</v>
      </c>
      <c r="H15">
        <v>88</v>
      </c>
      <c r="I15">
        <v>88</v>
      </c>
      <c r="J15">
        <f t="shared" si="2"/>
        <v>88</v>
      </c>
      <c r="K15">
        <v>141</v>
      </c>
      <c r="M15">
        <f t="shared" si="3"/>
        <v>41.726612145169504</v>
      </c>
      <c r="N15">
        <f t="shared" si="4"/>
        <v>423.9506300872734</v>
      </c>
      <c r="O15">
        <f t="shared" si="5"/>
        <v>12.469136179037452</v>
      </c>
      <c r="P15">
        <f t="shared" si="6"/>
        <v>218.45926585673618</v>
      </c>
      <c r="Q15">
        <f t="shared" si="7"/>
        <v>6.4252725251981229</v>
      </c>
    </row>
    <row r="16" spans="1:17" x14ac:dyDescent="0.15">
      <c r="A16" t="s">
        <v>161</v>
      </c>
      <c r="B16" t="s">
        <v>162</v>
      </c>
      <c r="D16">
        <v>34</v>
      </c>
      <c r="E16">
        <f t="shared" si="0"/>
        <v>7.3303828583761836</v>
      </c>
      <c r="F16">
        <f t="shared" si="1"/>
        <v>1364.1852265019602</v>
      </c>
      <c r="G16">
        <v>14</v>
      </c>
      <c r="H16">
        <v>175</v>
      </c>
      <c r="I16">
        <v>177</v>
      </c>
      <c r="J16">
        <f t="shared" si="2"/>
        <v>176</v>
      </c>
      <c r="K16">
        <v>232</v>
      </c>
      <c r="M16">
        <f t="shared" si="3"/>
        <v>267.59373666573106</v>
      </c>
      <c r="N16">
        <f t="shared" si="4"/>
        <v>423.9506300872734</v>
      </c>
      <c r="O16">
        <f t="shared" si="5"/>
        <v>12.469136179037452</v>
      </c>
      <c r="P16">
        <f t="shared" si="6"/>
        <v>218.45926585673618</v>
      </c>
      <c r="Q16">
        <f t="shared" si="7"/>
        <v>6.4252725251981229</v>
      </c>
    </row>
    <row r="17" spans="1:17" x14ac:dyDescent="0.15">
      <c r="A17" t="s">
        <v>161</v>
      </c>
      <c r="B17" t="s">
        <v>162</v>
      </c>
      <c r="D17">
        <v>34</v>
      </c>
      <c r="E17">
        <f t="shared" si="0"/>
        <v>7.3303828583761836</v>
      </c>
      <c r="F17">
        <f t="shared" si="1"/>
        <v>1364.1852265019602</v>
      </c>
      <c r="G17">
        <v>15</v>
      </c>
      <c r="H17">
        <v>186</v>
      </c>
      <c r="I17">
        <v>186</v>
      </c>
      <c r="J17">
        <f t="shared" si="2"/>
        <v>186</v>
      </c>
      <c r="K17">
        <v>259</v>
      </c>
      <c r="M17">
        <f t="shared" si="3"/>
        <v>340.09140609549604</v>
      </c>
      <c r="N17">
        <f t="shared" si="4"/>
        <v>423.9506300872734</v>
      </c>
      <c r="O17">
        <f t="shared" si="5"/>
        <v>12.469136179037452</v>
      </c>
      <c r="P17">
        <f t="shared" si="6"/>
        <v>218.45926585673618</v>
      </c>
      <c r="Q17">
        <f t="shared" si="7"/>
        <v>6.4252725251981229</v>
      </c>
    </row>
    <row r="18" spans="1:17" x14ac:dyDescent="0.15">
      <c r="A18" t="s">
        <v>161</v>
      </c>
      <c r="B18" t="s">
        <v>162</v>
      </c>
      <c r="D18">
        <v>34</v>
      </c>
      <c r="E18">
        <f t="shared" si="0"/>
        <v>7.3303828583761836</v>
      </c>
      <c r="F18">
        <f t="shared" si="1"/>
        <v>1364.1852265019602</v>
      </c>
      <c r="G18">
        <v>16</v>
      </c>
      <c r="H18">
        <v>217</v>
      </c>
      <c r="I18">
        <v>207</v>
      </c>
      <c r="J18">
        <f t="shared" si="2"/>
        <v>212</v>
      </c>
      <c r="K18">
        <v>251</v>
      </c>
      <c r="M18">
        <f t="shared" si="3"/>
        <v>406.83792285631409</v>
      </c>
      <c r="N18">
        <f t="shared" si="4"/>
        <v>423.9506300872734</v>
      </c>
      <c r="O18">
        <f t="shared" si="5"/>
        <v>12.469136179037452</v>
      </c>
      <c r="P18">
        <f t="shared" si="6"/>
        <v>218.45926585673618</v>
      </c>
      <c r="Q18">
        <f t="shared" si="7"/>
        <v>6.4252725251981229</v>
      </c>
    </row>
    <row r="19" spans="1:17" x14ac:dyDescent="0.15">
      <c r="A19" t="s">
        <v>161</v>
      </c>
      <c r="B19" t="s">
        <v>162</v>
      </c>
      <c r="D19">
        <v>34</v>
      </c>
      <c r="E19">
        <f t="shared" si="0"/>
        <v>7.3303828583761836</v>
      </c>
      <c r="F19">
        <f t="shared" si="1"/>
        <v>1364.1852265019602</v>
      </c>
      <c r="G19">
        <v>17</v>
      </c>
      <c r="H19">
        <v>150</v>
      </c>
      <c r="I19">
        <v>150</v>
      </c>
      <c r="J19">
        <f t="shared" si="2"/>
        <v>150</v>
      </c>
      <c r="K19">
        <v>229</v>
      </c>
      <c r="M19">
        <f t="shared" si="3"/>
        <v>198.99028124284109</v>
      </c>
      <c r="N19">
        <f t="shared" si="4"/>
        <v>423.9506300872734</v>
      </c>
      <c r="O19">
        <f t="shared" si="5"/>
        <v>12.469136179037452</v>
      </c>
      <c r="P19">
        <f t="shared" si="6"/>
        <v>218.45926585673618</v>
      </c>
      <c r="Q19">
        <f t="shared" si="7"/>
        <v>6.4252725251981229</v>
      </c>
    </row>
    <row r="20" spans="1:17" x14ac:dyDescent="0.15">
      <c r="A20" t="s">
        <v>161</v>
      </c>
      <c r="B20" t="s">
        <v>162</v>
      </c>
      <c r="D20">
        <v>34</v>
      </c>
      <c r="E20">
        <f t="shared" si="0"/>
        <v>7.3303828583761836</v>
      </c>
      <c r="F20">
        <f t="shared" si="1"/>
        <v>1364.1852265019602</v>
      </c>
      <c r="G20">
        <v>18</v>
      </c>
      <c r="H20">
        <v>167</v>
      </c>
      <c r="I20">
        <v>167</v>
      </c>
      <c r="J20">
        <f t="shared" si="2"/>
        <v>167</v>
      </c>
      <c r="K20">
        <v>269</v>
      </c>
      <c r="M20">
        <f t="shared" si="3"/>
        <v>297.14791333374916</v>
      </c>
      <c r="N20">
        <f t="shared" si="4"/>
        <v>423.9506300872734</v>
      </c>
      <c r="O20">
        <f t="shared" si="5"/>
        <v>12.469136179037452</v>
      </c>
      <c r="P20">
        <f t="shared" si="6"/>
        <v>218.45926585673618</v>
      </c>
      <c r="Q20">
        <f t="shared" si="7"/>
        <v>6.4252725251981229</v>
      </c>
    </row>
    <row r="21" spans="1:17" x14ac:dyDescent="0.15">
      <c r="A21" t="s">
        <v>161</v>
      </c>
      <c r="B21" t="s">
        <v>162</v>
      </c>
      <c r="D21">
        <v>34</v>
      </c>
      <c r="E21">
        <f t="shared" si="0"/>
        <v>7.3303828583761836</v>
      </c>
      <c r="F21">
        <f t="shared" si="1"/>
        <v>1364.1852265019602</v>
      </c>
      <c r="G21">
        <v>19</v>
      </c>
      <c r="H21">
        <v>145</v>
      </c>
      <c r="I21">
        <v>147</v>
      </c>
      <c r="J21">
        <f t="shared" si="2"/>
        <v>146</v>
      </c>
      <c r="K21">
        <v>254</v>
      </c>
      <c r="M21">
        <f t="shared" si="3"/>
        <v>217.26760828909863</v>
      </c>
      <c r="N21">
        <f t="shared" si="4"/>
        <v>423.9506300872734</v>
      </c>
      <c r="O21">
        <f t="shared" si="5"/>
        <v>12.469136179037452</v>
      </c>
      <c r="P21">
        <f t="shared" si="6"/>
        <v>218.45926585673618</v>
      </c>
      <c r="Q21">
        <f t="shared" si="7"/>
        <v>6.4252725251981229</v>
      </c>
    </row>
    <row r="22" spans="1:17" x14ac:dyDescent="0.15">
      <c r="A22" t="s">
        <v>161</v>
      </c>
      <c r="B22" t="s">
        <v>162</v>
      </c>
      <c r="D22">
        <v>34</v>
      </c>
      <c r="E22">
        <f t="shared" si="0"/>
        <v>7.3303828583761836</v>
      </c>
      <c r="F22">
        <f t="shared" si="1"/>
        <v>1364.1852265019602</v>
      </c>
      <c r="G22">
        <v>20</v>
      </c>
      <c r="H22">
        <v>211</v>
      </c>
      <c r="I22">
        <v>214</v>
      </c>
      <c r="J22">
        <f t="shared" si="2"/>
        <v>212.5</v>
      </c>
      <c r="K22">
        <v>279</v>
      </c>
      <c r="M22">
        <f t="shared" si="3"/>
        <v>470.62848963296022</v>
      </c>
      <c r="N22">
        <f t="shared" si="4"/>
        <v>423.9506300872734</v>
      </c>
      <c r="O22">
        <f t="shared" si="5"/>
        <v>12.469136179037452</v>
      </c>
      <c r="P22">
        <f t="shared" si="6"/>
        <v>218.45926585673618</v>
      </c>
      <c r="Q22">
        <f t="shared" si="7"/>
        <v>6.4252725251981229</v>
      </c>
    </row>
    <row r="23" spans="1:17" x14ac:dyDescent="0.15">
      <c r="A23" t="s">
        <v>161</v>
      </c>
      <c r="B23" t="s">
        <v>162</v>
      </c>
      <c r="D23">
        <v>34</v>
      </c>
      <c r="E23">
        <f t="shared" si="0"/>
        <v>7.3303828583761836</v>
      </c>
      <c r="F23">
        <f t="shared" si="1"/>
        <v>1364.1852265019602</v>
      </c>
      <c r="G23">
        <v>21</v>
      </c>
      <c r="H23">
        <v>215</v>
      </c>
      <c r="I23">
        <v>203</v>
      </c>
      <c r="J23">
        <f t="shared" si="2"/>
        <v>209</v>
      </c>
      <c r="K23">
        <v>252</v>
      </c>
      <c r="M23">
        <f t="shared" si="3"/>
        <v>399.36142907842327</v>
      </c>
      <c r="N23">
        <f t="shared" si="4"/>
        <v>423.9506300872734</v>
      </c>
      <c r="O23">
        <f t="shared" si="5"/>
        <v>12.469136179037452</v>
      </c>
      <c r="P23">
        <f t="shared" si="6"/>
        <v>218.45926585673618</v>
      </c>
      <c r="Q23">
        <f t="shared" si="7"/>
        <v>6.4252725251981229</v>
      </c>
    </row>
    <row r="27" spans="1:17" x14ac:dyDescent="0.15">
      <c r="B27" t="s">
        <v>153</v>
      </c>
      <c r="E27" t="s">
        <v>159</v>
      </c>
    </row>
    <row r="28" spans="1:17" x14ac:dyDescent="0.15">
      <c r="B28" t="s">
        <v>154</v>
      </c>
      <c r="C28">
        <v>-0.89359</v>
      </c>
      <c r="E28" t="s">
        <v>160</v>
      </c>
    </row>
    <row r="29" spans="1:17" x14ac:dyDescent="0.15">
      <c r="B29" t="s">
        <v>155</v>
      </c>
      <c r="C29">
        <v>2.2795399999999999</v>
      </c>
    </row>
    <row r="30" spans="1:17" x14ac:dyDescent="0.15">
      <c r="B30" t="s">
        <v>156</v>
      </c>
      <c r="C30">
        <v>-1.18672</v>
      </c>
    </row>
    <row r="31" spans="1:17" x14ac:dyDescent="0.15">
      <c r="B31" t="s">
        <v>157</v>
      </c>
      <c r="C31">
        <v>7.07362</v>
      </c>
    </row>
    <row r="32" spans="1:17" x14ac:dyDescent="0.15">
      <c r="B32" t="s">
        <v>158</v>
      </c>
      <c r="C32">
        <v>-5.4517499999999997</v>
      </c>
    </row>
    <row r="35" spans="1:4" x14ac:dyDescent="0.15">
      <c r="A35" t="s">
        <v>319</v>
      </c>
    </row>
    <row r="36" spans="1:4" x14ac:dyDescent="0.15">
      <c r="A36" t="s">
        <v>320</v>
      </c>
    </row>
    <row r="37" spans="1:4" ht="15" x14ac:dyDescent="0.25">
      <c r="A37" t="s">
        <v>228</v>
      </c>
      <c r="B37" t="s">
        <v>229</v>
      </c>
      <c r="D37" s="84" t="s">
        <v>251</v>
      </c>
    </row>
    <row r="38" spans="1:4" x14ac:dyDescent="0.15">
      <c r="A38">
        <v>545</v>
      </c>
      <c r="B38">
        <v>408.8</v>
      </c>
      <c r="D38">
        <f t="shared" ref="D38:D47" si="8">B38/$A$50</f>
        <v>1.0040525604813952</v>
      </c>
    </row>
    <row r="39" spans="1:4" x14ac:dyDescent="0.15">
      <c r="A39">
        <v>559</v>
      </c>
      <c r="B39">
        <v>390.3</v>
      </c>
      <c r="D39">
        <f t="shared" si="8"/>
        <v>0.95861476114454136</v>
      </c>
    </row>
    <row r="40" spans="1:4" x14ac:dyDescent="0.15">
      <c r="A40">
        <v>544</v>
      </c>
      <c r="B40">
        <v>397</v>
      </c>
      <c r="D40">
        <f t="shared" si="8"/>
        <v>0.97507061279626683</v>
      </c>
    </row>
    <row r="41" spans="1:4" x14ac:dyDescent="0.15">
      <c r="A41">
        <v>548</v>
      </c>
      <c r="B41">
        <v>408.9</v>
      </c>
      <c r="D41">
        <f t="shared" si="8"/>
        <v>1.0042981702075402</v>
      </c>
    </row>
    <row r="42" spans="1:4" x14ac:dyDescent="0.15">
      <c r="A42">
        <v>557</v>
      </c>
      <c r="B42">
        <v>374.5</v>
      </c>
      <c r="D42">
        <f t="shared" si="8"/>
        <v>0.91980842441360688</v>
      </c>
    </row>
    <row r="43" spans="1:4" x14ac:dyDescent="0.15">
      <c r="A43">
        <v>551</v>
      </c>
      <c r="B43">
        <v>413.7</v>
      </c>
      <c r="D43">
        <f t="shared" si="8"/>
        <v>1.0160874370625077</v>
      </c>
    </row>
    <row r="44" spans="1:4" x14ac:dyDescent="0.15">
      <c r="A44">
        <v>552</v>
      </c>
      <c r="B44">
        <v>419.8</v>
      </c>
      <c r="D44">
        <f t="shared" si="8"/>
        <v>1.0310696303573623</v>
      </c>
    </row>
    <row r="45" spans="1:4" x14ac:dyDescent="0.15">
      <c r="A45">
        <v>541</v>
      </c>
      <c r="B45">
        <v>409.3</v>
      </c>
      <c r="D45">
        <f t="shared" si="8"/>
        <v>1.0052806091121209</v>
      </c>
    </row>
    <row r="46" spans="1:4" x14ac:dyDescent="0.15">
      <c r="A46">
        <v>549</v>
      </c>
      <c r="B46">
        <v>412.1</v>
      </c>
      <c r="D46">
        <f t="shared" si="8"/>
        <v>1.0121576814441853</v>
      </c>
    </row>
    <row r="47" spans="1:4" x14ac:dyDescent="0.15">
      <c r="A47">
        <v>542</v>
      </c>
      <c r="B47">
        <v>402.5</v>
      </c>
      <c r="D47">
        <f t="shared" si="8"/>
        <v>0.98857914773425037</v>
      </c>
    </row>
    <row r="49" spans="1:5" ht="15" x14ac:dyDescent="0.25">
      <c r="A49" t="s">
        <v>343</v>
      </c>
      <c r="D49" s="84">
        <f>AVERAGE(D38:D47)</f>
        <v>0.99150190347537781</v>
      </c>
      <c r="E49" t="s">
        <v>340</v>
      </c>
    </row>
    <row r="50" spans="1:5" x14ac:dyDescent="0.15">
      <c r="A50">
        <v>407.15</v>
      </c>
      <c r="B50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M20" sqref="M20"/>
    </sheetView>
  </sheetViews>
  <sheetFormatPr defaultRowHeight="10.5" x14ac:dyDescent="0.15"/>
  <cols>
    <col min="1" max="1" width="20.664062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x14ac:dyDescent="0.15">
      <c r="A1" t="s">
        <v>124</v>
      </c>
      <c r="B1" t="s">
        <v>126</v>
      </c>
      <c r="C1" t="s">
        <v>82</v>
      </c>
      <c r="D1" t="s">
        <v>84</v>
      </c>
      <c r="E1" t="s">
        <v>134</v>
      </c>
      <c r="F1" t="s">
        <v>135</v>
      </c>
      <c r="G1" t="s">
        <v>127</v>
      </c>
      <c r="H1" t="s">
        <v>128</v>
      </c>
      <c r="I1" t="s">
        <v>129</v>
      </c>
      <c r="J1" t="s">
        <v>89</v>
      </c>
      <c r="K1" t="s">
        <v>88</v>
      </c>
      <c r="L1" t="s">
        <v>92</v>
      </c>
      <c r="M1" t="s">
        <v>144</v>
      </c>
      <c r="N1" t="s">
        <v>143</v>
      </c>
      <c r="O1" t="s">
        <v>145</v>
      </c>
      <c r="P1" t="s">
        <v>146</v>
      </c>
      <c r="Q1" t="s">
        <v>147</v>
      </c>
    </row>
    <row r="2" spans="1:17" x14ac:dyDescent="0.15">
      <c r="A2" t="s">
        <v>163</v>
      </c>
      <c r="B2" t="s">
        <v>164</v>
      </c>
      <c r="C2">
        <v>77590</v>
      </c>
      <c r="D2">
        <v>38</v>
      </c>
      <c r="E2">
        <f>7^2*PI()/15</f>
        <v>10.262536001726657</v>
      </c>
      <c r="F2">
        <f>10000/E2</f>
        <v>974.41801892997148</v>
      </c>
      <c r="G2">
        <v>1</v>
      </c>
      <c r="H2">
        <v>257</v>
      </c>
      <c r="I2">
        <v>239</v>
      </c>
      <c r="J2">
        <f>AVERAGE(H2:I2)</f>
        <v>248</v>
      </c>
      <c r="K2">
        <v>197</v>
      </c>
      <c r="M2">
        <f>EXP(-3.53769+1.70873*LN(J2/10)+1.35448*LN(K2/10))</f>
        <v>397.80550511486371</v>
      </c>
      <c r="N2">
        <f>AVERAGE(M$2:M$16)/1000*F2</f>
        <v>391.56147949841898</v>
      </c>
      <c r="O2">
        <f>N2/D2</f>
        <v>10.30424946048471</v>
      </c>
      <c r="P2">
        <f>N2/0.85*0.45</f>
        <v>207.29725385210418</v>
      </c>
      <c r="Q2">
        <f>P2/D2</f>
        <v>5.4551908908448468</v>
      </c>
    </row>
    <row r="3" spans="1:17" x14ac:dyDescent="0.15">
      <c r="A3" t="s">
        <v>163</v>
      </c>
      <c r="B3" t="s">
        <v>164</v>
      </c>
      <c r="C3">
        <v>77590</v>
      </c>
      <c r="D3">
        <v>38</v>
      </c>
      <c r="E3">
        <f t="shared" ref="E3:E16" si="0">7^2*PI()/15</f>
        <v>10.262536001726657</v>
      </c>
      <c r="F3">
        <f t="shared" ref="F3:F16" si="1">10000/E3</f>
        <v>974.41801892997148</v>
      </c>
      <c r="G3">
        <v>2</v>
      </c>
      <c r="H3">
        <v>240</v>
      </c>
      <c r="I3">
        <v>244</v>
      </c>
      <c r="J3">
        <f t="shared" ref="J3:J16" si="2">AVERAGE(H3:I3)</f>
        <v>242</v>
      </c>
      <c r="K3">
        <v>185</v>
      </c>
      <c r="M3">
        <f t="shared" ref="M3:M16" si="3">EXP(-3.53769+1.70873*LN(J3/10)+1.35448*LN(K3/10))</f>
        <v>350.36954350284947</v>
      </c>
      <c r="N3">
        <f t="shared" ref="N3:N16" si="4">AVERAGE(M$2:M$16)/1000*F3</f>
        <v>391.56147949841898</v>
      </c>
      <c r="O3">
        <f t="shared" ref="O3:O16" si="5">N3/D3</f>
        <v>10.30424946048471</v>
      </c>
      <c r="P3">
        <f t="shared" ref="P3:P16" si="6">N3/0.85*0.45</f>
        <v>207.29725385210418</v>
      </c>
      <c r="Q3">
        <f t="shared" ref="Q3:Q16" si="7">P3/D3</f>
        <v>5.4551908908448468</v>
      </c>
    </row>
    <row r="4" spans="1:17" x14ac:dyDescent="0.15">
      <c r="A4" t="s">
        <v>163</v>
      </c>
      <c r="B4" t="s">
        <v>164</v>
      </c>
      <c r="C4">
        <v>77590</v>
      </c>
      <c r="D4">
        <v>38</v>
      </c>
      <c r="E4">
        <f t="shared" si="0"/>
        <v>10.262536001726657</v>
      </c>
      <c r="F4">
        <f t="shared" si="1"/>
        <v>974.41801892997148</v>
      </c>
      <c r="G4">
        <v>3</v>
      </c>
      <c r="H4">
        <v>295</v>
      </c>
      <c r="I4">
        <v>299</v>
      </c>
      <c r="J4">
        <f t="shared" si="2"/>
        <v>297</v>
      </c>
      <c r="K4">
        <v>204</v>
      </c>
      <c r="M4">
        <f t="shared" si="3"/>
        <v>567.55996222834256</v>
      </c>
      <c r="N4">
        <f t="shared" si="4"/>
        <v>391.56147949841898</v>
      </c>
      <c r="O4">
        <f t="shared" si="5"/>
        <v>10.30424946048471</v>
      </c>
      <c r="P4">
        <f t="shared" si="6"/>
        <v>207.29725385210418</v>
      </c>
      <c r="Q4">
        <f t="shared" si="7"/>
        <v>5.4551908908448468</v>
      </c>
    </row>
    <row r="5" spans="1:17" x14ac:dyDescent="0.15">
      <c r="A5" t="s">
        <v>163</v>
      </c>
      <c r="B5" t="s">
        <v>164</v>
      </c>
      <c r="C5">
        <v>77590</v>
      </c>
      <c r="D5">
        <v>38</v>
      </c>
      <c r="E5">
        <f t="shared" si="0"/>
        <v>10.262536001726657</v>
      </c>
      <c r="F5">
        <f t="shared" si="1"/>
        <v>974.41801892997148</v>
      </c>
      <c r="G5">
        <v>4</v>
      </c>
      <c r="H5">
        <v>205</v>
      </c>
      <c r="I5">
        <v>217</v>
      </c>
      <c r="J5">
        <f t="shared" si="2"/>
        <v>211</v>
      </c>
      <c r="K5">
        <v>213</v>
      </c>
      <c r="M5">
        <f t="shared" si="3"/>
        <v>335.51003894852488</v>
      </c>
      <c r="N5">
        <f t="shared" si="4"/>
        <v>391.56147949841898</v>
      </c>
      <c r="O5">
        <f t="shared" si="5"/>
        <v>10.30424946048471</v>
      </c>
      <c r="P5">
        <f t="shared" si="6"/>
        <v>207.29725385210418</v>
      </c>
      <c r="Q5">
        <f t="shared" si="7"/>
        <v>5.4551908908448468</v>
      </c>
    </row>
    <row r="6" spans="1:17" x14ac:dyDescent="0.15">
      <c r="A6" t="s">
        <v>163</v>
      </c>
      <c r="B6" t="s">
        <v>164</v>
      </c>
      <c r="C6">
        <v>77590</v>
      </c>
      <c r="D6">
        <v>38</v>
      </c>
      <c r="E6">
        <f t="shared" si="0"/>
        <v>10.262536001726657</v>
      </c>
      <c r="F6">
        <f t="shared" si="1"/>
        <v>974.41801892997148</v>
      </c>
      <c r="G6">
        <v>5</v>
      </c>
      <c r="H6">
        <v>247</v>
      </c>
      <c r="I6">
        <v>253</v>
      </c>
      <c r="J6">
        <f t="shared" si="2"/>
        <v>250</v>
      </c>
      <c r="K6">
        <v>203</v>
      </c>
      <c r="M6">
        <f t="shared" si="3"/>
        <v>420.02971801843177</v>
      </c>
      <c r="N6">
        <f t="shared" si="4"/>
        <v>391.56147949841898</v>
      </c>
      <c r="O6">
        <f t="shared" si="5"/>
        <v>10.30424946048471</v>
      </c>
      <c r="P6">
        <f t="shared" si="6"/>
        <v>207.29725385210418</v>
      </c>
      <c r="Q6">
        <f t="shared" si="7"/>
        <v>5.4551908908448468</v>
      </c>
    </row>
    <row r="7" spans="1:17" x14ac:dyDescent="0.15">
      <c r="A7" t="s">
        <v>163</v>
      </c>
      <c r="B7" t="s">
        <v>164</v>
      </c>
      <c r="C7">
        <v>77590</v>
      </c>
      <c r="D7">
        <v>38</v>
      </c>
      <c r="E7">
        <f t="shared" si="0"/>
        <v>10.262536001726657</v>
      </c>
      <c r="F7">
        <f t="shared" si="1"/>
        <v>974.41801892997148</v>
      </c>
      <c r="G7">
        <v>6</v>
      </c>
      <c r="H7">
        <v>275</v>
      </c>
      <c r="I7">
        <v>290</v>
      </c>
      <c r="J7">
        <f t="shared" si="2"/>
        <v>282.5</v>
      </c>
      <c r="K7">
        <v>237</v>
      </c>
      <c r="M7">
        <f t="shared" si="3"/>
        <v>638.36439159172301</v>
      </c>
      <c r="N7">
        <f t="shared" si="4"/>
        <v>391.56147949841898</v>
      </c>
      <c r="O7">
        <f t="shared" si="5"/>
        <v>10.30424946048471</v>
      </c>
      <c r="P7">
        <f t="shared" si="6"/>
        <v>207.29725385210418</v>
      </c>
      <c r="Q7">
        <f t="shared" si="7"/>
        <v>5.4551908908448468</v>
      </c>
    </row>
    <row r="8" spans="1:17" x14ac:dyDescent="0.15">
      <c r="A8" t="s">
        <v>163</v>
      </c>
      <c r="B8" t="s">
        <v>164</v>
      </c>
      <c r="C8">
        <v>77590</v>
      </c>
      <c r="D8">
        <v>38</v>
      </c>
      <c r="E8">
        <f t="shared" si="0"/>
        <v>10.262536001726657</v>
      </c>
      <c r="F8">
        <f t="shared" si="1"/>
        <v>974.41801892997148</v>
      </c>
      <c r="G8">
        <v>7</v>
      </c>
      <c r="H8">
        <v>248</v>
      </c>
      <c r="I8">
        <v>256</v>
      </c>
      <c r="J8">
        <f t="shared" si="2"/>
        <v>252</v>
      </c>
      <c r="K8">
        <v>200</v>
      </c>
      <c r="M8">
        <f t="shared" si="3"/>
        <v>417.28714779090114</v>
      </c>
      <c r="N8">
        <f t="shared" si="4"/>
        <v>391.56147949841898</v>
      </c>
      <c r="O8">
        <f t="shared" si="5"/>
        <v>10.30424946048471</v>
      </c>
      <c r="P8">
        <f t="shared" si="6"/>
        <v>207.29725385210418</v>
      </c>
      <c r="Q8">
        <f t="shared" si="7"/>
        <v>5.4551908908448468</v>
      </c>
    </row>
    <row r="9" spans="1:17" x14ac:dyDescent="0.15">
      <c r="A9" t="s">
        <v>163</v>
      </c>
      <c r="B9" t="s">
        <v>164</v>
      </c>
      <c r="C9">
        <v>77590</v>
      </c>
      <c r="D9">
        <v>38</v>
      </c>
      <c r="E9">
        <f t="shared" si="0"/>
        <v>10.262536001726657</v>
      </c>
      <c r="F9">
        <f t="shared" si="1"/>
        <v>974.41801892997148</v>
      </c>
      <c r="G9">
        <v>8</v>
      </c>
      <c r="H9">
        <v>161</v>
      </c>
      <c r="I9">
        <v>145</v>
      </c>
      <c r="J9">
        <f t="shared" si="2"/>
        <v>153</v>
      </c>
      <c r="K9">
        <v>171</v>
      </c>
      <c r="M9">
        <f t="shared" si="3"/>
        <v>143.87558897945621</v>
      </c>
      <c r="N9">
        <f t="shared" si="4"/>
        <v>391.56147949841898</v>
      </c>
      <c r="O9">
        <f t="shared" si="5"/>
        <v>10.30424946048471</v>
      </c>
      <c r="P9">
        <f t="shared" si="6"/>
        <v>207.29725385210418</v>
      </c>
      <c r="Q9">
        <f t="shared" si="7"/>
        <v>5.4551908908448468</v>
      </c>
    </row>
    <row r="10" spans="1:17" x14ac:dyDescent="0.15">
      <c r="A10" t="s">
        <v>163</v>
      </c>
      <c r="B10" t="s">
        <v>164</v>
      </c>
      <c r="C10">
        <v>77590</v>
      </c>
      <c r="D10">
        <v>38</v>
      </c>
      <c r="E10">
        <f t="shared" si="0"/>
        <v>10.262536001726657</v>
      </c>
      <c r="F10">
        <f t="shared" si="1"/>
        <v>974.41801892997148</v>
      </c>
      <c r="G10">
        <v>9</v>
      </c>
      <c r="H10">
        <v>184</v>
      </c>
      <c r="I10">
        <v>171</v>
      </c>
      <c r="J10">
        <f t="shared" si="2"/>
        <v>177.5</v>
      </c>
      <c r="K10">
        <v>145</v>
      </c>
      <c r="M10">
        <f t="shared" si="3"/>
        <v>148.31777276619673</v>
      </c>
      <c r="N10">
        <f t="shared" si="4"/>
        <v>391.56147949841898</v>
      </c>
      <c r="O10">
        <f t="shared" si="5"/>
        <v>10.30424946048471</v>
      </c>
      <c r="P10">
        <f t="shared" si="6"/>
        <v>207.29725385210418</v>
      </c>
      <c r="Q10">
        <f t="shared" si="7"/>
        <v>5.4551908908448468</v>
      </c>
    </row>
    <row r="11" spans="1:17" x14ac:dyDescent="0.15">
      <c r="A11" t="s">
        <v>163</v>
      </c>
      <c r="B11" t="s">
        <v>164</v>
      </c>
      <c r="C11">
        <v>77590</v>
      </c>
      <c r="D11">
        <v>38</v>
      </c>
      <c r="E11">
        <f t="shared" si="0"/>
        <v>10.262536001726657</v>
      </c>
      <c r="F11">
        <f t="shared" si="1"/>
        <v>974.41801892997148</v>
      </c>
      <c r="G11">
        <v>10</v>
      </c>
      <c r="H11">
        <v>264</v>
      </c>
      <c r="I11">
        <v>254</v>
      </c>
      <c r="J11">
        <f t="shared" si="2"/>
        <v>259</v>
      </c>
      <c r="K11">
        <v>212</v>
      </c>
      <c r="M11">
        <f t="shared" si="3"/>
        <v>473.19904241976252</v>
      </c>
      <c r="N11">
        <f t="shared" si="4"/>
        <v>391.56147949841898</v>
      </c>
      <c r="O11">
        <f t="shared" si="5"/>
        <v>10.30424946048471</v>
      </c>
      <c r="P11">
        <f t="shared" si="6"/>
        <v>207.29725385210418</v>
      </c>
      <c r="Q11">
        <f t="shared" si="7"/>
        <v>5.4551908908448468</v>
      </c>
    </row>
    <row r="12" spans="1:17" x14ac:dyDescent="0.15">
      <c r="A12" t="s">
        <v>163</v>
      </c>
      <c r="B12" t="s">
        <v>164</v>
      </c>
      <c r="C12">
        <v>77590</v>
      </c>
      <c r="D12">
        <v>38</v>
      </c>
      <c r="E12">
        <f t="shared" si="0"/>
        <v>10.262536001726657</v>
      </c>
      <c r="F12">
        <f t="shared" si="1"/>
        <v>974.41801892997148</v>
      </c>
      <c r="G12">
        <v>11</v>
      </c>
      <c r="H12">
        <v>221</v>
      </c>
      <c r="I12">
        <v>218</v>
      </c>
      <c r="J12">
        <f t="shared" si="2"/>
        <v>219.5</v>
      </c>
      <c r="K12">
        <v>223</v>
      </c>
      <c r="M12">
        <f t="shared" si="3"/>
        <v>381.94615323873893</v>
      </c>
      <c r="N12">
        <f t="shared" si="4"/>
        <v>391.56147949841898</v>
      </c>
      <c r="O12">
        <f t="shared" si="5"/>
        <v>10.30424946048471</v>
      </c>
      <c r="P12">
        <f t="shared" si="6"/>
        <v>207.29725385210418</v>
      </c>
      <c r="Q12">
        <f t="shared" si="7"/>
        <v>5.4551908908448468</v>
      </c>
    </row>
    <row r="13" spans="1:17" x14ac:dyDescent="0.15">
      <c r="A13" t="s">
        <v>163</v>
      </c>
      <c r="B13" t="s">
        <v>164</v>
      </c>
      <c r="C13">
        <v>77590</v>
      </c>
      <c r="D13">
        <v>38</v>
      </c>
      <c r="E13">
        <f t="shared" si="0"/>
        <v>10.262536001726657</v>
      </c>
      <c r="F13">
        <f t="shared" si="1"/>
        <v>974.41801892997148</v>
      </c>
      <c r="G13">
        <v>12</v>
      </c>
      <c r="H13">
        <v>207</v>
      </c>
      <c r="I13">
        <v>207</v>
      </c>
      <c r="J13">
        <f t="shared" si="2"/>
        <v>207</v>
      </c>
      <c r="K13">
        <v>204</v>
      </c>
      <c r="M13">
        <f t="shared" si="3"/>
        <v>306.27153267665318</v>
      </c>
      <c r="N13">
        <f t="shared" si="4"/>
        <v>391.56147949841898</v>
      </c>
      <c r="O13">
        <f t="shared" si="5"/>
        <v>10.30424946048471</v>
      </c>
      <c r="P13">
        <f t="shared" si="6"/>
        <v>207.29725385210418</v>
      </c>
      <c r="Q13">
        <f t="shared" si="7"/>
        <v>5.4551908908448468</v>
      </c>
    </row>
    <row r="14" spans="1:17" x14ac:dyDescent="0.15">
      <c r="A14" t="s">
        <v>163</v>
      </c>
      <c r="B14" t="s">
        <v>164</v>
      </c>
      <c r="C14">
        <v>77590</v>
      </c>
      <c r="D14">
        <v>38</v>
      </c>
      <c r="E14">
        <f t="shared" si="0"/>
        <v>10.262536001726657</v>
      </c>
      <c r="F14">
        <f t="shared" si="1"/>
        <v>974.41801892997148</v>
      </c>
      <c r="G14">
        <v>13</v>
      </c>
      <c r="H14">
        <v>215</v>
      </c>
      <c r="I14">
        <v>221</v>
      </c>
      <c r="J14">
        <f t="shared" si="2"/>
        <v>218</v>
      </c>
      <c r="K14">
        <v>243</v>
      </c>
      <c r="M14">
        <f t="shared" si="3"/>
        <v>424.06995494689312</v>
      </c>
      <c r="N14">
        <f t="shared" si="4"/>
        <v>391.56147949841898</v>
      </c>
      <c r="O14">
        <f t="shared" si="5"/>
        <v>10.30424946048471</v>
      </c>
      <c r="P14">
        <f t="shared" si="6"/>
        <v>207.29725385210418</v>
      </c>
      <c r="Q14">
        <f t="shared" si="7"/>
        <v>5.4551908908448468</v>
      </c>
    </row>
    <row r="15" spans="1:17" x14ac:dyDescent="0.15">
      <c r="A15" t="s">
        <v>163</v>
      </c>
      <c r="B15" t="s">
        <v>164</v>
      </c>
      <c r="C15">
        <v>77590</v>
      </c>
      <c r="D15">
        <v>38</v>
      </c>
      <c r="E15">
        <f t="shared" si="0"/>
        <v>10.262536001726657</v>
      </c>
      <c r="F15">
        <f t="shared" si="1"/>
        <v>974.41801892997148</v>
      </c>
      <c r="G15">
        <v>14</v>
      </c>
      <c r="H15">
        <v>253</v>
      </c>
      <c r="I15">
        <v>253</v>
      </c>
      <c r="J15">
        <f t="shared" si="2"/>
        <v>253</v>
      </c>
      <c r="K15">
        <v>242</v>
      </c>
      <c r="M15">
        <f t="shared" si="3"/>
        <v>543.88254286266431</v>
      </c>
      <c r="N15">
        <f t="shared" si="4"/>
        <v>391.56147949841898</v>
      </c>
      <c r="O15">
        <f t="shared" si="5"/>
        <v>10.30424946048471</v>
      </c>
      <c r="P15">
        <f t="shared" si="6"/>
        <v>207.29725385210418</v>
      </c>
      <c r="Q15">
        <f t="shared" si="7"/>
        <v>5.4551908908448468</v>
      </c>
    </row>
    <row r="16" spans="1:17" x14ac:dyDescent="0.15">
      <c r="A16" t="s">
        <v>163</v>
      </c>
      <c r="B16" t="s">
        <v>164</v>
      </c>
      <c r="C16">
        <v>77590</v>
      </c>
      <c r="D16">
        <v>38</v>
      </c>
      <c r="E16">
        <f t="shared" si="0"/>
        <v>10.262536001726657</v>
      </c>
      <c r="F16">
        <f t="shared" si="1"/>
        <v>974.41801892997148</v>
      </c>
      <c r="G16">
        <v>15</v>
      </c>
      <c r="H16">
        <v>244</v>
      </c>
      <c r="I16">
        <v>252</v>
      </c>
      <c r="J16">
        <f t="shared" si="2"/>
        <v>248</v>
      </c>
      <c r="K16">
        <v>226</v>
      </c>
      <c r="M16">
        <f t="shared" si="3"/>
        <v>479.13177527681779</v>
      </c>
      <c r="N16">
        <f t="shared" si="4"/>
        <v>391.56147949841898</v>
      </c>
      <c r="O16">
        <f t="shared" si="5"/>
        <v>10.30424946048471</v>
      </c>
      <c r="P16">
        <f t="shared" si="6"/>
        <v>207.29725385210418</v>
      </c>
      <c r="Q16">
        <f t="shared" si="7"/>
        <v>5.4551908908448468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L21" sqref="L21"/>
    </sheetView>
  </sheetViews>
  <sheetFormatPr defaultRowHeight="10.5" x14ac:dyDescent="0.15"/>
  <cols>
    <col min="1" max="1" width="20.664062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x14ac:dyDescent="0.15">
      <c r="A1" t="s">
        <v>124</v>
      </c>
      <c r="B1" t="s">
        <v>126</v>
      </c>
      <c r="C1" t="s">
        <v>82</v>
      </c>
      <c r="D1" t="s">
        <v>84</v>
      </c>
      <c r="E1" t="s">
        <v>134</v>
      </c>
      <c r="F1" t="s">
        <v>135</v>
      </c>
      <c r="G1" t="s">
        <v>127</v>
      </c>
      <c r="H1" t="s">
        <v>128</v>
      </c>
      <c r="I1" t="s">
        <v>129</v>
      </c>
      <c r="J1" t="s">
        <v>89</v>
      </c>
      <c r="K1" t="s">
        <v>88</v>
      </c>
      <c r="L1" t="s">
        <v>92</v>
      </c>
      <c r="M1" t="s">
        <v>144</v>
      </c>
      <c r="N1" t="s">
        <v>143</v>
      </c>
      <c r="O1" t="s">
        <v>145</v>
      </c>
      <c r="P1" t="s">
        <v>146</v>
      </c>
      <c r="Q1" t="s">
        <v>147</v>
      </c>
    </row>
    <row r="2" spans="1:17" x14ac:dyDescent="0.15">
      <c r="A2" t="s">
        <v>165</v>
      </c>
      <c r="B2" t="s">
        <v>164</v>
      </c>
      <c r="C2">
        <v>77590</v>
      </c>
      <c r="D2">
        <v>38</v>
      </c>
      <c r="E2">
        <f>7^2*PI()/19</f>
        <v>8.1020021066263084</v>
      </c>
      <c r="F2">
        <f>10000/E2</f>
        <v>1234.262823977964</v>
      </c>
      <c r="G2">
        <v>1</v>
      </c>
      <c r="H2">
        <v>215</v>
      </c>
      <c r="I2">
        <v>200</v>
      </c>
      <c r="J2">
        <f>AVERAGE(H2:I2)</f>
        <v>207.5</v>
      </c>
      <c r="K2">
        <v>216</v>
      </c>
      <c r="M2">
        <f>EXP(-3.53769+1.70873*LN(J2/10)+1.35448*LN(K2/10))</f>
        <v>332.29209587488532</v>
      </c>
      <c r="N2">
        <f>AVERAGE(M$2:M$20)/1000*F2</f>
        <v>327.13253750282183</v>
      </c>
      <c r="O2">
        <f>N2/D2</f>
        <v>8.6087509869163643</v>
      </c>
      <c r="P2">
        <f>N2/0.85*0.45</f>
        <v>173.18781397208215</v>
      </c>
      <c r="Q2">
        <f>P2/D2</f>
        <v>4.557574051896899</v>
      </c>
    </row>
    <row r="3" spans="1:17" x14ac:dyDescent="0.15">
      <c r="A3" t="s">
        <v>165</v>
      </c>
      <c r="B3" t="s">
        <v>164</v>
      </c>
      <c r="C3">
        <v>77590</v>
      </c>
      <c r="D3">
        <v>38</v>
      </c>
      <c r="E3">
        <f t="shared" ref="E3:E20" si="0">7^2*PI()/19</f>
        <v>8.1020021066263084</v>
      </c>
      <c r="F3">
        <f t="shared" ref="F3:F20" si="1">10000/E3</f>
        <v>1234.262823977964</v>
      </c>
      <c r="G3">
        <v>2</v>
      </c>
      <c r="H3">
        <v>153</v>
      </c>
      <c r="I3">
        <v>133</v>
      </c>
      <c r="J3">
        <f t="shared" ref="J3:J20" si="2">AVERAGE(H3:I3)</f>
        <v>143</v>
      </c>
      <c r="K3">
        <v>199</v>
      </c>
      <c r="M3">
        <f t="shared" ref="M3:M20" si="3">EXP(-3.53769+1.70873*LN(J3/10)+1.35448*LN(K3/10))</f>
        <v>157.40865808229353</v>
      </c>
      <c r="N3">
        <f t="shared" ref="N3:N20" si="4">AVERAGE(M$2:M$20)/1000*F3</f>
        <v>327.13253750282183</v>
      </c>
      <c r="O3">
        <f t="shared" ref="O3:O20" si="5">N3/D3</f>
        <v>8.6087509869163643</v>
      </c>
      <c r="P3">
        <f t="shared" ref="P3:P20" si="6">N3/0.85*0.45</f>
        <v>173.18781397208215</v>
      </c>
      <c r="Q3">
        <f t="shared" ref="Q3:Q20" si="7">P3/D3</f>
        <v>4.557574051896899</v>
      </c>
    </row>
    <row r="4" spans="1:17" x14ac:dyDescent="0.15">
      <c r="A4" t="s">
        <v>165</v>
      </c>
      <c r="B4" t="s">
        <v>164</v>
      </c>
      <c r="C4">
        <v>77590</v>
      </c>
      <c r="D4">
        <v>38</v>
      </c>
      <c r="E4">
        <f t="shared" si="0"/>
        <v>8.1020021066263084</v>
      </c>
      <c r="F4">
        <f t="shared" si="1"/>
        <v>1234.262823977964</v>
      </c>
      <c r="G4">
        <v>3</v>
      </c>
      <c r="H4">
        <v>138</v>
      </c>
      <c r="I4">
        <v>125</v>
      </c>
      <c r="J4">
        <f t="shared" si="2"/>
        <v>131.5</v>
      </c>
      <c r="K4">
        <v>128</v>
      </c>
      <c r="L4" t="s">
        <v>169</v>
      </c>
      <c r="M4">
        <f t="shared" si="3"/>
        <v>75.03027109669722</v>
      </c>
      <c r="N4">
        <f t="shared" si="4"/>
        <v>327.13253750282183</v>
      </c>
      <c r="O4">
        <f t="shared" si="5"/>
        <v>8.6087509869163643</v>
      </c>
      <c r="P4">
        <f t="shared" si="6"/>
        <v>173.18781397208215</v>
      </c>
      <c r="Q4">
        <f t="shared" si="7"/>
        <v>4.557574051896899</v>
      </c>
    </row>
    <row r="5" spans="1:17" x14ac:dyDescent="0.15">
      <c r="A5" t="s">
        <v>165</v>
      </c>
      <c r="B5" t="s">
        <v>164</v>
      </c>
      <c r="C5">
        <v>77590</v>
      </c>
      <c r="D5">
        <v>38</v>
      </c>
      <c r="E5">
        <f t="shared" si="0"/>
        <v>8.1020021066263084</v>
      </c>
      <c r="F5">
        <f t="shared" si="1"/>
        <v>1234.262823977964</v>
      </c>
      <c r="G5">
        <v>4</v>
      </c>
      <c r="H5">
        <v>211</v>
      </c>
      <c r="I5">
        <v>197</v>
      </c>
      <c r="J5">
        <f t="shared" si="2"/>
        <v>204</v>
      </c>
      <c r="K5">
        <v>222</v>
      </c>
      <c r="M5">
        <f t="shared" si="3"/>
        <v>334.97568750166397</v>
      </c>
      <c r="N5">
        <f t="shared" si="4"/>
        <v>327.13253750282183</v>
      </c>
      <c r="O5">
        <f t="shared" si="5"/>
        <v>8.6087509869163643</v>
      </c>
      <c r="P5">
        <f t="shared" si="6"/>
        <v>173.18781397208215</v>
      </c>
      <c r="Q5">
        <f t="shared" si="7"/>
        <v>4.557574051896899</v>
      </c>
    </row>
    <row r="6" spans="1:17" x14ac:dyDescent="0.15">
      <c r="A6" t="s">
        <v>165</v>
      </c>
      <c r="B6" t="s">
        <v>164</v>
      </c>
      <c r="C6">
        <v>77590</v>
      </c>
      <c r="D6">
        <v>38</v>
      </c>
      <c r="E6">
        <f t="shared" si="0"/>
        <v>8.1020021066263084</v>
      </c>
      <c r="F6">
        <f t="shared" si="1"/>
        <v>1234.262823977964</v>
      </c>
      <c r="G6">
        <v>5</v>
      </c>
      <c r="H6">
        <v>172</v>
      </c>
      <c r="I6">
        <v>154</v>
      </c>
      <c r="J6">
        <f t="shared" si="2"/>
        <v>163</v>
      </c>
      <c r="K6">
        <v>180</v>
      </c>
      <c r="M6">
        <f t="shared" si="3"/>
        <v>171.84764395474338</v>
      </c>
      <c r="N6">
        <f t="shared" si="4"/>
        <v>327.13253750282183</v>
      </c>
      <c r="O6">
        <f t="shared" si="5"/>
        <v>8.6087509869163643</v>
      </c>
      <c r="P6">
        <f t="shared" si="6"/>
        <v>173.18781397208215</v>
      </c>
      <c r="Q6">
        <f t="shared" si="7"/>
        <v>4.557574051896899</v>
      </c>
    </row>
    <row r="7" spans="1:17" x14ac:dyDescent="0.15">
      <c r="A7" t="s">
        <v>165</v>
      </c>
      <c r="B7" t="s">
        <v>164</v>
      </c>
      <c r="C7">
        <v>77590</v>
      </c>
      <c r="D7">
        <v>38</v>
      </c>
      <c r="E7">
        <f t="shared" si="0"/>
        <v>8.1020021066263084</v>
      </c>
      <c r="F7">
        <f t="shared" si="1"/>
        <v>1234.262823977964</v>
      </c>
      <c r="G7">
        <v>6</v>
      </c>
      <c r="H7">
        <v>197</v>
      </c>
      <c r="I7">
        <v>197</v>
      </c>
      <c r="J7">
        <f t="shared" si="2"/>
        <v>197</v>
      </c>
      <c r="K7">
        <v>219</v>
      </c>
      <c r="M7">
        <f t="shared" si="3"/>
        <v>309.81238398057957</v>
      </c>
      <c r="N7">
        <f t="shared" si="4"/>
        <v>327.13253750282183</v>
      </c>
      <c r="O7">
        <f t="shared" si="5"/>
        <v>8.6087509869163643</v>
      </c>
      <c r="P7">
        <f t="shared" si="6"/>
        <v>173.18781397208215</v>
      </c>
      <c r="Q7">
        <f t="shared" si="7"/>
        <v>4.557574051896899</v>
      </c>
    </row>
    <row r="8" spans="1:17" x14ac:dyDescent="0.15">
      <c r="A8" t="s">
        <v>165</v>
      </c>
      <c r="B8" t="s">
        <v>164</v>
      </c>
      <c r="C8">
        <v>77590</v>
      </c>
      <c r="D8">
        <v>38</v>
      </c>
      <c r="E8">
        <f t="shared" si="0"/>
        <v>8.1020021066263084</v>
      </c>
      <c r="F8">
        <f t="shared" si="1"/>
        <v>1234.262823977964</v>
      </c>
      <c r="G8">
        <v>7</v>
      </c>
      <c r="H8">
        <v>187</v>
      </c>
      <c r="I8">
        <v>209</v>
      </c>
      <c r="J8">
        <f t="shared" si="2"/>
        <v>198</v>
      </c>
      <c r="K8">
        <v>196</v>
      </c>
      <c r="M8">
        <f t="shared" si="3"/>
        <v>268.89731666247047</v>
      </c>
      <c r="N8">
        <f t="shared" si="4"/>
        <v>327.13253750282183</v>
      </c>
      <c r="O8">
        <f t="shared" si="5"/>
        <v>8.6087509869163643</v>
      </c>
      <c r="P8">
        <f t="shared" si="6"/>
        <v>173.18781397208215</v>
      </c>
      <c r="Q8">
        <f t="shared" si="7"/>
        <v>4.557574051896899</v>
      </c>
    </row>
    <row r="9" spans="1:17" x14ac:dyDescent="0.15">
      <c r="A9" t="s">
        <v>165</v>
      </c>
      <c r="B9" t="s">
        <v>164</v>
      </c>
      <c r="C9">
        <v>77590</v>
      </c>
      <c r="D9">
        <v>38</v>
      </c>
      <c r="E9">
        <f t="shared" si="0"/>
        <v>8.1020021066263084</v>
      </c>
      <c r="F9">
        <f t="shared" si="1"/>
        <v>1234.262823977964</v>
      </c>
      <c r="G9">
        <v>8</v>
      </c>
      <c r="H9">
        <v>167</v>
      </c>
      <c r="I9">
        <v>179</v>
      </c>
      <c r="J9">
        <f t="shared" si="2"/>
        <v>173</v>
      </c>
      <c r="K9">
        <v>200</v>
      </c>
      <c r="M9">
        <f t="shared" si="3"/>
        <v>219.43524337543315</v>
      </c>
      <c r="N9">
        <f t="shared" si="4"/>
        <v>327.13253750282183</v>
      </c>
      <c r="O9">
        <f t="shared" si="5"/>
        <v>8.6087509869163643</v>
      </c>
      <c r="P9">
        <f t="shared" si="6"/>
        <v>173.18781397208215</v>
      </c>
      <c r="Q9">
        <f t="shared" si="7"/>
        <v>4.557574051896899</v>
      </c>
    </row>
    <row r="10" spans="1:17" x14ac:dyDescent="0.15">
      <c r="A10" t="s">
        <v>165</v>
      </c>
      <c r="B10" t="s">
        <v>164</v>
      </c>
      <c r="C10">
        <v>77590</v>
      </c>
      <c r="D10">
        <v>38</v>
      </c>
      <c r="E10">
        <f t="shared" si="0"/>
        <v>8.1020021066263084</v>
      </c>
      <c r="F10">
        <f t="shared" si="1"/>
        <v>1234.262823977964</v>
      </c>
      <c r="G10">
        <v>9</v>
      </c>
      <c r="H10">
        <v>150</v>
      </c>
      <c r="I10">
        <v>161</v>
      </c>
      <c r="J10">
        <f t="shared" si="2"/>
        <v>155.5</v>
      </c>
      <c r="K10">
        <v>183</v>
      </c>
      <c r="M10">
        <f t="shared" si="3"/>
        <v>162.14777042475365</v>
      </c>
      <c r="N10">
        <f t="shared" si="4"/>
        <v>327.13253750282183</v>
      </c>
      <c r="O10">
        <f t="shared" si="5"/>
        <v>8.6087509869163643</v>
      </c>
      <c r="P10">
        <f t="shared" si="6"/>
        <v>173.18781397208215</v>
      </c>
      <c r="Q10">
        <f t="shared" si="7"/>
        <v>4.557574051896899</v>
      </c>
    </row>
    <row r="11" spans="1:17" x14ac:dyDescent="0.15">
      <c r="A11" t="s">
        <v>165</v>
      </c>
      <c r="B11" t="s">
        <v>164</v>
      </c>
      <c r="C11">
        <v>77590</v>
      </c>
      <c r="D11">
        <v>38</v>
      </c>
      <c r="E11">
        <f t="shared" si="0"/>
        <v>8.1020021066263084</v>
      </c>
      <c r="F11">
        <f t="shared" si="1"/>
        <v>1234.262823977964</v>
      </c>
      <c r="G11">
        <v>10</v>
      </c>
      <c r="H11">
        <v>137</v>
      </c>
      <c r="I11">
        <v>137</v>
      </c>
      <c r="J11">
        <f t="shared" si="2"/>
        <v>137</v>
      </c>
      <c r="K11">
        <v>141</v>
      </c>
      <c r="M11">
        <f t="shared" si="3"/>
        <v>91.736801249888117</v>
      </c>
      <c r="N11">
        <f t="shared" si="4"/>
        <v>327.13253750282183</v>
      </c>
      <c r="O11">
        <f t="shared" si="5"/>
        <v>8.6087509869163643</v>
      </c>
      <c r="P11">
        <f t="shared" si="6"/>
        <v>173.18781397208215</v>
      </c>
      <c r="Q11">
        <f t="shared" si="7"/>
        <v>4.557574051896899</v>
      </c>
    </row>
    <row r="12" spans="1:17" x14ac:dyDescent="0.15">
      <c r="A12" t="s">
        <v>165</v>
      </c>
      <c r="B12" t="s">
        <v>164</v>
      </c>
      <c r="C12">
        <v>77590</v>
      </c>
      <c r="D12">
        <v>38</v>
      </c>
      <c r="E12">
        <f t="shared" si="0"/>
        <v>8.1020021066263084</v>
      </c>
      <c r="F12">
        <f t="shared" si="1"/>
        <v>1234.262823977964</v>
      </c>
      <c r="G12">
        <v>11</v>
      </c>
      <c r="H12">
        <v>150</v>
      </c>
      <c r="I12">
        <v>153</v>
      </c>
      <c r="J12">
        <f t="shared" si="2"/>
        <v>151.5</v>
      </c>
      <c r="K12">
        <v>195</v>
      </c>
      <c r="M12">
        <f t="shared" si="3"/>
        <v>169.01813794677042</v>
      </c>
      <c r="N12">
        <f t="shared" si="4"/>
        <v>327.13253750282183</v>
      </c>
      <c r="O12">
        <f t="shared" si="5"/>
        <v>8.6087509869163643</v>
      </c>
      <c r="P12">
        <f t="shared" si="6"/>
        <v>173.18781397208215</v>
      </c>
      <c r="Q12">
        <f t="shared" si="7"/>
        <v>4.557574051896899</v>
      </c>
    </row>
    <row r="13" spans="1:17" x14ac:dyDescent="0.15">
      <c r="A13" t="s">
        <v>165</v>
      </c>
      <c r="B13" t="s">
        <v>164</v>
      </c>
      <c r="C13">
        <v>77590</v>
      </c>
      <c r="D13">
        <v>38</v>
      </c>
      <c r="E13">
        <f t="shared" si="0"/>
        <v>8.1020021066263084</v>
      </c>
      <c r="F13">
        <f t="shared" si="1"/>
        <v>1234.262823977964</v>
      </c>
      <c r="G13">
        <v>12</v>
      </c>
      <c r="H13">
        <v>220</v>
      </c>
      <c r="I13">
        <v>201</v>
      </c>
      <c r="J13">
        <f t="shared" si="2"/>
        <v>210.5</v>
      </c>
      <c r="K13">
        <v>263</v>
      </c>
      <c r="M13">
        <f t="shared" si="3"/>
        <v>444.61384031271393</v>
      </c>
      <c r="N13">
        <f t="shared" si="4"/>
        <v>327.13253750282183</v>
      </c>
      <c r="O13">
        <f t="shared" si="5"/>
        <v>8.6087509869163643</v>
      </c>
      <c r="P13">
        <f t="shared" si="6"/>
        <v>173.18781397208215</v>
      </c>
      <c r="Q13">
        <f t="shared" si="7"/>
        <v>4.557574051896899</v>
      </c>
    </row>
    <row r="14" spans="1:17" x14ac:dyDescent="0.15">
      <c r="A14" t="s">
        <v>165</v>
      </c>
      <c r="B14" t="s">
        <v>164</v>
      </c>
      <c r="C14">
        <v>77590</v>
      </c>
      <c r="D14">
        <v>38</v>
      </c>
      <c r="E14">
        <f t="shared" si="0"/>
        <v>8.1020021066263084</v>
      </c>
      <c r="F14">
        <f t="shared" si="1"/>
        <v>1234.262823977964</v>
      </c>
      <c r="G14">
        <v>13</v>
      </c>
      <c r="H14">
        <v>197</v>
      </c>
      <c r="I14">
        <v>215</v>
      </c>
      <c r="J14">
        <f t="shared" si="2"/>
        <v>206</v>
      </c>
      <c r="K14">
        <v>241</v>
      </c>
      <c r="M14">
        <f t="shared" si="3"/>
        <v>380.67953802827765</v>
      </c>
      <c r="N14">
        <f t="shared" si="4"/>
        <v>327.13253750282183</v>
      </c>
      <c r="O14">
        <f t="shared" si="5"/>
        <v>8.6087509869163643</v>
      </c>
      <c r="P14">
        <f t="shared" si="6"/>
        <v>173.18781397208215</v>
      </c>
      <c r="Q14">
        <f t="shared" si="7"/>
        <v>4.557574051896899</v>
      </c>
    </row>
    <row r="15" spans="1:17" x14ac:dyDescent="0.15">
      <c r="A15" t="s">
        <v>165</v>
      </c>
      <c r="B15" t="s">
        <v>164</v>
      </c>
      <c r="C15">
        <v>77590</v>
      </c>
      <c r="D15">
        <v>38</v>
      </c>
      <c r="E15">
        <f t="shared" si="0"/>
        <v>8.1020021066263084</v>
      </c>
      <c r="F15">
        <f t="shared" si="1"/>
        <v>1234.262823977964</v>
      </c>
      <c r="G15">
        <v>14</v>
      </c>
      <c r="H15">
        <v>152</v>
      </c>
      <c r="I15">
        <v>134</v>
      </c>
      <c r="J15">
        <f t="shared" si="2"/>
        <v>143</v>
      </c>
      <c r="K15">
        <v>144</v>
      </c>
      <c r="M15">
        <f t="shared" si="3"/>
        <v>101.56332954957335</v>
      </c>
      <c r="N15">
        <f t="shared" si="4"/>
        <v>327.13253750282183</v>
      </c>
      <c r="O15">
        <f t="shared" si="5"/>
        <v>8.6087509869163643</v>
      </c>
      <c r="P15">
        <f t="shared" si="6"/>
        <v>173.18781397208215</v>
      </c>
      <c r="Q15">
        <f t="shared" si="7"/>
        <v>4.557574051896899</v>
      </c>
    </row>
    <row r="16" spans="1:17" x14ac:dyDescent="0.15">
      <c r="A16" t="s">
        <v>165</v>
      </c>
      <c r="B16" t="s">
        <v>164</v>
      </c>
      <c r="C16">
        <v>77590</v>
      </c>
      <c r="D16">
        <v>38</v>
      </c>
      <c r="E16">
        <f t="shared" si="0"/>
        <v>8.1020021066263084</v>
      </c>
      <c r="F16">
        <f t="shared" si="1"/>
        <v>1234.262823977964</v>
      </c>
      <c r="G16">
        <v>15</v>
      </c>
      <c r="H16">
        <v>231</v>
      </c>
      <c r="I16">
        <v>245</v>
      </c>
      <c r="J16">
        <f t="shared" si="2"/>
        <v>238</v>
      </c>
      <c r="K16">
        <v>236</v>
      </c>
      <c r="M16">
        <f t="shared" si="3"/>
        <v>473.56647277598057</v>
      </c>
      <c r="N16">
        <f t="shared" si="4"/>
        <v>327.13253750282183</v>
      </c>
      <c r="O16">
        <f t="shared" si="5"/>
        <v>8.6087509869163643</v>
      </c>
      <c r="P16">
        <f t="shared" si="6"/>
        <v>173.18781397208215</v>
      </c>
      <c r="Q16">
        <f t="shared" si="7"/>
        <v>4.557574051896899</v>
      </c>
    </row>
    <row r="17" spans="1:17" x14ac:dyDescent="0.15">
      <c r="A17" t="s">
        <v>165</v>
      </c>
      <c r="B17" t="s">
        <v>164</v>
      </c>
      <c r="C17">
        <v>77590</v>
      </c>
      <c r="D17">
        <v>38</v>
      </c>
      <c r="E17">
        <f t="shared" si="0"/>
        <v>8.1020021066263084</v>
      </c>
      <c r="F17">
        <f t="shared" si="1"/>
        <v>1234.262823977964</v>
      </c>
      <c r="G17">
        <v>16</v>
      </c>
      <c r="H17">
        <v>216</v>
      </c>
      <c r="I17">
        <v>223</v>
      </c>
      <c r="J17">
        <f t="shared" si="2"/>
        <v>219.5</v>
      </c>
      <c r="K17">
        <v>246</v>
      </c>
      <c r="M17">
        <f t="shared" si="3"/>
        <v>436.25855181774455</v>
      </c>
      <c r="N17">
        <f t="shared" si="4"/>
        <v>327.13253750282183</v>
      </c>
      <c r="O17">
        <f t="shared" si="5"/>
        <v>8.6087509869163643</v>
      </c>
      <c r="P17">
        <f t="shared" si="6"/>
        <v>173.18781397208215</v>
      </c>
      <c r="Q17">
        <f t="shared" si="7"/>
        <v>4.557574051896899</v>
      </c>
    </row>
    <row r="18" spans="1:17" x14ac:dyDescent="0.15">
      <c r="A18" t="s">
        <v>165</v>
      </c>
      <c r="B18" t="s">
        <v>164</v>
      </c>
      <c r="C18">
        <v>77590</v>
      </c>
      <c r="D18">
        <v>38</v>
      </c>
      <c r="E18">
        <f t="shared" si="0"/>
        <v>8.1020021066263084</v>
      </c>
      <c r="F18">
        <f t="shared" si="1"/>
        <v>1234.262823977964</v>
      </c>
      <c r="G18">
        <v>17</v>
      </c>
      <c r="H18">
        <v>239</v>
      </c>
      <c r="I18">
        <v>240</v>
      </c>
      <c r="J18">
        <f t="shared" si="2"/>
        <v>239.5</v>
      </c>
      <c r="K18">
        <v>247</v>
      </c>
      <c r="M18">
        <f t="shared" si="3"/>
        <v>509.14518491161573</v>
      </c>
      <c r="N18">
        <f t="shared" si="4"/>
        <v>327.13253750282183</v>
      </c>
      <c r="O18">
        <f t="shared" si="5"/>
        <v>8.6087509869163643</v>
      </c>
      <c r="P18">
        <f t="shared" si="6"/>
        <v>173.18781397208215</v>
      </c>
      <c r="Q18">
        <f t="shared" si="7"/>
        <v>4.557574051896899</v>
      </c>
    </row>
    <row r="19" spans="1:17" x14ac:dyDescent="0.15">
      <c r="A19" t="s">
        <v>165</v>
      </c>
      <c r="B19" t="s">
        <v>164</v>
      </c>
      <c r="C19">
        <v>77590</v>
      </c>
      <c r="D19">
        <v>38</v>
      </c>
      <c r="E19">
        <f t="shared" si="0"/>
        <v>8.1020021066263084</v>
      </c>
      <c r="F19">
        <f t="shared" si="1"/>
        <v>1234.262823977964</v>
      </c>
      <c r="G19">
        <v>18</v>
      </c>
      <c r="H19">
        <v>184</v>
      </c>
      <c r="I19">
        <v>205</v>
      </c>
      <c r="J19">
        <f t="shared" si="2"/>
        <v>194.5</v>
      </c>
      <c r="K19">
        <v>234</v>
      </c>
      <c r="M19">
        <f t="shared" si="3"/>
        <v>331.58268706592179</v>
      </c>
      <c r="N19">
        <f t="shared" si="4"/>
        <v>327.13253750282183</v>
      </c>
      <c r="O19">
        <f t="shared" si="5"/>
        <v>8.6087509869163643</v>
      </c>
      <c r="P19">
        <f t="shared" si="6"/>
        <v>173.18781397208215</v>
      </c>
      <c r="Q19">
        <f t="shared" si="7"/>
        <v>4.557574051896899</v>
      </c>
    </row>
    <row r="20" spans="1:17" x14ac:dyDescent="0.15">
      <c r="A20" t="s">
        <v>165</v>
      </c>
      <c r="B20" t="s">
        <v>164</v>
      </c>
      <c r="C20">
        <v>77590</v>
      </c>
      <c r="D20">
        <v>38</v>
      </c>
      <c r="E20">
        <f t="shared" si="0"/>
        <v>8.1020021066263084</v>
      </c>
      <c r="F20">
        <f t="shared" si="1"/>
        <v>1234.262823977964</v>
      </c>
      <c r="G20">
        <v>19</v>
      </c>
      <c r="H20">
        <v>160</v>
      </c>
      <c r="I20">
        <v>162</v>
      </c>
      <c r="J20">
        <f t="shared" si="2"/>
        <v>161</v>
      </c>
      <c r="K20">
        <v>90</v>
      </c>
      <c r="L20" t="s">
        <v>169</v>
      </c>
      <c r="M20">
        <f t="shared" si="3"/>
        <v>65.802550576350953</v>
      </c>
      <c r="N20">
        <f t="shared" si="4"/>
        <v>327.13253750282183</v>
      </c>
      <c r="O20">
        <f t="shared" si="5"/>
        <v>8.6087509869163643</v>
      </c>
      <c r="P20">
        <f t="shared" si="6"/>
        <v>173.18781397208215</v>
      </c>
      <c r="Q20">
        <f t="shared" si="7"/>
        <v>4.557574051896899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M6" sqref="M6"/>
    </sheetView>
  </sheetViews>
  <sheetFormatPr defaultRowHeight="10.5" x14ac:dyDescent="0.15"/>
  <cols>
    <col min="1" max="1" width="24.1640625" customWidth="1" collapsed="1"/>
    <col min="2" max="2" width="18.33203125" customWidth="1" collapsed="1"/>
    <col min="3" max="3" width="12.1640625" customWidth="1" collapsed="1"/>
    <col min="5" max="5" width="12.6640625" customWidth="1" collapsed="1"/>
    <col min="6" max="6" width="11.5" customWidth="1" collapsed="1"/>
    <col min="12" max="12" width="25.6640625" customWidth="1" collapsed="1"/>
  </cols>
  <sheetData>
    <row r="1" spans="1:17" x14ac:dyDescent="0.15">
      <c r="A1" t="s">
        <v>124</v>
      </c>
      <c r="B1" t="s">
        <v>126</v>
      </c>
      <c r="C1" t="s">
        <v>82</v>
      </c>
      <c r="D1" t="s">
        <v>84</v>
      </c>
      <c r="E1" t="s">
        <v>134</v>
      </c>
      <c r="F1" t="s">
        <v>135</v>
      </c>
      <c r="G1" t="s">
        <v>127</v>
      </c>
      <c r="H1" t="s">
        <v>128</v>
      </c>
      <c r="I1" t="s">
        <v>129</v>
      </c>
      <c r="J1" t="s">
        <v>89</v>
      </c>
      <c r="K1" t="s">
        <v>88</v>
      </c>
      <c r="L1" t="s">
        <v>92</v>
      </c>
      <c r="M1" t="s">
        <v>144</v>
      </c>
      <c r="N1" t="s">
        <v>143</v>
      </c>
      <c r="O1" t="s">
        <v>145</v>
      </c>
      <c r="P1" t="s">
        <v>146</v>
      </c>
      <c r="Q1" t="s">
        <v>147</v>
      </c>
    </row>
    <row r="2" spans="1:17" x14ac:dyDescent="0.15">
      <c r="A2" t="s">
        <v>166</v>
      </c>
      <c r="B2" t="s">
        <v>164</v>
      </c>
      <c r="C2">
        <v>77590</v>
      </c>
      <c r="D2">
        <v>38</v>
      </c>
      <c r="E2">
        <f>7^2*PI()/11</f>
        <v>13.994367275081805</v>
      </c>
      <c r="F2">
        <f>10000/E2</f>
        <v>714.57321388197909</v>
      </c>
      <c r="G2">
        <v>1</v>
      </c>
      <c r="H2">
        <v>301</v>
      </c>
      <c r="I2">
        <v>288</v>
      </c>
      <c r="J2">
        <f>AVERAGE(H2:I2)</f>
        <v>294.5</v>
      </c>
      <c r="K2">
        <v>255</v>
      </c>
      <c r="M2">
        <f>EXP(-3.53769+1.70873*LN(J2/10)+1.35448*LN(K2/10))</f>
        <v>756.83537150245718</v>
      </c>
      <c r="N2">
        <f>AVERAGE(M$2:M$3,M$8,M$12,M$14,M$15,M$17,M$19,M$21,M$23,M$25)/1000*F2</f>
        <v>328.08475202224912</v>
      </c>
      <c r="O2">
        <f>N2/D2</f>
        <v>8.6338092637433981</v>
      </c>
      <c r="P2">
        <f>N2/0.85*0.45</f>
        <v>173.69192754119072</v>
      </c>
      <c r="Q2">
        <f>P2/D2</f>
        <v>4.5708401984523874</v>
      </c>
    </row>
    <row r="3" spans="1:17" x14ac:dyDescent="0.15">
      <c r="A3" t="s">
        <v>166</v>
      </c>
      <c r="B3" t="s">
        <v>164</v>
      </c>
      <c r="C3">
        <v>77590</v>
      </c>
      <c r="D3">
        <v>38</v>
      </c>
      <c r="E3">
        <f>7^2*PI()/11</f>
        <v>13.994367275081805</v>
      </c>
      <c r="F3">
        <f t="shared" ref="F3:F25" si="0">10000/E3</f>
        <v>714.57321388197909</v>
      </c>
      <c r="G3">
        <v>2</v>
      </c>
      <c r="H3">
        <v>269</v>
      </c>
      <c r="I3">
        <v>268</v>
      </c>
      <c r="J3">
        <f t="shared" ref="J3:J25" si="1">AVERAGE(H3:I3)</f>
        <v>268.5</v>
      </c>
      <c r="K3">
        <v>268</v>
      </c>
      <c r="M3">
        <f t="shared" ref="M3:M25" si="2">EXP(-3.53769+1.70873*LN(J3/10)+1.35448*LN(K3/10))</f>
        <v>691.29075177633501</v>
      </c>
      <c r="N3">
        <f>AVERAGE(M$2:M$3,M$8,M$12,M$14,M$15,M$17,M$19,M$21,M$23,M$25)/1000*F3</f>
        <v>328.08475202224912</v>
      </c>
      <c r="O3">
        <f t="shared" ref="O3:O25" si="3">N3/D3</f>
        <v>8.6338092637433981</v>
      </c>
      <c r="P3">
        <f>N3/0.85*0.45</f>
        <v>173.69192754119072</v>
      </c>
      <c r="Q3">
        <f t="shared" ref="Q3:Q25" si="4">P3/D3</f>
        <v>4.5708401984523874</v>
      </c>
    </row>
    <row r="4" spans="1:17" x14ac:dyDescent="0.15">
      <c r="A4" t="s">
        <v>166</v>
      </c>
      <c r="B4" t="s">
        <v>167</v>
      </c>
      <c r="D4">
        <v>38</v>
      </c>
      <c r="E4">
        <f>7^2*PI()/13</f>
        <v>11.841387694299989</v>
      </c>
      <c r="F4">
        <f t="shared" si="0"/>
        <v>844.49561640597528</v>
      </c>
      <c r="G4">
        <v>3</v>
      </c>
      <c r="H4">
        <v>192</v>
      </c>
      <c r="I4">
        <v>186</v>
      </c>
      <c r="J4">
        <f t="shared" si="1"/>
        <v>189</v>
      </c>
      <c r="K4">
        <v>152</v>
      </c>
      <c r="M4">
        <f t="shared" si="2"/>
        <v>176.00006814198332</v>
      </c>
      <c r="N4">
        <f>AVERAGE(M$4:M$7,M$9:M$11,M$13,M$16,M$18,M$20,M$22,M$24)/1000*F4</f>
        <v>168.09033353946572</v>
      </c>
      <c r="O4">
        <f t="shared" si="3"/>
        <v>4.42342982998594</v>
      </c>
      <c r="P4">
        <f>N4/0.85*0.35</f>
        <v>69.213666751544707</v>
      </c>
      <c r="Q4">
        <f t="shared" si="4"/>
        <v>1.8214122829353869</v>
      </c>
    </row>
    <row r="5" spans="1:17" x14ac:dyDescent="0.15">
      <c r="A5" t="s">
        <v>166</v>
      </c>
      <c r="B5" t="s">
        <v>167</v>
      </c>
      <c r="D5">
        <v>38</v>
      </c>
      <c r="E5">
        <f t="shared" ref="E5:E13" si="5">7^2*PI()/13</f>
        <v>11.841387694299989</v>
      </c>
      <c r="F5">
        <f t="shared" si="0"/>
        <v>844.49561640597528</v>
      </c>
      <c r="G5">
        <v>4</v>
      </c>
      <c r="H5">
        <v>191</v>
      </c>
      <c r="I5">
        <v>179</v>
      </c>
      <c r="J5">
        <f t="shared" si="1"/>
        <v>185</v>
      </c>
      <c r="K5">
        <v>201</v>
      </c>
      <c r="M5">
        <f t="shared" si="2"/>
        <v>247.74682508763138</v>
      </c>
      <c r="N5">
        <f t="shared" ref="N5:N13" si="6">AVERAGE(M$4:M$7,M$9:M$11,M$13,M$16,M$18,M$20,M$22,M$24)/1000*F5</f>
        <v>168.09033353946572</v>
      </c>
      <c r="O5">
        <f t="shared" si="3"/>
        <v>4.42342982998594</v>
      </c>
      <c r="P5">
        <f t="shared" ref="P5:P13" si="7">N5/0.85*0.35</f>
        <v>69.213666751544707</v>
      </c>
      <c r="Q5">
        <f t="shared" si="4"/>
        <v>1.8214122829353869</v>
      </c>
    </row>
    <row r="6" spans="1:17" x14ac:dyDescent="0.15">
      <c r="A6" t="s">
        <v>166</v>
      </c>
      <c r="B6" t="s">
        <v>167</v>
      </c>
      <c r="D6">
        <v>38</v>
      </c>
      <c r="E6">
        <f t="shared" si="5"/>
        <v>11.841387694299989</v>
      </c>
      <c r="F6">
        <f t="shared" si="0"/>
        <v>844.49561640597528</v>
      </c>
      <c r="G6">
        <v>5</v>
      </c>
      <c r="H6">
        <v>171</v>
      </c>
      <c r="I6">
        <v>183</v>
      </c>
      <c r="J6">
        <f t="shared" si="1"/>
        <v>177</v>
      </c>
      <c r="K6">
        <v>175</v>
      </c>
      <c r="M6">
        <f t="shared" si="2"/>
        <v>190.42338892213118</v>
      </c>
      <c r="N6">
        <f t="shared" si="6"/>
        <v>168.09033353946572</v>
      </c>
      <c r="O6">
        <f t="shared" si="3"/>
        <v>4.42342982998594</v>
      </c>
      <c r="P6">
        <f t="shared" si="7"/>
        <v>69.213666751544707</v>
      </c>
      <c r="Q6">
        <f t="shared" si="4"/>
        <v>1.8214122829353869</v>
      </c>
    </row>
    <row r="7" spans="1:17" x14ac:dyDescent="0.15">
      <c r="A7" t="s">
        <v>166</v>
      </c>
      <c r="B7" t="s">
        <v>167</v>
      </c>
      <c r="D7">
        <v>38</v>
      </c>
      <c r="E7">
        <f t="shared" si="5"/>
        <v>11.841387694299989</v>
      </c>
      <c r="F7">
        <f t="shared" si="0"/>
        <v>844.49561640597528</v>
      </c>
      <c r="G7">
        <v>6</v>
      </c>
      <c r="H7">
        <v>117</v>
      </c>
      <c r="I7">
        <v>136</v>
      </c>
      <c r="J7">
        <f t="shared" si="1"/>
        <v>126.5</v>
      </c>
      <c r="K7">
        <v>90</v>
      </c>
      <c r="L7" t="s">
        <v>169</v>
      </c>
      <c r="M7">
        <f t="shared" si="2"/>
        <v>43.579103537127558</v>
      </c>
      <c r="N7">
        <f t="shared" si="6"/>
        <v>168.09033353946572</v>
      </c>
      <c r="O7">
        <f t="shared" si="3"/>
        <v>4.42342982998594</v>
      </c>
      <c r="P7">
        <f t="shared" si="7"/>
        <v>69.213666751544707</v>
      </c>
      <c r="Q7">
        <f t="shared" si="4"/>
        <v>1.8214122829353869</v>
      </c>
    </row>
    <row r="8" spans="1:17" x14ac:dyDescent="0.15">
      <c r="A8" t="s">
        <v>166</v>
      </c>
      <c r="B8" t="s">
        <v>164</v>
      </c>
      <c r="C8">
        <v>77590</v>
      </c>
      <c r="D8">
        <v>38</v>
      </c>
      <c r="E8">
        <f>7^2*PI()/11</f>
        <v>13.994367275081805</v>
      </c>
      <c r="F8">
        <f t="shared" si="0"/>
        <v>714.57321388197909</v>
      </c>
      <c r="G8">
        <v>7</v>
      </c>
      <c r="H8">
        <v>288</v>
      </c>
      <c r="I8">
        <v>303</v>
      </c>
      <c r="J8">
        <f t="shared" si="1"/>
        <v>295.5</v>
      </c>
      <c r="K8">
        <v>242</v>
      </c>
      <c r="M8">
        <f t="shared" si="2"/>
        <v>709.14767431655275</v>
      </c>
      <c r="N8">
        <f>AVERAGE(M$2:M$3,M$8,M$12,M$14,M$15,M$17,M$19,M$21,M$23,M$25)/1000*F8</f>
        <v>328.08475202224912</v>
      </c>
      <c r="O8">
        <f t="shared" si="3"/>
        <v>8.6338092637433981</v>
      </c>
      <c r="P8">
        <f>N8/0.85*0.45</f>
        <v>173.69192754119072</v>
      </c>
      <c r="Q8">
        <f t="shared" si="4"/>
        <v>4.5708401984523874</v>
      </c>
    </row>
    <row r="9" spans="1:17" x14ac:dyDescent="0.15">
      <c r="A9" t="s">
        <v>166</v>
      </c>
      <c r="B9" t="s">
        <v>167</v>
      </c>
      <c r="D9">
        <v>38</v>
      </c>
      <c r="E9">
        <f t="shared" si="5"/>
        <v>11.841387694299989</v>
      </c>
      <c r="F9">
        <f t="shared" si="0"/>
        <v>844.49561640597528</v>
      </c>
      <c r="G9">
        <v>8</v>
      </c>
      <c r="H9">
        <v>127</v>
      </c>
      <c r="I9">
        <v>130</v>
      </c>
      <c r="J9">
        <f t="shared" si="1"/>
        <v>128.5</v>
      </c>
      <c r="K9">
        <v>118</v>
      </c>
      <c r="M9">
        <f t="shared" si="2"/>
        <v>64.604019107573237</v>
      </c>
      <c r="N9">
        <f t="shared" si="6"/>
        <v>168.09033353946572</v>
      </c>
      <c r="O9">
        <f t="shared" si="3"/>
        <v>4.42342982998594</v>
      </c>
      <c r="P9">
        <f t="shared" si="7"/>
        <v>69.213666751544707</v>
      </c>
      <c r="Q9">
        <f t="shared" si="4"/>
        <v>1.8214122829353869</v>
      </c>
    </row>
    <row r="10" spans="1:17" x14ac:dyDescent="0.15">
      <c r="A10" t="s">
        <v>166</v>
      </c>
      <c r="B10" t="s">
        <v>167</v>
      </c>
      <c r="D10">
        <v>38</v>
      </c>
      <c r="E10">
        <f t="shared" si="5"/>
        <v>11.841387694299989</v>
      </c>
      <c r="F10">
        <f t="shared" si="0"/>
        <v>844.49561640597528</v>
      </c>
      <c r="G10">
        <v>9</v>
      </c>
      <c r="H10">
        <v>163</v>
      </c>
      <c r="I10">
        <v>164</v>
      </c>
      <c r="J10">
        <f t="shared" si="1"/>
        <v>163.5</v>
      </c>
      <c r="K10">
        <v>132</v>
      </c>
      <c r="M10">
        <f t="shared" si="2"/>
        <v>113.49322305514384</v>
      </c>
      <c r="N10">
        <f t="shared" si="6"/>
        <v>168.09033353946572</v>
      </c>
      <c r="O10">
        <f t="shared" si="3"/>
        <v>4.42342982998594</v>
      </c>
      <c r="P10">
        <f t="shared" si="7"/>
        <v>69.213666751544707</v>
      </c>
      <c r="Q10">
        <f t="shared" si="4"/>
        <v>1.8214122829353869</v>
      </c>
    </row>
    <row r="11" spans="1:17" x14ac:dyDescent="0.15">
      <c r="A11" t="s">
        <v>166</v>
      </c>
      <c r="B11" t="s">
        <v>167</v>
      </c>
      <c r="D11">
        <v>38</v>
      </c>
      <c r="E11">
        <f t="shared" si="5"/>
        <v>11.841387694299989</v>
      </c>
      <c r="F11">
        <f t="shared" si="0"/>
        <v>844.49561640597528</v>
      </c>
      <c r="G11">
        <v>10</v>
      </c>
      <c r="H11">
        <v>316</v>
      </c>
      <c r="I11">
        <v>304</v>
      </c>
      <c r="J11">
        <f t="shared" si="1"/>
        <v>310</v>
      </c>
      <c r="K11">
        <v>220</v>
      </c>
      <c r="M11">
        <f t="shared" si="2"/>
        <v>676.42537976187293</v>
      </c>
      <c r="N11">
        <f t="shared" si="6"/>
        <v>168.09033353946572</v>
      </c>
      <c r="O11">
        <f t="shared" si="3"/>
        <v>4.42342982998594</v>
      </c>
      <c r="P11">
        <f t="shared" si="7"/>
        <v>69.213666751544707</v>
      </c>
      <c r="Q11">
        <f t="shared" si="4"/>
        <v>1.8214122829353869</v>
      </c>
    </row>
    <row r="12" spans="1:17" x14ac:dyDescent="0.15">
      <c r="A12" t="s">
        <v>166</v>
      </c>
      <c r="B12" t="s">
        <v>164</v>
      </c>
      <c r="C12">
        <v>77590</v>
      </c>
      <c r="D12">
        <v>38</v>
      </c>
      <c r="E12">
        <f>7^2*PI()/11</f>
        <v>13.994367275081805</v>
      </c>
      <c r="F12">
        <f t="shared" si="0"/>
        <v>714.57321388197909</v>
      </c>
      <c r="G12">
        <v>11</v>
      </c>
      <c r="H12">
        <v>261</v>
      </c>
      <c r="I12">
        <v>248</v>
      </c>
      <c r="J12">
        <f t="shared" si="1"/>
        <v>254.5</v>
      </c>
      <c r="K12">
        <v>238</v>
      </c>
      <c r="M12">
        <f t="shared" si="2"/>
        <v>537.1401335764665</v>
      </c>
      <c r="N12">
        <f>AVERAGE(M$2:M$3,M$8,M$12,M$14,M$15,M$17,M$19,M$21,M$23,M$25)/1000*F12</f>
        <v>328.08475202224912</v>
      </c>
      <c r="O12">
        <f t="shared" si="3"/>
        <v>8.6338092637433981</v>
      </c>
      <c r="P12">
        <f>N12/0.85*0.45</f>
        <v>173.69192754119072</v>
      </c>
      <c r="Q12">
        <f t="shared" si="4"/>
        <v>4.5708401984523874</v>
      </c>
    </row>
    <row r="13" spans="1:17" x14ac:dyDescent="0.15">
      <c r="A13" t="s">
        <v>166</v>
      </c>
      <c r="B13" t="s">
        <v>167</v>
      </c>
      <c r="D13">
        <v>38</v>
      </c>
      <c r="E13">
        <f t="shared" si="5"/>
        <v>11.841387694299989</v>
      </c>
      <c r="F13">
        <f t="shared" si="0"/>
        <v>844.49561640597528</v>
      </c>
      <c r="G13">
        <v>12</v>
      </c>
      <c r="H13">
        <v>124</v>
      </c>
      <c r="I13">
        <v>117</v>
      </c>
      <c r="J13">
        <f t="shared" si="1"/>
        <v>120.5</v>
      </c>
      <c r="K13">
        <v>121</v>
      </c>
      <c r="M13">
        <f t="shared" si="2"/>
        <v>59.886216960326671</v>
      </c>
      <c r="N13">
        <f t="shared" si="6"/>
        <v>168.09033353946572</v>
      </c>
      <c r="O13">
        <f t="shared" si="3"/>
        <v>4.42342982998594</v>
      </c>
      <c r="P13">
        <f t="shared" si="7"/>
        <v>69.213666751544707</v>
      </c>
      <c r="Q13">
        <f t="shared" si="4"/>
        <v>1.8214122829353869</v>
      </c>
    </row>
    <row r="14" spans="1:17" x14ac:dyDescent="0.15">
      <c r="A14" t="s">
        <v>166</v>
      </c>
      <c r="B14" t="s">
        <v>164</v>
      </c>
      <c r="C14">
        <v>77590</v>
      </c>
      <c r="D14">
        <v>38</v>
      </c>
      <c r="E14">
        <f>7^2*PI()/11</f>
        <v>13.994367275081805</v>
      </c>
      <c r="F14">
        <f t="shared" si="0"/>
        <v>714.57321388197909</v>
      </c>
      <c r="G14">
        <v>13</v>
      </c>
      <c r="H14">
        <v>239</v>
      </c>
      <c r="I14">
        <v>238</v>
      </c>
      <c r="J14">
        <f t="shared" si="1"/>
        <v>238.5</v>
      </c>
      <c r="K14">
        <v>239</v>
      </c>
      <c r="M14">
        <f t="shared" si="2"/>
        <v>483.46926287745941</v>
      </c>
      <c r="N14">
        <f>AVERAGE(M$2:M$3,M$8,M$12,M$14,M$15,M$17,M$19,M$21,M$23,M$25)/1000*F14</f>
        <v>328.08475202224912</v>
      </c>
      <c r="O14">
        <f t="shared" si="3"/>
        <v>8.6338092637433981</v>
      </c>
      <c r="P14">
        <f>N14/0.85*0.45</f>
        <v>173.69192754119072</v>
      </c>
      <c r="Q14">
        <f t="shared" si="4"/>
        <v>4.5708401984523874</v>
      </c>
    </row>
    <row r="15" spans="1:17" x14ac:dyDescent="0.15">
      <c r="A15" t="s">
        <v>166</v>
      </c>
      <c r="B15" t="s">
        <v>164</v>
      </c>
      <c r="C15">
        <v>77590</v>
      </c>
      <c r="D15">
        <v>38</v>
      </c>
      <c r="E15">
        <f>7^2*PI()/11</f>
        <v>13.994367275081805</v>
      </c>
      <c r="F15">
        <f t="shared" si="0"/>
        <v>714.57321388197909</v>
      </c>
      <c r="G15">
        <v>14</v>
      </c>
      <c r="H15">
        <v>146</v>
      </c>
      <c r="I15">
        <v>138</v>
      </c>
      <c r="J15">
        <f t="shared" si="1"/>
        <v>142</v>
      </c>
      <c r="K15">
        <v>171</v>
      </c>
      <c r="L15" t="s">
        <v>168</v>
      </c>
      <c r="M15">
        <f t="shared" si="2"/>
        <v>126.65402284641368</v>
      </c>
      <c r="N15">
        <f>AVERAGE(M$2:M$3,M$8,M$12,M$14,M$15,M$17,M$19,M$21,M$23,M$25)/1000*F15</f>
        <v>328.08475202224912</v>
      </c>
      <c r="O15">
        <f t="shared" si="3"/>
        <v>8.6338092637433981</v>
      </c>
      <c r="P15">
        <f>N15/0.85*0.45</f>
        <v>173.69192754119072</v>
      </c>
      <c r="Q15">
        <f t="shared" si="4"/>
        <v>4.5708401984523874</v>
      </c>
    </row>
    <row r="16" spans="1:17" x14ac:dyDescent="0.15">
      <c r="A16" t="s">
        <v>166</v>
      </c>
      <c r="B16" t="s">
        <v>167</v>
      </c>
      <c r="D16">
        <v>38</v>
      </c>
      <c r="E16">
        <f>7^2*PI()/13</f>
        <v>11.841387694299989</v>
      </c>
      <c r="F16">
        <f t="shared" si="0"/>
        <v>844.49561640597528</v>
      </c>
      <c r="G16">
        <v>15</v>
      </c>
      <c r="H16">
        <v>191</v>
      </c>
      <c r="I16">
        <v>209</v>
      </c>
      <c r="J16">
        <f t="shared" si="1"/>
        <v>200</v>
      </c>
      <c r="K16">
        <v>246</v>
      </c>
      <c r="M16">
        <f t="shared" si="2"/>
        <v>372.13757449670203</v>
      </c>
      <c r="N16">
        <f>AVERAGE(M$4:M$7,M$9:M$11,M$13,M$16,M$18,M$20,M$22,M$24)/1000*F16</f>
        <v>168.09033353946572</v>
      </c>
      <c r="O16">
        <f t="shared" si="3"/>
        <v>4.42342982998594</v>
      </c>
      <c r="P16">
        <f>N16/0.85*0.35</f>
        <v>69.213666751544707</v>
      </c>
      <c r="Q16">
        <f t="shared" si="4"/>
        <v>1.8214122829353869</v>
      </c>
    </row>
    <row r="17" spans="1:17" x14ac:dyDescent="0.15">
      <c r="A17" t="s">
        <v>166</v>
      </c>
      <c r="B17" t="s">
        <v>164</v>
      </c>
      <c r="C17">
        <v>77590</v>
      </c>
      <c r="D17">
        <v>38</v>
      </c>
      <c r="E17">
        <f>7^2*PI()/11</f>
        <v>13.994367275081805</v>
      </c>
      <c r="F17">
        <f t="shared" si="0"/>
        <v>714.57321388197909</v>
      </c>
      <c r="G17">
        <v>16</v>
      </c>
      <c r="H17">
        <v>182</v>
      </c>
      <c r="I17">
        <v>188</v>
      </c>
      <c r="J17">
        <f t="shared" si="1"/>
        <v>185</v>
      </c>
      <c r="K17">
        <v>255</v>
      </c>
      <c r="M17">
        <f t="shared" si="2"/>
        <v>341.9681393480642</v>
      </c>
      <c r="N17">
        <f>AVERAGE(M$2:M$3,M$8,M$12,M$14,M$15,M$17,M$19,M$21,M$23,M$25)/1000*F17</f>
        <v>328.08475202224912</v>
      </c>
      <c r="O17">
        <f t="shared" si="3"/>
        <v>8.6338092637433981</v>
      </c>
      <c r="P17">
        <f>N17/0.85*0.45</f>
        <v>173.69192754119072</v>
      </c>
      <c r="Q17">
        <f t="shared" si="4"/>
        <v>4.5708401984523874</v>
      </c>
    </row>
    <row r="18" spans="1:17" x14ac:dyDescent="0.15">
      <c r="A18" t="s">
        <v>166</v>
      </c>
      <c r="B18" t="s">
        <v>167</v>
      </c>
      <c r="D18">
        <v>38</v>
      </c>
      <c r="E18">
        <f>7^2*PI()/13</f>
        <v>11.841387694299989</v>
      </c>
      <c r="F18">
        <f t="shared" si="0"/>
        <v>844.49561640597528</v>
      </c>
      <c r="G18">
        <v>17</v>
      </c>
      <c r="H18">
        <v>115</v>
      </c>
      <c r="I18">
        <v>129</v>
      </c>
      <c r="J18">
        <f t="shared" si="1"/>
        <v>122</v>
      </c>
      <c r="K18">
        <v>177</v>
      </c>
      <c r="M18">
        <f t="shared" si="2"/>
        <v>102.38850872576363</v>
      </c>
      <c r="N18">
        <f>AVERAGE(M$4:M$7,M$9:M$11,M$13,M$16,M$18,M$20,M$22,M$24)/1000*F18</f>
        <v>168.09033353946572</v>
      </c>
      <c r="O18">
        <f t="shared" si="3"/>
        <v>4.42342982998594</v>
      </c>
      <c r="P18">
        <f>N18/0.85*0.35</f>
        <v>69.213666751544707</v>
      </c>
      <c r="Q18">
        <f t="shared" si="4"/>
        <v>1.8214122829353869</v>
      </c>
    </row>
    <row r="19" spans="1:17" x14ac:dyDescent="0.15">
      <c r="A19" t="s">
        <v>166</v>
      </c>
      <c r="B19" t="s">
        <v>164</v>
      </c>
      <c r="C19">
        <v>77590</v>
      </c>
      <c r="D19">
        <v>38</v>
      </c>
      <c r="E19">
        <f>7^2*PI()/11</f>
        <v>13.994367275081805</v>
      </c>
      <c r="F19">
        <f t="shared" si="0"/>
        <v>714.57321388197909</v>
      </c>
      <c r="G19">
        <v>18</v>
      </c>
      <c r="H19">
        <v>213</v>
      </c>
      <c r="I19">
        <v>227</v>
      </c>
      <c r="J19">
        <f t="shared" si="1"/>
        <v>220</v>
      </c>
      <c r="K19">
        <v>222</v>
      </c>
      <c r="M19">
        <f t="shared" si="2"/>
        <v>381.10692346349776</v>
      </c>
      <c r="N19">
        <f>AVERAGE(M$2:M$3,M$8,M$12,M$14,M$15,M$17,M$19,M$21,M$23,M$25)/1000*F19</f>
        <v>328.08475202224912</v>
      </c>
      <c r="O19">
        <f t="shared" si="3"/>
        <v>8.6338092637433981</v>
      </c>
      <c r="P19">
        <f>N19/0.85*0.45</f>
        <v>173.69192754119072</v>
      </c>
      <c r="Q19">
        <f t="shared" si="4"/>
        <v>4.5708401984523874</v>
      </c>
    </row>
    <row r="20" spans="1:17" x14ac:dyDescent="0.15">
      <c r="A20" t="s">
        <v>166</v>
      </c>
      <c r="B20" t="s">
        <v>167</v>
      </c>
      <c r="D20">
        <v>38</v>
      </c>
      <c r="E20">
        <f>7^2*PI()/13</f>
        <v>11.841387694299989</v>
      </c>
      <c r="F20">
        <f t="shared" si="0"/>
        <v>844.49561640597528</v>
      </c>
      <c r="G20">
        <v>19</v>
      </c>
      <c r="H20">
        <v>205</v>
      </c>
      <c r="I20">
        <v>223</v>
      </c>
      <c r="J20">
        <f t="shared" si="1"/>
        <v>214</v>
      </c>
      <c r="K20">
        <v>184</v>
      </c>
      <c r="M20">
        <f t="shared" si="2"/>
        <v>281.89613807655559</v>
      </c>
      <c r="N20">
        <f>AVERAGE(M$4:M$7,M$9:M$11,M$13,M$16,M$18,M$20,M$22,M$24)/1000*F20</f>
        <v>168.09033353946572</v>
      </c>
      <c r="O20">
        <f t="shared" si="3"/>
        <v>4.42342982998594</v>
      </c>
      <c r="P20">
        <f>N20/0.85*0.35</f>
        <v>69.213666751544707</v>
      </c>
      <c r="Q20">
        <f t="shared" si="4"/>
        <v>1.8214122829353869</v>
      </c>
    </row>
    <row r="21" spans="1:17" x14ac:dyDescent="0.15">
      <c r="A21" t="s">
        <v>166</v>
      </c>
      <c r="B21" t="s">
        <v>164</v>
      </c>
      <c r="C21">
        <v>77590</v>
      </c>
      <c r="D21">
        <v>38</v>
      </c>
      <c r="E21">
        <f>7^2*PI()/11</f>
        <v>13.994367275081805</v>
      </c>
      <c r="F21">
        <f t="shared" si="0"/>
        <v>714.57321388197909</v>
      </c>
      <c r="G21">
        <v>20</v>
      </c>
      <c r="H21">
        <v>209</v>
      </c>
      <c r="I21">
        <v>232</v>
      </c>
      <c r="J21">
        <f t="shared" si="1"/>
        <v>220.5</v>
      </c>
      <c r="K21">
        <v>234</v>
      </c>
      <c r="M21">
        <f t="shared" si="2"/>
        <v>410.8646862708797</v>
      </c>
      <c r="N21">
        <f>AVERAGE(M$2:M$3,M$8,M$12,M$14,M$15,M$17,M$19,M$21,M$23,M$25)/1000*F21</f>
        <v>328.08475202224912</v>
      </c>
      <c r="O21">
        <f t="shared" si="3"/>
        <v>8.6338092637433981</v>
      </c>
      <c r="P21">
        <f>N21/0.85*0.45</f>
        <v>173.69192754119072</v>
      </c>
      <c r="Q21">
        <f t="shared" si="4"/>
        <v>4.5708401984523874</v>
      </c>
    </row>
    <row r="22" spans="1:17" x14ac:dyDescent="0.15">
      <c r="A22" t="s">
        <v>166</v>
      </c>
      <c r="B22" t="s">
        <v>167</v>
      </c>
      <c r="D22">
        <v>38</v>
      </c>
      <c r="E22">
        <f>7^2*PI()/13</f>
        <v>11.841387694299989</v>
      </c>
      <c r="F22">
        <f t="shared" si="0"/>
        <v>844.49561640597528</v>
      </c>
      <c r="G22">
        <v>21</v>
      </c>
      <c r="H22">
        <v>91</v>
      </c>
      <c r="I22">
        <v>100</v>
      </c>
      <c r="J22">
        <f t="shared" si="1"/>
        <v>95.5</v>
      </c>
      <c r="K22">
        <v>137</v>
      </c>
      <c r="M22">
        <f t="shared" si="2"/>
        <v>47.624144716326953</v>
      </c>
      <c r="N22">
        <f>AVERAGE(M$4:M$7,M$9:M$11,M$13,M$16,M$18,M$20,M$22,M$24)/1000*F22</f>
        <v>168.09033353946572</v>
      </c>
      <c r="O22">
        <f t="shared" si="3"/>
        <v>4.42342982998594</v>
      </c>
      <c r="P22">
        <f>N22/0.85*0.35</f>
        <v>69.213666751544707</v>
      </c>
      <c r="Q22">
        <f t="shared" si="4"/>
        <v>1.8214122829353869</v>
      </c>
    </row>
    <row r="23" spans="1:17" x14ac:dyDescent="0.15">
      <c r="A23" t="s">
        <v>166</v>
      </c>
      <c r="B23" t="s">
        <v>164</v>
      </c>
      <c r="C23">
        <v>77590</v>
      </c>
      <c r="D23">
        <v>38</v>
      </c>
      <c r="E23">
        <f>7^2*PI()/11</f>
        <v>13.994367275081805</v>
      </c>
      <c r="F23">
        <f t="shared" si="0"/>
        <v>714.57321388197909</v>
      </c>
      <c r="G23">
        <v>22</v>
      </c>
      <c r="H23">
        <v>180</v>
      </c>
      <c r="I23">
        <v>181</v>
      </c>
      <c r="J23">
        <f t="shared" si="1"/>
        <v>180.5</v>
      </c>
      <c r="K23">
        <v>233</v>
      </c>
      <c r="M23">
        <f t="shared" si="2"/>
        <v>290.15983716361205</v>
      </c>
      <c r="N23">
        <f>AVERAGE(M$2:M$3,M$8,M$12,M$14,M$15,M$17,M$19,M$21,M$23,M$25)/1000*F23</f>
        <v>328.08475202224912</v>
      </c>
      <c r="O23">
        <f t="shared" si="3"/>
        <v>8.6338092637433981</v>
      </c>
      <c r="P23">
        <f>N23/0.85*0.45</f>
        <v>173.69192754119072</v>
      </c>
      <c r="Q23">
        <f t="shared" si="4"/>
        <v>4.5708401984523874</v>
      </c>
    </row>
    <row r="24" spans="1:17" x14ac:dyDescent="0.15">
      <c r="A24" t="s">
        <v>166</v>
      </c>
      <c r="B24" t="s">
        <v>167</v>
      </c>
      <c r="D24">
        <v>38</v>
      </c>
      <c r="E24">
        <f>7^2*PI()/13</f>
        <v>11.841387694299989</v>
      </c>
      <c r="F24">
        <f t="shared" si="0"/>
        <v>844.49561640597528</v>
      </c>
      <c r="G24">
        <v>23</v>
      </c>
      <c r="H24">
        <v>179</v>
      </c>
      <c r="I24">
        <v>175</v>
      </c>
      <c r="J24">
        <f t="shared" si="1"/>
        <v>177</v>
      </c>
      <c r="K24">
        <v>189</v>
      </c>
      <c r="M24">
        <f t="shared" si="2"/>
        <v>211.34505864737494</v>
      </c>
      <c r="N24">
        <f>AVERAGE(M$4:M$7,M$9:M$11,M$13,M$16,M$18,M$20,M$22,M$24)/1000*F24</f>
        <v>168.09033353946572</v>
      </c>
      <c r="O24">
        <f t="shared" si="3"/>
        <v>4.42342982998594</v>
      </c>
      <c r="P24">
        <f>N24/0.85*0.35</f>
        <v>69.213666751544707</v>
      </c>
      <c r="Q24">
        <f t="shared" si="4"/>
        <v>1.8214122829353869</v>
      </c>
    </row>
    <row r="25" spans="1:17" x14ac:dyDescent="0.15">
      <c r="A25" t="s">
        <v>166</v>
      </c>
      <c r="B25" t="s">
        <v>164</v>
      </c>
      <c r="C25">
        <v>77590</v>
      </c>
      <c r="D25">
        <v>38</v>
      </c>
      <c r="E25">
        <f>7^2*PI()/11</f>
        <v>13.994367275081805</v>
      </c>
      <c r="F25">
        <f t="shared" si="0"/>
        <v>714.57321388197909</v>
      </c>
      <c r="G25">
        <v>24</v>
      </c>
      <c r="H25">
        <v>197</v>
      </c>
      <c r="I25">
        <v>174</v>
      </c>
      <c r="J25">
        <f t="shared" si="1"/>
        <v>185.5</v>
      </c>
      <c r="K25">
        <v>243</v>
      </c>
      <c r="M25">
        <f t="shared" si="2"/>
        <v>321.83556572710285</v>
      </c>
      <c r="N25">
        <f>AVERAGE(M$2:M$3,M$8,M$12,M$14,M$15,M$17,M$19,M$21,M$23,M$25)/1000*F25</f>
        <v>328.08475202224912</v>
      </c>
      <c r="O25">
        <f t="shared" si="3"/>
        <v>8.6338092637433981</v>
      </c>
      <c r="P25">
        <f>N25/0.85*0.45</f>
        <v>173.69192754119072</v>
      </c>
      <c r="Q25">
        <f t="shared" si="4"/>
        <v>4.5708401984523874</v>
      </c>
    </row>
    <row r="26" spans="1:17" x14ac:dyDescent="0.15">
      <c r="Q26">
        <f>Q24+Q25</f>
        <v>6.3922524813877741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L29" sqref="L29"/>
    </sheetView>
  </sheetViews>
  <sheetFormatPr defaultColWidth="9.1640625" defaultRowHeight="15" x14ac:dyDescent="0.25"/>
  <cols>
    <col min="1" max="5" width="9.1640625" style="4" collapsed="1"/>
    <col min="6" max="6" width="11.6640625" style="6" customWidth="1" collapsed="1"/>
    <col min="7" max="7" width="11.6640625" style="5" customWidth="1" collapsed="1"/>
    <col min="8" max="16384" width="9.1640625" style="4" collapsed="1"/>
  </cols>
  <sheetData>
    <row r="1" spans="2:10" s="7" customFormat="1" ht="15.75" customHeight="1" x14ac:dyDescent="0.25">
      <c r="B1" s="7" t="s">
        <v>4</v>
      </c>
      <c r="C1" s="7" t="s">
        <v>116</v>
      </c>
      <c r="D1" s="7" t="s">
        <v>117</v>
      </c>
      <c r="F1" s="9" t="s">
        <v>104</v>
      </c>
      <c r="G1" s="8" t="s">
        <v>118</v>
      </c>
      <c r="J1" s="4"/>
    </row>
    <row r="2" spans="2:10" x14ac:dyDescent="0.25">
      <c r="B2" s="4">
        <v>100</v>
      </c>
      <c r="C2" s="4">
        <v>0</v>
      </c>
      <c r="D2" s="4">
        <v>0</v>
      </c>
      <c r="F2" s="6">
        <f t="shared" ref="F2:F8" si="0">0.01*(B2*LN(0.001)+C2*LN(0.026)+D2*LN(1.025))</f>
        <v>-6.9077552789821368</v>
      </c>
      <c r="G2" s="5">
        <f t="shared" ref="G2:G8" si="1">EXP(F2)</f>
        <v>1.0000000000000002E-3</v>
      </c>
    </row>
    <row r="3" spans="2:10" x14ac:dyDescent="0.25">
      <c r="B3" s="4">
        <v>0</v>
      </c>
      <c r="C3" s="4">
        <v>100</v>
      </c>
      <c r="D3" s="4">
        <v>0</v>
      </c>
      <c r="F3" s="6">
        <f t="shared" si="0"/>
        <v>-3.6496587409606556</v>
      </c>
      <c r="G3" s="5">
        <f t="shared" si="1"/>
        <v>2.5999999999999985E-2</v>
      </c>
    </row>
    <row r="4" spans="2:10" x14ac:dyDescent="0.25">
      <c r="B4" s="4">
        <v>0</v>
      </c>
      <c r="C4" s="4">
        <v>0</v>
      </c>
      <c r="D4" s="4">
        <v>100</v>
      </c>
      <c r="F4" s="6">
        <f t="shared" si="0"/>
        <v>2.4692612590371414E-2</v>
      </c>
      <c r="G4" s="5">
        <f t="shared" si="1"/>
        <v>1.0249999999999999</v>
      </c>
    </row>
    <row r="5" spans="2:10" x14ac:dyDescent="0.25">
      <c r="B5" s="4">
        <v>30</v>
      </c>
      <c r="C5" s="4">
        <v>40</v>
      </c>
      <c r="D5" s="4">
        <v>30</v>
      </c>
      <c r="F5" s="6">
        <f t="shared" si="0"/>
        <v>-3.5247822963017916</v>
      </c>
      <c r="G5" s="5">
        <f t="shared" si="1"/>
        <v>2.9458219834473848E-2</v>
      </c>
    </row>
    <row r="6" spans="2:10" x14ac:dyDescent="0.25">
      <c r="B6" s="4">
        <v>80</v>
      </c>
      <c r="C6" s="4">
        <v>10</v>
      </c>
      <c r="D6" s="4">
        <v>10</v>
      </c>
      <c r="F6" s="6">
        <f t="shared" si="0"/>
        <v>-5.8887008360227364</v>
      </c>
      <c r="G6" s="5">
        <f t="shared" si="1"/>
        <v>2.7705737894660027E-3</v>
      </c>
    </row>
    <row r="7" spans="2:10" x14ac:dyDescent="0.25">
      <c r="B7" s="4">
        <v>6.9</v>
      </c>
      <c r="C7" s="4">
        <v>12.2</v>
      </c>
      <c r="D7" s="4">
        <v>80.900000000000006</v>
      </c>
      <c r="F7" s="6">
        <f t="shared" si="0"/>
        <v>-0.90191715706135689</v>
      </c>
      <c r="G7" s="5">
        <f t="shared" si="1"/>
        <v>0.4057909485408438</v>
      </c>
    </row>
    <row r="8" spans="2:10" x14ac:dyDescent="0.25">
      <c r="B8" s="4">
        <v>64.8</v>
      </c>
      <c r="C8" s="4">
        <v>33.1</v>
      </c>
      <c r="D8" s="4">
        <v>2.1</v>
      </c>
      <c r="F8" s="6">
        <f t="shared" si="0"/>
        <v>-5.6837439191740042</v>
      </c>
      <c r="G8" s="5">
        <f t="shared" si="1"/>
        <v>3.4008022504654857E-3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234c3a4fb0979ade9f97833b05cddef0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5c28c4f13adeb60ff7b9a6f3e2a4fb2d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358F7-772B-453F-B912-1DEB7447D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47870-22B2-492D-9468-30444807D8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38F361-2559-45D6-A32D-E1491B726A4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09f5bf7-f9f4-4529-974b-ffe2f08aeeaa"/>
    <ds:schemaRef ds:uri="eeb73ef0-171b-431f-9f6c-1d6ec9393ab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SoilWoodyCrop_BD</vt:lpstr>
      <vt:lpstr>SoilAgric2000_BD</vt:lpstr>
      <vt:lpstr>Summary2020</vt:lpstr>
      <vt:lpstr>Korrigering</vt:lpstr>
      <vt:lpstr>Clay content</vt:lpstr>
      <vt:lpstr>Deep_Bulk_density</vt:lpstr>
      <vt:lpstr>SoilAgriCrop</vt:lpstr>
      <vt:lpstr>SoilPoplar2000</vt:lpstr>
      <vt:lpstr>newSummary2000</vt:lpstr>
      <vt:lpstr>newSummary2020</vt:lpstr>
      <vt:lpstr>PoplarPlots(2000)</vt:lpstr>
      <vt:lpstr>S-01-03 (2020)</vt:lpstr>
      <vt:lpstr>S-04-06 (2020)</vt:lpstr>
      <vt:lpstr>S-07 (2020)</vt:lpstr>
      <vt:lpstr>S-08-12 (2020)</vt:lpstr>
      <vt:lpstr>S-13-14(2020)</vt:lpstr>
      <vt:lpstr>S-15-W(2020)</vt:lpstr>
      <vt:lpstr>S-16-W(2020)</vt:lpstr>
      <vt:lpstr>S-17-W(2020)</vt:lpstr>
      <vt:lpstr>S-18-W(2020)</vt:lpstr>
      <vt:lpstr>S-19-W(2020)</vt:lpstr>
      <vt:lpstr>S-20-W(2020)</vt:lpstr>
      <vt:lpstr>Bodarna(Björk)</vt:lpstr>
      <vt:lpstr>Malmön(Björk2A)</vt:lpstr>
      <vt:lpstr>Malmön(Björk2B)</vt:lpstr>
      <vt:lpstr>Malmön(SalixFragilis6A)</vt:lpstr>
      <vt:lpstr>Malmön(SalixFragilis6B)</vt:lpstr>
      <vt:lpstr>Malmön(S.fragilis+GrAl&amp;A3)</vt:lpstr>
      <vt:lpstr>Dg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Karacic</dc:creator>
  <cp:lastModifiedBy>Lorenzo Menichetti</cp:lastModifiedBy>
  <dcterms:created xsi:type="dcterms:W3CDTF">2019-09-12T10:09:07Z</dcterms:created>
  <dcterms:modified xsi:type="dcterms:W3CDTF">2022-11-17T09:36:23Z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